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inetpub\wwwroot\webICCAT2017\com2024\Annex\"/>
    </mc:Choice>
  </mc:AlternateContent>
  <xr:revisionPtr revIDLastSave="0" documentId="13_ncr:1_{87511AED-6B49-4071-B117-548EEE53064B}" xr6:coauthVersionLast="47" xr6:coauthVersionMax="47" xr10:uidLastSave="{00000000-0000-0000-0000-000000000000}"/>
  <bookViews>
    <workbookView xWindow="-120" yWindow="-120" windowWidth="29040" windowHeight="15720" xr2:uid="{00000000-000D-0000-FFFF-FFFF00000000}"/>
  </bookViews>
  <sheets>
    <sheet name="Adjustement data" sheetId="1" r:id="rId1"/>
  </sheets>
  <definedNames>
    <definedName name="_xlnm.Print_Area" localSheetId="0">'Adjustement data'!$A$1:$R$1844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21" i="1" l="1"/>
  <c r="M218" i="1" l="1"/>
  <c r="N218" i="1"/>
  <c r="K218" i="1"/>
  <c r="L218" i="1"/>
  <c r="L204" i="1"/>
  <c r="K204" i="1"/>
  <c r="K207" i="1" s="1"/>
  <c r="M1230" i="1" l="1"/>
  <c r="M727" i="1"/>
  <c r="D623" i="1"/>
  <c r="G1958" i="1"/>
  <c r="F1958" i="1"/>
  <c r="B1635" i="1" l="1"/>
  <c r="C1632" i="1" s="1"/>
  <c r="C1635" i="1" s="1"/>
  <c r="D1632" i="1" s="1"/>
  <c r="D1635" i="1" s="1"/>
  <c r="E1632" i="1" s="1"/>
  <c r="E1635" i="1" s="1"/>
  <c r="B1209" i="1"/>
  <c r="G1189" i="1"/>
  <c r="R1047" i="1"/>
  <c r="F1945" i="1"/>
  <c r="F1933" i="1"/>
  <c r="F1921" i="1"/>
  <c r="G1921" i="1"/>
  <c r="E1921" i="1"/>
  <c r="E1924" i="1" s="1"/>
  <c r="G1907" i="1"/>
  <c r="G1895" i="1"/>
  <c r="G1881" i="1"/>
  <c r="F1632" i="1" l="1"/>
  <c r="F1635" i="1" s="1"/>
  <c r="G1632" i="1" s="1"/>
  <c r="G1635" i="1" s="1"/>
  <c r="H1632" i="1" s="1"/>
  <c r="H1635" i="1" s="1"/>
  <c r="C1872" i="1"/>
  <c r="I1843" i="1"/>
  <c r="I1632" i="1" l="1"/>
  <c r="I1635" i="1" s="1"/>
  <c r="J1632" i="1" s="1"/>
  <c r="L1789" i="1"/>
  <c r="K1791" i="1"/>
  <c r="L1804" i="1"/>
  <c r="E1620" i="1" l="1"/>
  <c r="L1608" i="1" l="1"/>
  <c r="K1608" i="1"/>
  <c r="I1757" i="1" l="1"/>
  <c r="H1757" i="1"/>
  <c r="J1757" i="1"/>
  <c r="J1760" i="1" s="1"/>
  <c r="K1757" i="1"/>
  <c r="L1739" i="1"/>
  <c r="K1739" i="1"/>
  <c r="J1739" i="1"/>
  <c r="J187" i="1"/>
  <c r="I1709" i="1" l="1"/>
  <c r="I1708" i="1" s="1"/>
  <c r="I1691" i="1"/>
  <c r="I1690" i="1" s="1"/>
  <c r="K649" i="1" l="1"/>
  <c r="K638" i="1"/>
  <c r="B1554" i="1" l="1"/>
  <c r="C1551" i="1" s="1"/>
  <c r="K1516" i="1" l="1"/>
  <c r="D1508" i="1"/>
  <c r="L1505" i="1"/>
  <c r="J1505" i="1"/>
  <c r="J1508" i="1" s="1"/>
  <c r="I1505" i="1"/>
  <c r="I1508" i="1" s="1"/>
  <c r="K1505" i="1" s="1"/>
  <c r="H1505" i="1"/>
  <c r="H1508" i="1" s="1"/>
  <c r="G1505" i="1"/>
  <c r="G1508" i="1" s="1"/>
  <c r="F1505" i="1"/>
  <c r="F1508" i="1" s="1"/>
  <c r="E1505" i="1"/>
  <c r="E1508" i="1" s="1"/>
  <c r="C1505" i="1"/>
  <c r="C1508" i="1" s="1"/>
  <c r="L1489" i="1"/>
  <c r="L1473" i="1"/>
  <c r="L1437" i="1"/>
  <c r="J1424" i="1"/>
  <c r="K1304" i="1" l="1"/>
  <c r="K1256" i="1"/>
  <c r="K1244" i="1"/>
  <c r="L1282" i="1" l="1"/>
  <c r="L1220" i="1"/>
  <c r="F1189" i="1" l="1"/>
  <c r="E1192" i="1"/>
  <c r="Q1171" i="1"/>
  <c r="Q1150" i="1"/>
  <c r="Q1118" i="1"/>
  <c r="Q1047" i="1"/>
  <c r="L176" i="1" l="1"/>
  <c r="M187" i="1"/>
  <c r="L187" i="1" l="1"/>
  <c r="N187" i="1"/>
  <c r="K187" i="1"/>
  <c r="K190" i="1" s="1"/>
  <c r="L229" i="1" l="1"/>
  <c r="C1329" i="1" l="1"/>
  <c r="J1996" i="1" l="1"/>
  <c r="K2032" i="1"/>
  <c r="J2014" i="1"/>
  <c r="I1999" i="1"/>
  <c r="K1974" i="1"/>
  <c r="I2091" i="1"/>
  <c r="J2088" i="1" s="1"/>
  <c r="J2075" i="1" l="1"/>
  <c r="D1326" i="1"/>
  <c r="D1329" i="1" s="1"/>
  <c r="E1326" i="1" s="1"/>
  <c r="E1329" i="1" s="1"/>
  <c r="F1326" i="1" s="1"/>
  <c r="F1329" i="1" s="1"/>
  <c r="G1326" i="1" s="1"/>
  <c r="G1329" i="1" l="1"/>
  <c r="H1326" i="1" s="1"/>
  <c r="H1329" i="1" l="1"/>
  <c r="I1326" i="1" s="1"/>
  <c r="I1329" i="1" s="1"/>
  <c r="J1326" i="1" s="1"/>
  <c r="D677" i="1"/>
  <c r="E674" i="1" s="1"/>
  <c r="C677" i="1"/>
  <c r="K808" i="1"/>
  <c r="L791" i="1"/>
  <c r="F775" i="1"/>
  <c r="L761" i="1"/>
  <c r="L742" i="1"/>
  <c r="J564" i="1" l="1"/>
  <c r="P375" i="1"/>
  <c r="O411" i="1"/>
  <c r="O395" i="1"/>
  <c r="P358" i="1" l="1"/>
  <c r="P340" i="1"/>
  <c r="K444" i="1" l="1"/>
  <c r="K155" i="1" l="1"/>
  <c r="J155" i="1"/>
  <c r="I155" i="1"/>
  <c r="I158" i="1" s="1"/>
  <c r="K138" i="1"/>
  <c r="K122" i="1"/>
  <c r="K103" i="1"/>
  <c r="G55" i="1" l="1"/>
  <c r="H35" i="1"/>
  <c r="D22" i="1" l="1"/>
  <c r="C25" i="1"/>
  <c r="E35" i="1"/>
  <c r="E38" i="1" s="1"/>
  <c r="F35" i="1"/>
  <c r="F38" i="1" s="1"/>
  <c r="G35" i="1"/>
  <c r="G38" i="1" s="1"/>
  <c r="C38" i="1"/>
  <c r="D38" i="1"/>
  <c r="E12" i="1" l="1"/>
  <c r="J897" i="1" l="1"/>
  <c r="K264" i="1" l="1"/>
  <c r="K851" i="1" l="1"/>
  <c r="K830" i="1"/>
  <c r="J550" i="1" l="1"/>
  <c r="J535" i="1"/>
  <c r="K515" i="1"/>
  <c r="K480" i="1"/>
  <c r="K461" i="1"/>
  <c r="J464" i="1"/>
  <c r="K425" i="1"/>
  <c r="E282" i="1" l="1"/>
  <c r="C282" i="1"/>
  <c r="C285" i="1" l="1"/>
  <c r="D282" i="1" s="1"/>
  <c r="H1410" i="1" l="1"/>
  <c r="I1407" i="1" s="1"/>
  <c r="H1392" i="1"/>
  <c r="J1358" i="1" l="1"/>
  <c r="E1858" i="1" l="1"/>
  <c r="F685" i="1"/>
  <c r="E1859" i="1" l="1"/>
  <c r="H1840" i="1" l="1"/>
  <c r="E775" i="1"/>
  <c r="E778" i="1" s="1"/>
  <c r="B918" i="1" l="1"/>
  <c r="C915" i="1" s="1"/>
  <c r="C918" i="1" s="1"/>
  <c r="D915" i="1" s="1"/>
  <c r="D918" i="1" s="1"/>
  <c r="E915" i="1" s="1"/>
  <c r="E918" i="1" s="1"/>
  <c r="F915" i="1" s="1"/>
  <c r="F918" i="1" s="1"/>
  <c r="G915" i="1" s="1"/>
  <c r="G918" i="1" s="1"/>
  <c r="B952" i="1"/>
  <c r="C949" i="1" s="1"/>
  <c r="C952" i="1" s="1"/>
  <c r="D949" i="1" s="1"/>
  <c r="D952" i="1" s="1"/>
  <c r="E949" i="1" s="1"/>
  <c r="E952" i="1" s="1"/>
  <c r="F949" i="1" s="1"/>
  <c r="F952" i="1" s="1"/>
  <c r="G949" i="1" s="1"/>
  <c r="G952" i="1" s="1"/>
  <c r="H949" i="1" s="1"/>
  <c r="H952" i="1" s="1"/>
  <c r="I949" i="1" s="1"/>
  <c r="I952" i="1" s="1"/>
  <c r="J949" i="1" s="1"/>
  <c r="B935" i="1"/>
  <c r="C932" i="1" s="1"/>
  <c r="C935" i="1" s="1"/>
  <c r="D932" i="1" s="1"/>
  <c r="D935" i="1" s="1"/>
  <c r="J103" i="1"/>
  <c r="G229" i="1"/>
  <c r="K229" i="1"/>
  <c r="J229" i="1"/>
  <c r="I229" i="1"/>
  <c r="F1895" i="1"/>
  <c r="D1620" i="1"/>
  <c r="L1230" i="1"/>
  <c r="C623" i="1"/>
  <c r="P321" i="1"/>
  <c r="J122" i="1"/>
  <c r="H915" i="1" l="1"/>
  <c r="H918" i="1" s="1"/>
  <c r="I915" i="1" s="1"/>
  <c r="I918" i="1" s="1"/>
  <c r="J915" i="1" s="1"/>
  <c r="E932" i="1"/>
  <c r="E935" i="1" s="1"/>
  <c r="I103" i="1"/>
  <c r="I106" i="1" s="1"/>
  <c r="F932" i="1" l="1"/>
  <c r="F935" i="1" s="1"/>
  <c r="C85" i="1"/>
  <c r="B85" i="1"/>
  <c r="F82" i="1"/>
  <c r="F85" i="1" s="1"/>
  <c r="H82" i="1" s="1"/>
  <c r="H85" i="1" s="1"/>
  <c r="J82" i="1" s="1"/>
  <c r="J85" i="1" s="1"/>
  <c r="L82" i="1" s="1"/>
  <c r="L85" i="1" s="1"/>
  <c r="E82" i="1"/>
  <c r="E85" i="1" s="1"/>
  <c r="G82" i="1" s="1"/>
  <c r="G85" i="1" s="1"/>
  <c r="I82" i="1" s="1"/>
  <c r="I85" i="1" s="1"/>
  <c r="K82" i="1" s="1"/>
  <c r="K85" i="1" s="1"/>
  <c r="M82" i="1" s="1"/>
  <c r="D82" i="1"/>
  <c r="D85" i="1" s="1"/>
  <c r="C66" i="1"/>
  <c r="E63" i="1" s="1"/>
  <c r="E66" i="1" s="1"/>
  <c r="G63" i="1" s="1"/>
  <c r="G66" i="1" s="1"/>
  <c r="I63" i="1" s="1"/>
  <c r="I66" i="1" s="1"/>
  <c r="K63" i="1" s="1"/>
  <c r="K66" i="1" s="1"/>
  <c r="M63" i="1" s="1"/>
  <c r="B66" i="1"/>
  <c r="D63" i="1" s="1"/>
  <c r="D66" i="1" s="1"/>
  <c r="F63" i="1" s="1"/>
  <c r="F66" i="1" s="1"/>
  <c r="H63" i="1" s="1"/>
  <c r="H66" i="1" s="1"/>
  <c r="J63" i="1" s="1"/>
  <c r="J66" i="1" s="1"/>
  <c r="L63" i="1" s="1"/>
  <c r="L66" i="1" s="1"/>
  <c r="G932" i="1" l="1"/>
  <c r="G935" i="1" s="1"/>
  <c r="H932" i="1" s="1"/>
  <c r="H935" i="1" s="1"/>
  <c r="I932" i="1" s="1"/>
  <c r="I935" i="1" s="1"/>
  <c r="J932" i="1" s="1"/>
  <c r="D1958" i="1" l="1"/>
  <c r="G1673" i="1" l="1"/>
  <c r="F1670" i="1"/>
  <c r="C1670" i="1"/>
  <c r="B1673" i="1"/>
  <c r="E1670" i="1"/>
  <c r="E1673" i="1" s="1"/>
  <c r="D1670" i="1"/>
  <c r="D1673" i="1" s="1"/>
  <c r="C1673" i="1" l="1"/>
  <c r="F1673" i="1"/>
  <c r="H1670" i="1" l="1"/>
  <c r="H1673" i="1" s="1"/>
  <c r="I1670" i="1" s="1"/>
  <c r="I1673" i="1" s="1"/>
  <c r="J1670" i="1" s="1"/>
  <c r="D1652" i="1"/>
  <c r="E1652" i="1"/>
  <c r="B1655" i="1"/>
  <c r="C1652" i="1" s="1"/>
  <c r="B1536" i="1"/>
  <c r="C1533" i="1" s="1"/>
  <c r="C1536" i="1" s="1"/>
  <c r="D1533" i="1" s="1"/>
  <c r="D1536" i="1" s="1"/>
  <c r="E1533" i="1" s="1"/>
  <c r="E1536" i="1" s="1"/>
  <c r="F1533" i="1" s="1"/>
  <c r="F1536" i="1" s="1"/>
  <c r="G1533" i="1" s="1"/>
  <c r="G1536" i="1" s="1"/>
  <c r="H1533" i="1" s="1"/>
  <c r="H1536" i="1" s="1"/>
  <c r="I1533" i="1" s="1"/>
  <c r="I1536" i="1" s="1"/>
  <c r="J1533" i="1" s="1"/>
  <c r="C1655" i="1" l="1"/>
  <c r="D1655" i="1" s="1"/>
  <c r="E1655" i="1" s="1"/>
  <c r="F1652" i="1" l="1"/>
  <c r="F1655" i="1" s="1"/>
  <c r="G1652" i="1" l="1"/>
  <c r="G1655" i="1" s="1"/>
  <c r="H1652" i="1" l="1"/>
  <c r="H1655" i="1" s="1"/>
  <c r="I1652" i="1" s="1"/>
  <c r="I1655" i="1" s="1"/>
  <c r="J1652" i="1" s="1"/>
  <c r="C664" i="1" l="1"/>
  <c r="D661" i="1" s="1"/>
  <c r="D664" i="1" s="1"/>
  <c r="E661" i="1" s="1"/>
  <c r="E664" i="1" s="1"/>
  <c r="F661" i="1" s="1"/>
  <c r="F664" i="1" s="1"/>
  <c r="G661" i="1" s="1"/>
  <c r="G664" i="1" s="1"/>
  <c r="B664" i="1"/>
  <c r="P661" i="1"/>
  <c r="O661" i="1"/>
  <c r="N661" i="1"/>
  <c r="M661" i="1"/>
  <c r="L661" i="1"/>
  <c r="K661" i="1"/>
  <c r="J661" i="1"/>
  <c r="I661" i="1"/>
  <c r="I664" i="1" s="1"/>
  <c r="H661" i="1"/>
  <c r="H664" i="1" s="1"/>
  <c r="B606" i="1"/>
  <c r="C603" i="1" s="1"/>
  <c r="C606" i="1" s="1"/>
  <c r="D603" i="1" s="1"/>
  <c r="D606" i="1" s="1"/>
  <c r="E603" i="1" s="1"/>
  <c r="E606" i="1" s="1"/>
  <c r="F603" i="1" s="1"/>
  <c r="F606" i="1" s="1"/>
  <c r="G603" i="1" l="1"/>
  <c r="G606" i="1" s="1"/>
  <c r="H603" i="1" s="1"/>
  <c r="H606" i="1" s="1"/>
  <c r="I603" i="1" s="1"/>
  <c r="I606" i="1" s="1"/>
  <c r="J603" i="1" s="1"/>
  <c r="C1620" i="1" l="1"/>
  <c r="C1623" i="1" s="1"/>
  <c r="B1620" i="1"/>
  <c r="B1623" i="1" s="1"/>
  <c r="J851" i="1" l="1"/>
  <c r="J854" i="1" s="1"/>
  <c r="K742" i="1"/>
  <c r="K745" i="1" s="1"/>
  <c r="N990" i="1"/>
  <c r="I649" i="1" l="1"/>
  <c r="J649" i="1"/>
  <c r="I638" i="1"/>
  <c r="J638" i="1"/>
  <c r="J820" i="1"/>
  <c r="J808" i="1"/>
  <c r="K761" i="1"/>
  <c r="K764" i="1" s="1"/>
  <c r="K791" i="1" l="1"/>
  <c r="K794" i="1" s="1"/>
  <c r="B778" i="1"/>
  <c r="C775" i="1" s="1"/>
  <c r="J444" i="1" l="1"/>
  <c r="J447" i="1" s="1"/>
  <c r="L444" i="1" s="1"/>
  <c r="I2032" i="1" l="1"/>
  <c r="I2035" i="1" s="1"/>
  <c r="J2032" i="1" s="1"/>
  <c r="J2035" i="1" s="1"/>
  <c r="H2017" i="1"/>
  <c r="I2014" i="1" s="1"/>
  <c r="H1999" i="1"/>
  <c r="J1974" i="1"/>
  <c r="J1977" i="1" s="1"/>
  <c r="D1859" i="1"/>
  <c r="C1861" i="1"/>
  <c r="D1858" i="1" s="1"/>
  <c r="D1860" i="1" s="1"/>
  <c r="E1945" i="1"/>
  <c r="E1948" i="1" s="1"/>
  <c r="E1933" i="1"/>
  <c r="E1936" i="1" s="1"/>
  <c r="D1924" i="1"/>
  <c r="F1907" i="1"/>
  <c r="E1907" i="1"/>
  <c r="E1910" i="1" s="1"/>
  <c r="D1910" i="1"/>
  <c r="D1898" i="1"/>
  <c r="F1881" i="1"/>
  <c r="H2091" i="1" l="1"/>
  <c r="I2075" i="1"/>
  <c r="I2078" i="1" s="1"/>
  <c r="H1843" i="1" l="1"/>
  <c r="K1804" i="1" l="1"/>
  <c r="K1807" i="1" s="1"/>
  <c r="J1791" i="1"/>
  <c r="G1725" i="1" l="1"/>
  <c r="I1725" i="1"/>
  <c r="J1725" i="1"/>
  <c r="K1725" i="1"/>
  <c r="L1725" i="1"/>
  <c r="M1725" i="1"/>
  <c r="N1725" i="1"/>
  <c r="O1725" i="1"/>
  <c r="F1725" i="1"/>
  <c r="F1728" i="1" s="1"/>
  <c r="H1725" i="1" s="1"/>
  <c r="E1728" i="1"/>
  <c r="H1709" i="1"/>
  <c r="H1708" i="1" s="1"/>
  <c r="H1711" i="1" s="1"/>
  <c r="G1711" i="1"/>
  <c r="H1691" i="1"/>
  <c r="H1690" i="1" s="1"/>
  <c r="H1693" i="1" s="1"/>
  <c r="D1582" i="1" l="1"/>
  <c r="J1516" i="1" l="1"/>
  <c r="J1519" i="1" s="1"/>
  <c r="I1516" i="1"/>
  <c r="I1519" i="1" s="1"/>
  <c r="J1304" i="1"/>
  <c r="K1282" i="1"/>
  <c r="K1285" i="1" s="1"/>
  <c r="J1244" i="1"/>
  <c r="K1220" i="1"/>
  <c r="K1223" i="1" s="1"/>
  <c r="E1958" i="1" l="1"/>
  <c r="E1961" i="1" s="1"/>
  <c r="D1961" i="1"/>
  <c r="D1192" i="1" l="1"/>
  <c r="P1171" i="1"/>
  <c r="P1150" i="1"/>
  <c r="R1147" i="1" s="1"/>
  <c r="P1118" i="1"/>
  <c r="P1121" i="1" s="1"/>
  <c r="R1118" i="1" s="1"/>
  <c r="P1047" i="1"/>
  <c r="P1050" i="1" s="1"/>
  <c r="O993" i="1" l="1"/>
  <c r="Q990" i="1" s="1"/>
  <c r="O971" i="1"/>
  <c r="K1489" i="1" l="1"/>
  <c r="K1473" i="1"/>
  <c r="K1437" i="1"/>
  <c r="I1424" i="1"/>
  <c r="I1427" i="1" s="1"/>
  <c r="G830" i="1" l="1"/>
  <c r="H830" i="1"/>
  <c r="H833" i="1" s="1"/>
  <c r="I830" i="1"/>
  <c r="I833" i="1" s="1"/>
  <c r="J830" i="1"/>
  <c r="J833" i="1" s="1"/>
  <c r="F830" i="1"/>
  <c r="K221" i="1"/>
  <c r="J190" i="1"/>
  <c r="K176" i="1"/>
  <c r="K179" i="1" s="1"/>
  <c r="J1608" i="1" l="1"/>
  <c r="J1611" i="1" s="1"/>
  <c r="F702" i="1" l="1"/>
  <c r="E685" i="1" l="1"/>
  <c r="E688" i="1" s="1"/>
  <c r="I564" i="1" l="1"/>
  <c r="I567" i="1" s="1"/>
  <c r="I550" i="1"/>
  <c r="I535" i="1"/>
  <c r="J515" i="1"/>
  <c r="J518" i="1" s="1"/>
  <c r="J480" i="1"/>
  <c r="J483" i="1" s="1"/>
  <c r="J425" i="1"/>
  <c r="J428" i="1" s="1"/>
  <c r="N411" i="1" l="1"/>
  <c r="N395" i="1"/>
  <c r="O375" i="1"/>
  <c r="O378" i="1" s="1"/>
  <c r="O358" i="1"/>
  <c r="O361" i="1" s="1"/>
  <c r="O340" i="1"/>
  <c r="O343" i="1" s="1"/>
  <c r="J264" i="1" l="1"/>
  <c r="J267" i="1" s="1"/>
  <c r="J138" i="1" l="1"/>
  <c r="F55" i="1" l="1"/>
  <c r="D9" i="1" l="1"/>
  <c r="D12" i="1" s="1"/>
  <c r="C12" i="1"/>
  <c r="H1564" i="1"/>
  <c r="H1567" i="1" s="1"/>
  <c r="G1564" i="1"/>
  <c r="G1567" i="1" s="1"/>
  <c r="I1358" i="1"/>
  <c r="I894" i="1" l="1"/>
  <c r="I897" i="1" s="1"/>
  <c r="E1895" i="1" l="1"/>
  <c r="E1898" i="1" s="1"/>
  <c r="O321" i="1"/>
  <c r="O324" i="1" s="1"/>
  <c r="D285" i="1"/>
  <c r="E285" i="1" s="1"/>
  <c r="G282" i="1"/>
  <c r="G285" i="1" s="1"/>
  <c r="H282" i="1" s="1"/>
  <c r="H285" i="1" s="1"/>
  <c r="I282" i="1" s="1"/>
  <c r="I285" i="1" s="1"/>
  <c r="J282" i="1" s="1"/>
  <c r="J285" i="1" s="1"/>
  <c r="K282" i="1" s="1"/>
  <c r="K285" i="1" s="1"/>
  <c r="L282" i="1" s="1"/>
  <c r="F282" i="1"/>
  <c r="F285" i="1" s="1"/>
  <c r="F1446" i="1"/>
  <c r="F1445" i="1" s="1"/>
  <c r="F1448" i="1" s="1"/>
  <c r="G1446" i="1" s="1"/>
  <c r="G1445" i="1" s="1"/>
  <c r="G1448" i="1" s="1"/>
  <c r="H1446" i="1" s="1"/>
  <c r="H1445" i="1" s="1"/>
  <c r="H1448" i="1" s="1"/>
  <c r="I1446" i="1" s="1"/>
  <c r="I1445" i="1" s="1"/>
  <c r="I1448" i="1" s="1"/>
  <c r="J1446" i="1" s="1"/>
  <c r="J1445" i="1" s="1"/>
  <c r="J1448" i="1" s="1"/>
  <c r="K1446" i="1" s="1"/>
  <c r="K1445" i="1" s="1"/>
  <c r="K1448" i="1" s="1"/>
  <c r="L1446" i="1" s="1"/>
  <c r="L1445" i="1" s="1"/>
  <c r="L1448" i="1" s="1"/>
  <c r="M1446" i="1" s="1"/>
  <c r="M1445" i="1" s="1"/>
  <c r="M1448" i="1" s="1"/>
  <c r="N1446" i="1" s="1"/>
  <c r="N1445" i="1" s="1"/>
  <c r="N1448" i="1" s="1"/>
  <c r="D1446" i="1"/>
  <c r="D1445" i="1" s="1"/>
  <c r="D1448" i="1" s="1"/>
  <c r="E1446" i="1" s="1"/>
  <c r="E1445" i="1" s="1"/>
  <c r="E1448" i="1" s="1"/>
  <c r="B1446" i="1"/>
  <c r="B1445" i="1" s="1"/>
  <c r="B1448" i="1" s="1"/>
  <c r="C1446" i="1" s="1"/>
  <c r="C1445" i="1" s="1"/>
  <c r="C1448" i="1" s="1"/>
  <c r="D232" i="1"/>
  <c r="F229" i="1" s="1"/>
  <c r="F232" i="1" s="1"/>
  <c r="H229" i="1" s="1"/>
  <c r="I122" i="1"/>
  <c r="I125" i="1" s="1"/>
  <c r="K727" i="1"/>
  <c r="K730" i="1" s="1"/>
  <c r="D1728" i="1"/>
  <c r="C1728" i="1"/>
  <c r="C1910" i="1"/>
  <c r="F1711" i="1"/>
  <c r="G1691" i="1"/>
  <c r="G1690" i="1" s="1"/>
  <c r="G1693" i="1" s="1"/>
  <c r="H1608" i="1"/>
  <c r="H1611" i="1" s="1"/>
  <c r="G1611" i="1"/>
  <c r="I1608" i="1" s="1"/>
  <c r="I1611" i="1" s="1"/>
  <c r="C1582" i="1"/>
  <c r="B2103" i="1"/>
  <c r="C2100" i="1" s="1"/>
  <c r="C2103" i="1" s="1"/>
  <c r="D2100" i="1" s="1"/>
  <c r="D2103" i="1" s="1"/>
  <c r="E2100" i="1" s="1"/>
  <c r="E2103" i="1" s="1"/>
  <c r="F2100" i="1" s="1"/>
  <c r="F2103" i="1" s="1"/>
  <c r="G2100" i="1" s="1"/>
  <c r="G2103" i="1" s="1"/>
  <c r="H2075" i="1"/>
  <c r="H2078" i="1" s="1"/>
  <c r="J1473" i="1"/>
  <c r="J1437" i="1"/>
  <c r="H1424" i="1"/>
  <c r="H1427" i="1" s="1"/>
  <c r="H204" i="1"/>
  <c r="H207" i="1" s="1"/>
  <c r="I204" i="1"/>
  <c r="I207" i="1" s="1"/>
  <c r="J204" i="1"/>
  <c r="J207" i="1" s="1"/>
  <c r="D1945" i="1"/>
  <c r="D1948" i="1" s="1"/>
  <c r="C1948" i="1"/>
  <c r="D1933" i="1"/>
  <c r="D1936" i="1" s="1"/>
  <c r="C1936" i="1"/>
  <c r="C1898" i="1"/>
  <c r="D1881" i="1"/>
  <c r="D1884" i="1" s="1"/>
  <c r="C1880" i="1"/>
  <c r="E1881" i="1" s="1"/>
  <c r="E1884" i="1" s="1"/>
  <c r="H716" i="1"/>
  <c r="J713" i="1" s="1"/>
  <c r="J716" i="1" s="1"/>
  <c r="L713" i="1" s="1"/>
  <c r="I1304" i="1"/>
  <c r="I1282" i="1"/>
  <c r="I1285" i="1" s="1"/>
  <c r="J1282" i="1"/>
  <c r="J1285" i="1" s="1"/>
  <c r="J1265" i="1"/>
  <c r="J1268" i="1" s="1"/>
  <c r="K1265" i="1" s="1"/>
  <c r="K1268" i="1" s="1"/>
  <c r="L1265" i="1" s="1"/>
  <c r="H1268" i="1"/>
  <c r="I1265" i="1" s="1"/>
  <c r="I1268" i="1" s="1"/>
  <c r="I1253" i="1"/>
  <c r="I1256" i="1" s="1"/>
  <c r="J1253" i="1"/>
  <c r="J1256" i="1" s="1"/>
  <c r="I1244" i="1"/>
  <c r="I1233" i="1"/>
  <c r="K1230" i="1" s="1"/>
  <c r="K1233" i="1" s="1"/>
  <c r="I1220" i="1"/>
  <c r="I1223" i="1" s="1"/>
  <c r="G155" i="1"/>
  <c r="G158" i="1" s="1"/>
  <c r="H155" i="1"/>
  <c r="H158" i="1" s="1"/>
  <c r="G138" i="1"/>
  <c r="G141" i="1" s="1"/>
  <c r="I138" i="1"/>
  <c r="I141" i="1" s="1"/>
  <c r="G122" i="1"/>
  <c r="G125" i="1" s="1"/>
  <c r="G103" i="1"/>
  <c r="G106" i="1" s="1"/>
  <c r="F106" i="1"/>
  <c r="H2035" i="1"/>
  <c r="H1516" i="1"/>
  <c r="H1519" i="1" s="1"/>
  <c r="H2014" i="1"/>
  <c r="G1999" i="1"/>
  <c r="I1974" i="1"/>
  <c r="I1977" i="1" s="1"/>
  <c r="H1974" i="1"/>
  <c r="H1977" i="1" s="1"/>
  <c r="G1825" i="1"/>
  <c r="H1822" i="1" s="1"/>
  <c r="H1825" i="1" s="1"/>
  <c r="I1822" i="1" s="1"/>
  <c r="I1825" i="1" s="1"/>
  <c r="J1822" i="1" s="1"/>
  <c r="J1804" i="1"/>
  <c r="J1807" i="1" s="1"/>
  <c r="G1807" i="1"/>
  <c r="H1804" i="1" s="1"/>
  <c r="H1807" i="1" s="1"/>
  <c r="I1804" i="1" s="1"/>
  <c r="I1807" i="1" s="1"/>
  <c r="I1791" i="1"/>
  <c r="I1760" i="1"/>
  <c r="H1760" i="1"/>
  <c r="E1739" i="1"/>
  <c r="E1742" i="1" s="1"/>
  <c r="G1739" i="1" s="1"/>
  <c r="G1742" i="1" s="1"/>
  <c r="I1739" i="1" s="1"/>
  <c r="I1742" i="1" s="1"/>
  <c r="D685" i="1"/>
  <c r="D688" i="1" s="1"/>
  <c r="C688" i="1"/>
  <c r="D550" i="1"/>
  <c r="E550" i="1"/>
  <c r="F550" i="1"/>
  <c r="C550" i="1"/>
  <c r="I515" i="1"/>
  <c r="I518" i="1" s="1"/>
  <c r="I499" i="1"/>
  <c r="I481" i="1"/>
  <c r="H483" i="1"/>
  <c r="I480" i="1" s="1"/>
  <c r="I483" i="1" s="1"/>
  <c r="I461" i="1"/>
  <c r="I464" i="1" s="1"/>
  <c r="J218" i="1"/>
  <c r="J221" i="1" s="1"/>
  <c r="I218" i="1"/>
  <c r="I221" i="1" s="1"/>
  <c r="I187" i="1"/>
  <c r="I190" i="1" s="1"/>
  <c r="J176" i="1"/>
  <c r="J179" i="1" s="1"/>
  <c r="I176" i="1"/>
  <c r="I179" i="1" s="1"/>
  <c r="E55" i="1"/>
  <c r="C1192" i="1"/>
  <c r="O1171" i="1"/>
  <c r="O1150" i="1"/>
  <c r="O1118" i="1"/>
  <c r="O1121" i="1" s="1"/>
  <c r="N1100" i="1"/>
  <c r="O1097" i="1" s="1"/>
  <c r="O1100" i="1" s="1"/>
  <c r="P1097" i="1" s="1"/>
  <c r="Q1097" i="1" s="1"/>
  <c r="O1047" i="1"/>
  <c r="O1050" i="1" s="1"/>
  <c r="N1050" i="1"/>
  <c r="N993" i="1"/>
  <c r="P990" i="1" s="1"/>
  <c r="P993" i="1" s="1"/>
  <c r="R990" i="1" s="1"/>
  <c r="N971" i="1"/>
  <c r="I820" i="1"/>
  <c r="J742" i="1"/>
  <c r="J745" i="1" s="1"/>
  <c r="I742" i="1"/>
  <c r="I745" i="1" s="1"/>
  <c r="B587" i="1"/>
  <c r="C584" i="1" s="1"/>
  <c r="C587" i="1" s="1"/>
  <c r="D584" i="1" s="1"/>
  <c r="D587" i="1" s="1"/>
  <c r="E584" i="1" s="1"/>
  <c r="E587" i="1" s="1"/>
  <c r="F584" i="1" s="1"/>
  <c r="F587" i="1" s="1"/>
  <c r="G584" i="1" s="1"/>
  <c r="G587" i="1" s="1"/>
  <c r="H584" i="1" s="1"/>
  <c r="H587" i="1" s="1"/>
  <c r="I584" i="1" s="1"/>
  <c r="I587" i="1" s="1"/>
  <c r="J584" i="1" s="1"/>
  <c r="H564" i="1"/>
  <c r="H567" i="1" s="1"/>
  <c r="G564" i="1"/>
  <c r="G567" i="1" s="1"/>
  <c r="F564" i="1"/>
  <c r="F567" i="1" s="1"/>
  <c r="E564" i="1"/>
  <c r="E567" i="1" s="1"/>
  <c r="D564" i="1"/>
  <c r="D567" i="1" s="1"/>
  <c r="C564" i="1"/>
  <c r="C567" i="1" s="1"/>
  <c r="B564" i="1"/>
  <c r="B567" i="1" s="1"/>
  <c r="N375" i="1"/>
  <c r="N378" i="1" s="1"/>
  <c r="N358" i="1"/>
  <c r="N361" i="1" s="1"/>
  <c r="N304" i="1"/>
  <c r="N307" i="1" s="1"/>
  <c r="P304" i="1" s="1"/>
  <c r="I264" i="1"/>
  <c r="I267" i="1" s="1"/>
  <c r="C894" i="1"/>
  <c r="C897" i="1" s="1"/>
  <c r="B897" i="1"/>
  <c r="H894" i="1"/>
  <c r="H897" i="1" s="1"/>
  <c r="E894" i="1"/>
  <c r="E897" i="1" s="1"/>
  <c r="G894" i="1" s="1"/>
  <c r="G897" i="1" s="1"/>
  <c r="E702" i="1"/>
  <c r="D702" i="1"/>
  <c r="I851" i="1"/>
  <c r="I854" i="1" s="1"/>
  <c r="F1395" i="1"/>
  <c r="G1392" i="1" s="1"/>
  <c r="G1395" i="1" s="1"/>
  <c r="H1395" i="1" s="1"/>
  <c r="I1392" i="1" s="1"/>
  <c r="H1374" i="1"/>
  <c r="H1377" i="1" s="1"/>
  <c r="J1374" i="1" s="1"/>
  <c r="F1377" i="1"/>
  <c r="H1358" i="1"/>
  <c r="H1361" i="1" s="1"/>
  <c r="G1840" i="1"/>
  <c r="G1843" i="1" s="1"/>
  <c r="F1843" i="1"/>
  <c r="E1843" i="1"/>
  <c r="N1118" i="1"/>
  <c r="N1121" i="1" s="1"/>
  <c r="I425" i="1"/>
  <c r="I428" i="1" s="1"/>
  <c r="J791" i="1"/>
  <c r="J794" i="1" s="1"/>
  <c r="N321" i="1"/>
  <c r="N324" i="1" s="1"/>
  <c r="J1220" i="1"/>
  <c r="J1223" i="1" s="1"/>
  <c r="H138" i="1"/>
  <c r="H141" i="1" s="1"/>
  <c r="H122" i="1"/>
  <c r="H125" i="1" s="1"/>
  <c r="H103" i="1"/>
  <c r="H106" i="1" s="1"/>
  <c r="G1424" i="1"/>
  <c r="G1427" i="1" s="1"/>
  <c r="F1424" i="1"/>
  <c r="F1427" i="1" s="1"/>
  <c r="E1424" i="1"/>
  <c r="E1427" i="1" s="1"/>
  <c r="D1424" i="1"/>
  <c r="D1427" i="1" s="1"/>
  <c r="C1424" i="1"/>
  <c r="C1427" i="1" s="1"/>
  <c r="B1424" i="1"/>
  <c r="B1427" i="1" s="1"/>
  <c r="E1377" i="1"/>
  <c r="G1374" i="1" s="1"/>
  <c r="G1377" i="1" s="1"/>
  <c r="I1374" i="1" s="1"/>
  <c r="D1377" i="1"/>
  <c r="C1377" i="1"/>
  <c r="B1377" i="1"/>
  <c r="G1223" i="1"/>
  <c r="H1223" i="1"/>
  <c r="N1171" i="1"/>
  <c r="N1150" i="1"/>
  <c r="M1121" i="1"/>
  <c r="M1050" i="1"/>
  <c r="D464" i="1"/>
  <c r="C464" i="1"/>
  <c r="C232" i="1"/>
  <c r="E229" i="1" s="1"/>
  <c r="E232" i="1" s="1"/>
  <c r="C2088" i="1"/>
  <c r="C2091" i="1" s="1"/>
  <c r="D2088" i="1" s="1"/>
  <c r="D2091" i="1" s="1"/>
  <c r="E2091" i="1"/>
  <c r="F2088" i="1"/>
  <c r="F2091" i="1" s="1"/>
  <c r="G2088" i="1"/>
  <c r="G2091" i="1" s="1"/>
  <c r="B2088" i="1"/>
  <c r="B2091" i="1" s="1"/>
  <c r="G2075" i="1"/>
  <c r="G2078" i="1" s="1"/>
  <c r="F2075" i="1"/>
  <c r="F2078" i="1" s="1"/>
  <c r="E2075" i="1"/>
  <c r="E2078" i="1" s="1"/>
  <c r="D2075" i="1"/>
  <c r="D2078" i="1" s="1"/>
  <c r="C2075" i="1"/>
  <c r="C2078" i="1" s="1"/>
  <c r="B2075" i="1"/>
  <c r="B2078" i="1" s="1"/>
  <c r="B2060" i="1"/>
  <c r="C2057" i="1" s="1"/>
  <c r="C2060" i="1" s="1"/>
  <c r="D2057" i="1" s="1"/>
  <c r="D2060" i="1" s="1"/>
  <c r="E2057" i="1" s="1"/>
  <c r="E2060" i="1" s="1"/>
  <c r="F2057" i="1" s="1"/>
  <c r="F2060" i="1" s="1"/>
  <c r="G2057" i="1" s="1"/>
  <c r="G2060" i="1" s="1"/>
  <c r="H2057" i="1" s="1"/>
  <c r="H2060" i="1" s="1"/>
  <c r="I2057" i="1" s="1"/>
  <c r="I2060" i="1" s="1"/>
  <c r="J2057" i="1" s="1"/>
  <c r="G2035" i="1"/>
  <c r="E1999" i="1"/>
  <c r="F1999" i="1"/>
  <c r="G1977" i="1"/>
  <c r="H1788" i="1"/>
  <c r="H742" i="1"/>
  <c r="H745" i="1" s="1"/>
  <c r="F1691" i="1"/>
  <c r="F1690" i="1" s="1"/>
  <c r="F1693" i="1" s="1"/>
  <c r="G264" i="1"/>
  <c r="G267" i="1" s="1"/>
  <c r="F1564" i="1"/>
  <c r="F1567" i="1" s="1"/>
  <c r="G1358" i="1"/>
  <c r="G1361" i="1" s="1"/>
  <c r="F1358" i="1"/>
  <c r="F1361" i="1" s="1"/>
  <c r="H1316" i="1"/>
  <c r="G1316" i="1"/>
  <c r="H1304" i="1"/>
  <c r="H1282" i="1"/>
  <c r="H1285" i="1" s="1"/>
  <c r="H1244" i="1"/>
  <c r="H1233" i="1"/>
  <c r="J1230" i="1" s="1"/>
  <c r="J1233" i="1" s="1"/>
  <c r="G833" i="1"/>
  <c r="G854" i="1"/>
  <c r="C778" i="1"/>
  <c r="D775" i="1" s="1"/>
  <c r="D778" i="1" s="1"/>
  <c r="H820" i="1"/>
  <c r="I805" i="1"/>
  <c r="I808" i="1" s="1"/>
  <c r="H808" i="1"/>
  <c r="J761" i="1"/>
  <c r="J764" i="1" s="1"/>
  <c r="I761" i="1"/>
  <c r="I764" i="1" s="1"/>
  <c r="H730" i="1"/>
  <c r="J727" i="1"/>
  <c r="J730" i="1" s="1"/>
  <c r="F1757" i="1"/>
  <c r="F1760" i="1" s="1"/>
  <c r="G1757" i="1"/>
  <c r="G1760" i="1" s="1"/>
  <c r="E1757" i="1"/>
  <c r="E1760" i="1" s="1"/>
  <c r="D1757" i="1"/>
  <c r="D1760" i="1" s="1"/>
  <c r="C1757" i="1"/>
  <c r="C1760" i="1" s="1"/>
  <c r="N1073" i="1"/>
  <c r="N1076" i="1" s="1"/>
  <c r="O1073" i="1" s="1"/>
  <c r="O1076" i="1" s="1"/>
  <c r="P1073" i="1" s="1"/>
  <c r="P1076" i="1" s="1"/>
  <c r="Q1073" i="1" s="1"/>
  <c r="F1516" i="1"/>
  <c r="F1519" i="1" s="1"/>
  <c r="G1516" i="1"/>
  <c r="G1519" i="1" s="1"/>
  <c r="E1516" i="1"/>
  <c r="E1519" i="1" s="1"/>
  <c r="D1516" i="1"/>
  <c r="D1519" i="1" s="1"/>
  <c r="C1516" i="1"/>
  <c r="C1519" i="1" s="1"/>
  <c r="H515" i="1"/>
  <c r="H518" i="1" s="1"/>
  <c r="G483" i="1"/>
  <c r="G428" i="1"/>
  <c r="H425" i="1"/>
  <c r="H428" i="1" s="1"/>
  <c r="H547" i="1"/>
  <c r="H550" i="1" s="1"/>
  <c r="H532" i="1"/>
  <c r="H535" i="1" s="1"/>
  <c r="H499" i="1"/>
  <c r="H502" i="1" s="1"/>
  <c r="H461" i="1"/>
  <c r="H464" i="1" s="1"/>
  <c r="L408" i="1"/>
  <c r="L411" i="1" s="1"/>
  <c r="L392" i="1"/>
  <c r="L395" i="1" s="1"/>
  <c r="L375" i="1"/>
  <c r="L378" i="1" s="1"/>
  <c r="M375" i="1"/>
  <c r="M378" i="1" s="1"/>
  <c r="M358" i="1"/>
  <c r="M361" i="1" s="1"/>
  <c r="L361" i="1"/>
  <c r="L343" i="1"/>
  <c r="N340" i="1" s="1"/>
  <c r="N343" i="1" s="1"/>
  <c r="L324" i="1"/>
  <c r="M304" i="1"/>
  <c r="M307" i="1" s="1"/>
  <c r="O304" i="1" s="1"/>
  <c r="O307" i="1" s="1"/>
  <c r="L307" i="1"/>
  <c r="H264" i="1"/>
  <c r="H267" i="1" s="1"/>
  <c r="H218" i="1"/>
  <c r="H221" i="1" s="1"/>
  <c r="H187" i="1"/>
  <c r="H190" i="1" s="1"/>
  <c r="H176" i="1"/>
  <c r="H179" i="1" s="1"/>
  <c r="D55" i="1"/>
  <c r="G1776" i="1"/>
  <c r="J1487" i="1"/>
  <c r="J1486" i="1" s="1"/>
  <c r="J1489" i="1" s="1"/>
  <c r="I1487" i="1"/>
  <c r="I1486" i="1" s="1"/>
  <c r="I1489" i="1" s="1"/>
  <c r="I1471" i="1"/>
  <c r="I1473" i="1"/>
  <c r="I1437" i="1"/>
  <c r="B1341" i="1"/>
  <c r="C1338" i="1" s="1"/>
  <c r="C1341" i="1" s="1"/>
  <c r="D1338" i="1" s="1"/>
  <c r="D1341" i="1" s="1"/>
  <c r="E1338" i="1" s="1"/>
  <c r="E1341" i="1" s="1"/>
  <c r="F1338" i="1" s="1"/>
  <c r="F1341" i="1" s="1"/>
  <c r="G1338" i="1" s="1"/>
  <c r="G1341" i="1" s="1"/>
  <c r="K1018" i="1"/>
  <c r="K1021" i="1" s="1"/>
  <c r="L1018" i="1" s="1"/>
  <c r="L1021" i="1" s="1"/>
  <c r="M1018" i="1" s="1"/>
  <c r="M1021" i="1" s="1"/>
  <c r="N1018" i="1" s="1"/>
  <c r="N1021" i="1" s="1"/>
  <c r="O1018" i="1" s="1"/>
  <c r="O1021" i="1" s="1"/>
  <c r="H1018" i="1"/>
  <c r="H1021" i="1" s="1"/>
  <c r="I1018" i="1" s="1"/>
  <c r="I1021" i="1" s="1"/>
  <c r="J1018" i="1" s="1"/>
  <c r="J1021" i="1" s="1"/>
  <c r="D1608" i="1"/>
  <c r="D1611" i="1" s="1"/>
  <c r="C1608" i="1"/>
  <c r="C1611" i="1" s="1"/>
  <c r="E1608" i="1" s="1"/>
  <c r="E1611" i="1" s="1"/>
  <c r="G176" i="1"/>
  <c r="G179" i="1" s="1"/>
  <c r="F872" i="1"/>
  <c r="F875" i="1" s="1"/>
  <c r="G872" i="1" s="1"/>
  <c r="G875" i="1" s="1"/>
  <c r="H872" i="1" s="1"/>
  <c r="H875" i="1" s="1"/>
  <c r="I872" i="1" s="1"/>
  <c r="I875" i="1" s="1"/>
  <c r="J872" i="1" s="1"/>
  <c r="J875" i="1" s="1"/>
  <c r="K872" i="1" s="1"/>
  <c r="F854" i="1"/>
  <c r="E854" i="1"/>
  <c r="D854" i="1"/>
  <c r="C851" i="1"/>
  <c r="C854" i="1" s="1"/>
  <c r="B851" i="1"/>
  <c r="B854" i="1" s="1"/>
  <c r="F833" i="1"/>
  <c r="E830" i="1"/>
  <c r="D830" i="1"/>
  <c r="D833" i="1" s="1"/>
  <c r="C830" i="1"/>
  <c r="C833" i="1" s="1"/>
  <c r="B830" i="1"/>
  <c r="B833" i="1" s="1"/>
  <c r="B1487" i="1"/>
  <c r="B1486" i="1" s="1"/>
  <c r="B1471" i="1"/>
  <c r="B1470" i="1" s="1"/>
  <c r="B324" i="1"/>
  <c r="B190" i="1"/>
  <c r="B55" i="1"/>
  <c r="H1253" i="1"/>
  <c r="H1256" i="1" s="1"/>
  <c r="G547" i="1"/>
  <c r="G550" i="1" s="1"/>
  <c r="G532" i="1"/>
  <c r="G535" i="1" s="1"/>
  <c r="F535" i="1"/>
  <c r="F518" i="1"/>
  <c r="G515" i="1"/>
  <c r="G518" i="1" s="1"/>
  <c r="F502" i="1"/>
  <c r="G499" i="1"/>
  <c r="G502" i="1" s="1"/>
  <c r="F464" i="1"/>
  <c r="G461" i="1"/>
  <c r="G464" i="1" s="1"/>
  <c r="G444" i="1"/>
  <c r="G447" i="1" s="1"/>
  <c r="I444" i="1" s="1"/>
  <c r="I447" i="1" s="1"/>
  <c r="F444" i="1"/>
  <c r="F447" i="1" s="1"/>
  <c r="H444" i="1" s="1"/>
  <c r="K411" i="1"/>
  <c r="M408" i="1"/>
  <c r="M411" i="1" s="1"/>
  <c r="K395" i="1"/>
  <c r="M392" i="1" s="1"/>
  <c r="M395" i="1" s="1"/>
  <c r="K378" i="1"/>
  <c r="K361" i="1"/>
  <c r="K340" i="1"/>
  <c r="K343" i="1" s="1"/>
  <c r="M340" i="1" s="1"/>
  <c r="M343" i="1" s="1"/>
  <c r="M321" i="1"/>
  <c r="M324" i="1" s="1"/>
  <c r="J324" i="1"/>
  <c r="C324" i="1"/>
  <c r="D324" i="1"/>
  <c r="E324" i="1"/>
  <c r="F324" i="1"/>
  <c r="G324" i="1"/>
  <c r="I321" i="1" s="1"/>
  <c r="I324" i="1" s="1"/>
  <c r="K321" i="1" s="1"/>
  <c r="K324" i="1" s="1"/>
  <c r="H324" i="1"/>
  <c r="G646" i="1"/>
  <c r="G649" i="1" s="1"/>
  <c r="H646" i="1"/>
  <c r="H649" i="1" s="1"/>
  <c r="F646" i="1"/>
  <c r="F649" i="1" s="1"/>
  <c r="E646" i="1"/>
  <c r="E649" i="1" s="1"/>
  <c r="D646" i="1"/>
  <c r="D649" i="1" s="1"/>
  <c r="C646" i="1"/>
  <c r="C649" i="1" s="1"/>
  <c r="G638" i="1"/>
  <c r="F1739" i="1"/>
  <c r="F1742" i="1" s="1"/>
  <c r="H1739" i="1" s="1"/>
  <c r="H1742" i="1" s="1"/>
  <c r="D1742" i="1"/>
  <c r="G218" i="1"/>
  <c r="G221" i="1" s="1"/>
  <c r="C218" i="1"/>
  <c r="C221" i="1" s="1"/>
  <c r="D218" i="1"/>
  <c r="D221" i="1" s="1"/>
  <c r="E218" i="1"/>
  <c r="E221" i="1" s="1"/>
  <c r="B218" i="1"/>
  <c r="B221" i="1" s="1"/>
  <c r="F218" i="1"/>
  <c r="F221" i="1" s="1"/>
  <c r="C207" i="1"/>
  <c r="D207" i="1"/>
  <c r="B207" i="1"/>
  <c r="G204" i="1"/>
  <c r="G207" i="1" s="1"/>
  <c r="F204" i="1"/>
  <c r="F207" i="1" s="1"/>
  <c r="E204" i="1"/>
  <c r="E207" i="1" s="1"/>
  <c r="G190" i="1"/>
  <c r="F190" i="1"/>
  <c r="E190" i="1"/>
  <c r="D190" i="1"/>
  <c r="C190" i="1"/>
  <c r="D1711" i="1"/>
  <c r="E1709" i="1"/>
  <c r="E1708" i="1" s="1"/>
  <c r="E1711" i="1" s="1"/>
  <c r="E1691" i="1"/>
  <c r="E1690" i="1" s="1"/>
  <c r="E1693" i="1" s="1"/>
  <c r="H1487" i="1"/>
  <c r="H1437" i="1"/>
  <c r="F2035" i="1"/>
  <c r="E2035" i="1"/>
  <c r="D2035" i="1"/>
  <c r="C2035" i="1"/>
  <c r="D1999" i="1"/>
  <c r="F1977" i="1"/>
  <c r="E1977" i="1"/>
  <c r="C55" i="1"/>
  <c r="G1304" i="1"/>
  <c r="G1285" i="1"/>
  <c r="G1256" i="1"/>
  <c r="F1256" i="1"/>
  <c r="G1244" i="1"/>
  <c r="G1233" i="1"/>
  <c r="G820" i="1"/>
  <c r="F820" i="1"/>
  <c r="E820" i="1"/>
  <c r="D808" i="1"/>
  <c r="G808" i="1"/>
  <c r="E808" i="1"/>
  <c r="H791" i="1"/>
  <c r="H794" i="1" s="1"/>
  <c r="G794" i="1"/>
  <c r="I791" i="1" s="1"/>
  <c r="I794" i="1" s="1"/>
  <c r="G730" i="1"/>
  <c r="I727" i="1"/>
  <c r="I730" i="1" s="1"/>
  <c r="G716" i="1"/>
  <c r="I713" i="1" s="1"/>
  <c r="I716" i="1" s="1"/>
  <c r="K713" i="1" s="1"/>
  <c r="K716" i="1" s="1"/>
  <c r="D1567" i="1"/>
  <c r="E1564" i="1"/>
  <c r="E1567" i="1" s="1"/>
  <c r="G1791" i="1"/>
  <c r="G1789" i="1"/>
  <c r="F1791" i="1"/>
  <c r="F1789" i="1"/>
  <c r="F1776" i="1"/>
  <c r="F155" i="1"/>
  <c r="F158" i="1" s="1"/>
  <c r="E155" i="1"/>
  <c r="E158" i="1" s="1"/>
  <c r="D158" i="1"/>
  <c r="C158" i="1"/>
  <c r="F138" i="1"/>
  <c r="F141" i="1" s="1"/>
  <c r="E138" i="1"/>
  <c r="E141" i="1" s="1"/>
  <c r="D141" i="1"/>
  <c r="C141" i="1"/>
  <c r="D125" i="1"/>
  <c r="F122" i="1" s="1"/>
  <c r="F125" i="1" s="1"/>
  <c r="E125" i="1"/>
  <c r="C125" i="1"/>
  <c r="D106" i="1"/>
  <c r="C106" i="1"/>
  <c r="E103" i="1" s="1"/>
  <c r="E106" i="1" s="1"/>
  <c r="G1437" i="1"/>
  <c r="F1437" i="1"/>
  <c r="E1437" i="1"/>
  <c r="D1437" i="1"/>
  <c r="F638" i="1"/>
  <c r="H635" i="1" s="1"/>
  <c r="H638" i="1" s="1"/>
  <c r="E638" i="1"/>
  <c r="D638" i="1"/>
  <c r="D1487" i="1"/>
  <c r="D1486" i="1" s="1"/>
  <c r="D1489" i="1" s="1"/>
  <c r="E1487" i="1" s="1"/>
  <c r="E1486" i="1" s="1"/>
  <c r="E1489" i="1" s="1"/>
  <c r="H1486" i="1"/>
  <c r="H1489" i="1" s="1"/>
  <c r="F1486" i="1"/>
  <c r="F1489" i="1" s="1"/>
  <c r="D1473" i="1"/>
  <c r="C1471" i="1"/>
  <c r="C1470" i="1" s="1"/>
  <c r="D515" i="1"/>
  <c r="C1435" i="1"/>
  <c r="C1434" i="1" s="1"/>
  <c r="C1437" i="1" s="1"/>
  <c r="B1435" i="1"/>
  <c r="B1434" i="1" s="1"/>
  <c r="B1437" i="1" s="1"/>
  <c r="C1776" i="1"/>
  <c r="D1776" i="1"/>
  <c r="E1776" i="1"/>
  <c r="P1018" i="1" l="1"/>
  <c r="P1021" i="1" s="1"/>
  <c r="Q1018" i="1" s="1"/>
  <c r="H2100" i="1"/>
  <c r="H2103" i="1" s="1"/>
  <c r="I2100" i="1" s="1"/>
  <c r="I2103" i="1" s="1"/>
  <c r="J2100" i="1" s="1"/>
  <c r="H1338" i="1"/>
  <c r="H1341" i="1" s="1"/>
  <c r="I1338" i="1" s="1"/>
  <c r="I1341" i="1" s="1"/>
  <c r="J1338" i="1" s="1"/>
  <c r="O1446" i="1"/>
  <c r="O1445" i="1" s="1"/>
  <c r="O1448" i="1" s="1"/>
  <c r="P1446" i="1" s="1"/>
  <c r="P1445" i="1" s="1"/>
  <c r="C1881" i="1"/>
  <c r="C1884" i="1" s="1"/>
  <c r="C1473" i="1"/>
  <c r="E1471" i="1" s="1"/>
  <c r="E1470" i="1" s="1"/>
  <c r="E1473" i="1" s="1"/>
  <c r="F1471" i="1" s="1"/>
  <c r="F1470" i="1" s="1"/>
  <c r="F1473" i="1" s="1"/>
  <c r="G1471" i="1" s="1"/>
  <c r="G1470" i="1" s="1"/>
  <c r="G1473" i="1" s="1"/>
  <c r="H1471" i="1" s="1"/>
  <c r="H1470" i="1" s="1"/>
  <c r="H1473" i="1" s="1"/>
  <c r="B1473" i="1"/>
  <c r="D1471" i="1" s="1"/>
  <c r="D894" i="1"/>
  <c r="D897" i="1" s="1"/>
  <c r="F894" i="1" s="1"/>
  <c r="F897" i="1" s="1"/>
</calcChain>
</file>

<file path=xl/sharedStrings.xml><?xml version="1.0" encoding="utf-8"?>
<sst xmlns="http://schemas.openxmlformats.org/spreadsheetml/2006/main" count="2836" uniqueCount="1145">
  <si>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</si>
  <si>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</si>
  <si>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</si>
  <si>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</si>
  <si>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</si>
  <si>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</si>
  <si>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</si>
  <si>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</si>
  <si>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</si>
  <si>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</si>
  <si>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</si>
  <si>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</si>
  <si>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</si>
  <si>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</si>
  <si>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</si>
  <si>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</si>
  <si>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</si>
  <si>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</si>
  <si>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</si>
  <si>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</si>
  <si>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</si>
  <si>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</si>
  <si>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</si>
  <si>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</si>
  <si>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</si>
  <si>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</si>
  <si>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</si>
  <si>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</si>
  <si>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</si>
  <si>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</si>
  <si>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</si>
  <si>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</si>
  <si>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</si>
  <si>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</si>
  <si>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</si>
  <si>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</si>
  <si>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</si>
  <si>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</si>
  <si>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</si>
  <si>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</si>
  <si>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</si>
  <si>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</si>
  <si>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</si>
  <si>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</si>
  <si>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</si>
  <si>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</si>
  <si>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</si>
  <si>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</si>
  <si>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</si>
  <si>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</si>
  <si>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</si>
  <si>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</si>
  <si>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</si>
  <si>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</si>
  <si>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</si>
  <si>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</si>
  <si>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</si>
  <si>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</si>
  <si>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</si>
  <si>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</si>
  <si>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</si>
  <si>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</si>
  <si>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</si>
  <si>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</si>
  <si>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</si>
  <si>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</si>
  <si>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</si>
  <si>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</si>
  <si>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</si>
  <si>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</si>
  <si>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</si>
  <si>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</si>
  <si>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</si>
  <si>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</si>
  <si>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</si>
  <si>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</si>
  <si>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</si>
  <si>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</si>
  <si>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</si>
  <si>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</si>
  <si>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</si>
  <si>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</si>
  <si>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</si>
  <si>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</si>
  <si>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</si>
  <si>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</si>
  <si>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</si>
  <si>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</si>
  <si>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</si>
  <si>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</si>
  <si>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</si>
  <si>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</si>
  <si>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</si>
  <si>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</si>
  <si>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</si>
  <si>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</si>
  <si>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</si>
  <si>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</si>
  <si>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</si>
  <si>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</si>
  <si>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</si>
  <si>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</si>
  <si>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</si>
  <si>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</si>
  <si>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</si>
  <si>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</si>
  <si>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</si>
  <si>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</si>
  <si>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</si>
  <si>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</si>
  <si>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</si>
  <si>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</si>
  <si>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</si>
  <si>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</si>
  <si>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</si>
  <si>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</si>
  <si>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</si>
  <si>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</si>
  <si>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</si>
  <si>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</si>
  <si>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</si>
  <si>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</si>
  <si>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</si>
  <si>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</si>
  <si>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</si>
  <si>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</si>
  <si>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</si>
  <si>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</si>
  <si>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</si>
  <si>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</si>
  <si>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</si>
  <si>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</si>
  <si>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</si>
  <si>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</si>
  <si>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</si>
  <si>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</si>
  <si>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</si>
  <si>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</si>
  <si>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</si>
  <si>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</si>
  <si>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</si>
  <si>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</si>
  <si>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</si>
  <si>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</si>
  <si>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</si>
  <si>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</si>
  <si>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</si>
  <si>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</si>
  <si>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</si>
  <si>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</si>
  <si>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</si>
  <si>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</si>
  <si>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</si>
  <si>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</si>
  <si>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</si>
  <si>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</si>
  <si>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</si>
  <si>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</si>
  <si>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</si>
  <si>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</si>
  <si>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</si>
  <si>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</si>
  <si>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</si>
  <si>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</si>
  <si>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</si>
  <si>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</si>
  <si>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</si>
  <si>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</si>
  <si>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</si>
  <si>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</si>
  <si>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</si>
  <si>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</si>
  <si>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</si>
  <si>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</si>
  <si>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</si>
  <si>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</si>
  <si>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</si>
  <si>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</si>
  <si>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</si>
  <si>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</si>
  <si>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</si>
  <si>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</si>
  <si>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</si>
  <si>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</si>
  <si>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</si>
  <si>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</si>
  <si>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</si>
  <si>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</si>
  <si>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</si>
  <si>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</si>
  <si>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</si>
  <si>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</si>
  <si>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</si>
  <si>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</si>
  <si>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</si>
  <si>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</si>
  <si>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</si>
  <si>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</si>
  <si>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</si>
  <si>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</si>
  <si>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</si>
  <si>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</si>
  <si>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</si>
  <si>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</si>
  <si>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</si>
  <si>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</si>
  <si>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</si>
  <si>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</si>
  <si>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</si>
  <si>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</si>
  <si>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</si>
  <si>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</si>
  <si>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</si>
  <si>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</si>
  <si>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</si>
  <si>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</si>
  <si>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</si>
  <si>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</si>
  <si>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</si>
  <si>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</si>
  <si>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9"/>
  </si>
  <si>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</si>
  <si>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9"/>
  </si>
  <si>
    <t>JAPAN-S-ALB: Japan's overage in 2017 was deducted from the 2019 initial limit [Rec.16-07]</t>
    <phoneticPr fontId="9"/>
  </si>
  <si>
    <t>JAPAN-S-ALB: Japan's underage in 2018 was carried over to the 2020 initial limit [Rec.16-07]</t>
    <phoneticPr fontId="9"/>
  </si>
  <si>
    <t>Japan's 2019 adjusted limit = 1355t(Limit)-418.7t(2017 overage(Para5 of Rec16-07))+100t(transfer from Brasil (Para3 of Rec.16-07))+100t(transfer from S.Africa(Para3 of Rec.16-07))+800t(transfer from S.Africa(circular#888/2019))</t>
    <phoneticPr fontId="9"/>
  </si>
  <si>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</si>
  <si>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</si>
  <si>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9"/>
  </si>
  <si>
    <t>Japan's 2020 adjusted limit  = 901t(Limit)+600t(2018 carry over(Para1(3) of Rec17-03))-50t(transfer to Namibia(Para5 of Rec.17-03))</t>
    <phoneticPr fontId="9"/>
  </si>
  <si>
    <t>JAPAN-E-BFT: current catch for 2018 includes 7.42 t of dead discard.</t>
    <phoneticPr fontId="5" type="noConversion"/>
  </si>
  <si>
    <t>Japan's 2019 adjusted limit = 2544.00t(Limit)(Para5 of Rec18-02)</t>
    <phoneticPr fontId="9"/>
  </si>
  <si>
    <t>JAPAN-W-BFT: current catch for 2018 includes 1.10 t of dead discard.</t>
    <phoneticPr fontId="5" type="noConversion"/>
  </si>
  <si>
    <t>Japan's 2018 adjusted limit =15415.88(It was deducted by the "pay back" provision  in para 2(a) of Rec 16-01.)</t>
    <phoneticPr fontId="9"/>
  </si>
  <si>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</si>
  <si>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</si>
  <si>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</si>
  <si>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</si>
  <si>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</si>
  <si>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9"/>
  </si>
  <si>
    <t>Japan's 2018 adjusted limit = 390t(Limt)+16.6t(2016 carry over(Para3 of Rec15-05))</t>
    <phoneticPr fontId="9"/>
  </si>
  <si>
    <t>Japan's 2018 adjusted limit =35t(Limt)+7t(2016 carry over(35*20%)(Para3 of Rec15-05))</t>
    <phoneticPr fontId="9"/>
  </si>
  <si>
    <t>2017*</t>
  </si>
  <si>
    <t>2018**</t>
  </si>
  <si>
    <t>2019**</t>
  </si>
  <si>
    <t>50+(50*0.4)</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</si>
  <si>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</si>
  <si>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</si>
  <si>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</si>
  <si>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</si>
  <si>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</si>
  <si>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</si>
  <si>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</si>
  <si>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</si>
  <si>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</si>
  <si>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</si>
  <si>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</si>
  <si>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</si>
  <si>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</si>
  <si>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</si>
  <si>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</si>
  <si>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</si>
  <si>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</si>
  <si>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</si>
  <si>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</si>
  <si>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</si>
  <si>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</si>
  <si>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</si>
  <si>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</si>
  <si>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</si>
  <si>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</si>
  <si>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</si>
  <si>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</si>
  <si>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</si>
  <si>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</si>
  <si>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</si>
  <si>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</si>
  <si>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</si>
  <si>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</si>
  <si>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</si>
  <si>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</si>
  <si>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</si>
  <si>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</si>
  <si>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</si>
  <si>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</si>
  <si>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</si>
  <si>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</si>
  <si>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</si>
  <si>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</si>
  <si>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</si>
  <si>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</si>
  <si>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</si>
  <si>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</si>
  <si>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</si>
  <si>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</si>
  <si>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</si>
  <si>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</si>
  <si>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</si>
  <si>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</si>
  <si>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</si>
  <si>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</si>
  <si>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Adjusted limit for 2020 = 632.4 +158.1 = 790.5</t>
  </si>
  <si>
    <t>Adjusted limit for 2020 = 3907.0 + (0.15)(3907) = 4493.05 t</t>
  </si>
  <si>
    <t>Adjusted limit for 2020 = 100.0 - (100 t (Namibia (50 t), Cote d'Ivoire (25 t), Belize (25 t)) + 99.94</t>
  </si>
  <si>
    <t>Adjusted limit for 2020 = 1272.86 + (.1)(1272.86) = 1400.15 t</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</si>
  <si>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</si>
  <si>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</si>
  <si>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</si>
  <si>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</si>
  <si>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</si>
  <si>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</si>
  <si>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</si>
  <si>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</si>
  <si>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</si>
  <si>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</si>
  <si>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</si>
  <si>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</si>
  <si>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</si>
  <si>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</si>
  <si>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</si>
  <si>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</si>
  <si>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</si>
  <si>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</si>
  <si>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</si>
  <si>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</si>
  <si>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</si>
  <si>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</si>
  <si>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</si>
  <si>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</si>
  <si>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</si>
  <si>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</si>
  <si>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</si>
  <si>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</si>
  <si>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</si>
  <si>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</si>
  <si>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</si>
  <si>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</si>
  <si>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</si>
  <si>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</si>
  <si>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</si>
  <si>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</si>
  <si>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</si>
  <si>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</si>
  <si>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</si>
  <si>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</si>
  <si>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</si>
  <si>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</si>
  <si>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</si>
  <si>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</si>
  <si>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</si>
  <si>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</si>
  <si>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</si>
  <si>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</si>
  <si>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</si>
  <si>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</si>
  <si>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</si>
  <si>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</si>
  <si>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</si>
  <si>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</si>
  <si>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</si>
  <si>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</si>
  <si>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</si>
  <si>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</si>
  <si>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</si>
  <si>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</si>
  <si>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</si>
  <si>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1 : limite 2015 + 100% quota de capture initial (REC 12-02)</t>
  </si>
  <si>
    <t>2 : limite 2016 + 100% quota de capture initial (REC 14-05)</t>
  </si>
  <si>
    <t>3 : limite 2017 + Solde 2016</t>
  </si>
  <si>
    <t>4 : limite 2018 + solde 2017</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</si>
  <si>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</si>
  <si>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</si>
  <si>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</si>
  <si>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</si>
  <si>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</si>
  <si>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</si>
  <si>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</si>
  <si>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</si>
  <si>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</si>
  <si>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</si>
  <si>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</si>
  <si>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</si>
  <si>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</si>
  <si>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</si>
  <si>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</si>
  <si>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</si>
  <si>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</si>
  <si>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</si>
  <si>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</si>
  <si>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</si>
  <si>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</si>
  <si>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</si>
  <si>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</si>
  <si>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</si>
  <si>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</si>
  <si>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</si>
  <si>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</si>
  <si>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</si>
  <si>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</si>
  <si>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</si>
  <si>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</si>
  <si>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</si>
  <si>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</si>
  <si>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</si>
  <si>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</si>
  <si>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</si>
  <si>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</si>
  <si>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2020=58.9 + (Saldo Máx. 2019 = 10% Q2019) = 58.9 + 7</t>
  </si>
  <si>
    <t>2020= (25) + (5), 20% Cuota (25t)</t>
  </si>
  <si>
    <t>2021= (25) + (5), 20% Cuota (25t)</t>
  </si>
  <si>
    <t>200+(200*0.25)</t>
  </si>
  <si>
    <t>215+(200*0.25)</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</si>
  <si>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</si>
  <si>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</si>
  <si>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</si>
  <si>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</si>
  <si>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</si>
  <si>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</si>
  <si>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</si>
  <si>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</si>
  <si>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</si>
  <si>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</si>
  <si>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</si>
  <si>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</si>
  <si>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</si>
  <si>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</si>
  <si>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215+(0.25*215)</t>
  </si>
  <si>
    <t>2020: 100 t (transfer to JPN according to Rec.16-07 Para 3) and  100t (transfer to JPN according to circular#4498/2020, Rec.16-07 Para 6)</t>
  </si>
  <si>
    <t>2160+(0.25*2160)-200</t>
  </si>
  <si>
    <t>* As the balance is negative, Adjusted limit (A) = Year Limit + Balance from the previous limit</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</si>
  <si>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</si>
  <si>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</si>
  <si>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</si>
  <si>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</si>
  <si>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</si>
  <si>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</si>
  <si>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</si>
  <si>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</si>
  <si>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</si>
  <si>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</si>
  <si>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</si>
  <si>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</si>
  <si>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</si>
  <si>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</si>
  <si>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</si>
  <si>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</si>
  <si>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</si>
  <si>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</si>
  <si>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</si>
  <si>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</si>
  <si>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</si>
  <si>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</si>
  <si>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</si>
  <si>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</si>
  <si>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</si>
  <si>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</si>
  <si>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</si>
  <si>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</si>
  <si>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</si>
  <si>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</si>
  <si>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</si>
  <si>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</si>
  <si>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</si>
  <si>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</si>
  <si>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</si>
  <si>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</si>
  <si>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</si>
  <si>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</si>
  <si>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</si>
  <si>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</si>
  <si>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</si>
  <si>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</si>
  <si>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</si>
  <si>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</si>
  <si>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</si>
  <si>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</si>
  <si>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</si>
  <si>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</si>
  <si>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</si>
  <si>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</si>
  <si>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</si>
  <si>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</si>
  <si>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</si>
  <si>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</si>
  <si>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</si>
  <si>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</si>
  <si>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</si>
  <si>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</si>
  <si>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</si>
  <si>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</si>
  <si>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</si>
  <si>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</si>
  <si>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</si>
  <si>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</si>
  <si>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</si>
  <si>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</si>
  <si>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</si>
  <si>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</si>
  <si>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</si>
  <si>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</si>
  <si>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</si>
  <si>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</si>
  <si>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</si>
  <si>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</si>
  <si>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</si>
  <si>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</si>
  <si>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</si>
  <si>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</si>
  <si>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</si>
  <si>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</si>
  <si>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</si>
  <si>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</si>
  <si>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</si>
  <si>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</si>
  <si>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</si>
  <si>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</si>
  <si>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</si>
  <si>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</si>
  <si>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</si>
  <si>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</si>
  <si>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</si>
  <si>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</si>
  <si>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</si>
  <si>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</si>
  <si>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</si>
  <si>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</si>
  <si>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</si>
  <si>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</si>
  <si>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</si>
  <si>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</si>
  <si>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</si>
  <si>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</si>
  <si>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</si>
  <si>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</si>
  <si>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</si>
  <si>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</si>
  <si>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</si>
  <si>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</si>
  <si>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</si>
  <si>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</si>
  <si>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</si>
  <si>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</si>
  <si>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</si>
  <si>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</si>
  <si>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</si>
  <si>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</si>
  <si>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</si>
  <si>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</si>
  <si>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</si>
  <si>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</si>
  <si>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</si>
  <si>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</si>
  <si>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</si>
  <si>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</si>
  <si>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</si>
  <si>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</si>
  <si>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</si>
  <si>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</si>
  <si>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</si>
  <si>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</si>
  <si>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</si>
  <si>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</si>
  <si>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</si>
  <si>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</si>
  <si>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</si>
  <si>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</si>
  <si>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</si>
  <si>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</si>
  <si>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</si>
  <si>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</si>
  <si>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</si>
  <si>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</si>
  <si>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</si>
  <si>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</si>
  <si>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</si>
  <si>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</si>
  <si>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</si>
  <si>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</si>
  <si>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Adjusted limit for 2022=initial quota(200)+200*25%(not exceeding the balance of 2020)=250</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</si>
  <si>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</si>
  <si>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</si>
  <si>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</si>
  <si>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</si>
  <si>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</si>
  <si>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</si>
  <si>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</si>
  <si>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</si>
  <si>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</si>
  <si>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</si>
  <si>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</si>
  <si>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</si>
  <si>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</si>
  <si>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</si>
  <si>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</si>
  <si>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</si>
  <si>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2021(**) (*)</t>
  </si>
  <si>
    <t>Pour l'année 2021 le quota ajusté est de 2755,75  ( le quota initial 2655T+transfert quota syrie (79,2)+quota non consommé  des prises accessoires 2020 (21,55T)</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</si>
  <si>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</si>
  <si>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</si>
  <si>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</si>
  <si>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</si>
  <si>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</si>
  <si>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</si>
  <si>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</si>
  <si>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</si>
  <si>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</si>
  <si>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</si>
  <si>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</si>
  <si>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</si>
  <si>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</si>
  <si>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</si>
  <si>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</si>
  <si>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</si>
  <si>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</si>
  <si>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</si>
  <si>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</si>
  <si>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</si>
  <si>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</si>
  <si>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</si>
  <si>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</si>
  <si>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</si>
  <si>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</si>
  <si>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</si>
  <si>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</si>
  <si>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</si>
  <si>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</si>
  <si>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</si>
  <si>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</si>
  <si>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</si>
  <si>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</si>
  <si>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</si>
  <si>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</si>
  <si>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</si>
  <si>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</si>
  <si>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</si>
  <si>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</si>
  <si>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</si>
  <si>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</si>
  <si>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</si>
  <si>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ALBS</t>
  </si>
  <si>
    <t>JAPAN-S-ALB: 2022 adjusted limit = 1,355 t(Limit)+338.75t(2020 carry over(1355*25%) (para 4 of Rec. 16-07))</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</si>
  <si>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</si>
  <si>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</si>
  <si>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</si>
  <si>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</si>
  <si>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</si>
  <si>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</si>
  <si>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</si>
  <si>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JAPAN-BIGEYE: current catch for 2021 includes  5.3t of dead discard.</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</si>
  <si>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</si>
  <si>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</si>
  <si>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</si>
  <si>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</si>
  <si>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242+(0.25*215)</t>
  </si>
  <si>
    <t>242+(0.25*242)</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</si>
  <si>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</si>
  <si>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</si>
  <si>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</si>
  <si>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</si>
  <si>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</si>
  <si>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</si>
  <si>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</si>
  <si>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</si>
  <si>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</si>
  <si>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</si>
  <si>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</si>
  <si>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</si>
  <si>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</si>
  <si>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</si>
  <si>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</si>
  <si>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=1168+20%1168+50+50</t>
  </si>
  <si>
    <t>Adjusted limit for 2022 = 1341.14 + (.1)(1272.86) = 1468.43 t****</t>
  </si>
  <si>
    <t>****reflects that 10% of the 2021 initial quota may be carried forward to 2022</t>
  </si>
  <si>
    <t>Belize is carrying forward 25% of its initial catch limit (60.5t) from its balance of 268.10t in 2021 to be used in 2023</t>
  </si>
  <si>
    <t>Transfer of 200t from Chinese Taipei to Belize in 2022 and 2023</t>
  </si>
  <si>
    <t>Limit + Underages</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</si>
  <si>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</si>
  <si>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</si>
  <si>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</si>
  <si>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</si>
  <si>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</si>
  <si>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</si>
  <si>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</si>
  <si>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</si>
  <si>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</si>
  <si>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</si>
  <si>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</si>
  <si>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</si>
  <si>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IQ2021+53.75</t>
  </si>
  <si>
    <t>IQ2023+MAX 25% IQ2021</t>
  </si>
  <si>
    <t>IQ2022+53.75</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</si>
  <si>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</si>
  <si>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</si>
  <si>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</si>
  <si>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</si>
  <si>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</si>
  <si>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(6)</t>
  </si>
  <si>
    <t>(6) Límite ajustado 2022 = Límite 2022 + Saldo 2021</t>
  </si>
  <si>
    <t xml:space="preserve">(1) Límite ajustado 2017 = Límite 2017 + Saldo 2016 </t>
  </si>
  <si>
    <t>=215+(MAX. 25% from 2020 quota= 13.27t)</t>
  </si>
  <si>
    <t>=215+(MAX. 25% from 2019 quota= 38.35t)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</si>
  <si>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</si>
  <si>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</si>
  <si>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</si>
  <si>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</si>
  <si>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</si>
  <si>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</si>
  <si>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</si>
  <si>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</si>
  <si>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</si>
  <si>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</si>
  <si>
    <t>JAPAN-N-ALB:Japan's 2021 adjusted limit = BET 2021 catch * 4.5% (Para8 of Rec21-04)</t>
  </si>
  <si>
    <t>Japan´s 2022 adjusted limit = 842 t(Limit)+1400.81 t(2021 carry over(para 1C of Rec.21-02))-150 t(transfer to Morocco(para 1A) of Rec. 21-02)-35 t(transfer to Canada(para 1A of Rec. 21-02))-25 t(transfer to Mauritania(para 1A of Rec. 21-02)).</t>
  </si>
  <si>
    <t>JAPAN-BIGEYE:Japan's 2022 adjusted limit = 13868.00(Para 4 of Rec.21-01)+1397.9(2020 carry over(13979.84*10%)(Para12 of Rec21-01)-600(transfer to China (Footnote2 of Para.8  of Rec.21-01))-300(transfer to Europian Union (Footnote 2 of Para.8 of Rec.21-01))</t>
  </si>
  <si>
    <t>Limit 2023 + 25%  2021 limit</t>
  </si>
  <si>
    <t>The underharvest of the EU in 2021 was of 1766.56 t.  In line with Rec 16-07, the EU is entitled to carry over  367,5 t to 2023, corresponding to 25% of its initial quota for 2021.</t>
  </si>
  <si>
    <t>=9400+1699+85</t>
  </si>
  <si>
    <t>2022 adjusted quota is 11244.00 t (=9400+1699) due to the inclusion of 2020 underage and 2021 initial catch quota + 85t (Rec. 16-07 Para 4b) as complement from total underage from the TAC, where 85t  is what is left from the total underage from the TAC from 2020, minus the underages to be used by those CPCs wishing to do so</t>
  </si>
  <si>
    <t>IQ2022 + 2020 balance</t>
  </si>
  <si>
    <t>IQ2023 + 2021 balance</t>
  </si>
  <si>
    <t xml:space="preserve">De las 25.00 t de atún blanco del Atlántico Sur asignadas a Panamá para 2020, hubo una captura de 31.34 t, dando como resultado un excedente de 6.34t. El excedente fue saldado en 2021, ya que de las 25.00t asignadas para 2021, solo hubo una captura de 17.22t quedando un remanente preliminar para 2021 de 7.78t de las cuales se dedujo el excedente de 6.34t de 2020, quedando 2021 con un remanente de 1.44t. </t>
  </si>
  <si>
    <t>2011=95t+42t (No transfer to Canada for 2011)</t>
  </si>
  <si>
    <t>2012=95t+36.5t -86.50t ( transfer to CAN from 2012 quota) por Rec. 10-03</t>
  </si>
  <si>
    <t>2013=95t+52.90t (No transfer to Canada for 2013) por Rec.12-02</t>
  </si>
  <si>
    <t>2014=95t+95t-86.5t (transfer to Canada for 2014) por Rec. 13-09</t>
  </si>
  <si>
    <t>2015=108.98+52.50-86.50 (transfer to Canada for 2015) por Rec. 14-05</t>
  </si>
  <si>
    <t>2016=108.98+21.98-51.98 (transfer to Canada) por Rec. 14-05</t>
  </si>
  <si>
    <t>2017=108.98+23.98-55.98(transfer to Canada) por Rec. 16-08</t>
  </si>
  <si>
    <t>2018=128.44+42.98-73.98 (transfer to Canada) por Rec. 17-06</t>
  </si>
  <si>
    <t>2019=128.44+17.44-60.44 (transfer to Canada) por Rec. 17-06</t>
  </si>
  <si>
    <t>2020= 128.44+46.44-79.44 (transfer to Canada) por Rec. 17-06</t>
  </si>
  <si>
    <t>2021= 128.44+67.44-transfer to Canada (100.44t) por Rec. 20-06</t>
  </si>
  <si>
    <t>2018 = Initial allocation +Mexican transfer (73.98) + underharvest from 2017 (MAX 10% IQ 2017)</t>
  </si>
  <si>
    <t>2019 = Initial allocation +Mexican transfer (60.44) + SPM transfer (9.62)+ underharvest from 2018 (53.06 = 10% of 2018 initial)</t>
  </si>
  <si>
    <t>2020 = Initial allocation +Mexican transfer (79.44) + SPM transfer (4.78)+ underharvest from 2019 (20.84)</t>
  </si>
  <si>
    <t>2021 = Initial allocation +Mexican transfer (100.44) + SPM transfer (4.78) + underharvest from 2020 (44.05)</t>
  </si>
  <si>
    <r>
      <rPr>
        <vertAlign val="superscript"/>
        <sz val="10"/>
        <rFont val="Cambria"/>
        <family val="1"/>
      </rPr>
      <t>1</t>
    </r>
    <r>
      <rPr>
        <sz val="10"/>
        <rFont val="Cambria"/>
        <family val="1"/>
      </rPr>
      <t xml:space="preserve"> Transfer from Japan</t>
    </r>
  </si>
  <si>
    <t>13.97+170</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</si>
  <si>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145t. </t>
  </si>
  <si>
    <t>7 (A) = Limit 2022 + Carry over from Balance 2020 MAX. 10%3968.23 (396.82) Rec. 21-01 Para 12</t>
  </si>
  <si>
    <t>2020 catch limit for Ghana has been corrected from 3716.00 to 3968.23 as the former one was reported by Ghana applying a payback condoned in Rec. 18-01 para 2</t>
  </si>
  <si>
    <t>Quota ajustée 2020: 265 tonnes  = quota initial alloué au Maroc 2020 (215 t) + 50 tonnes ( reliquat= 25% du quota initial (200)). Recommandation ICCAT 17-04</t>
  </si>
  <si>
    <t>Quota ajustée 2021: 295,75 tonnes  = quota initial alloué au Maroc 2021 (242 t) + 53,75 tonnes ( reliquat= 25% du quota initial 2019 (215 tonnes) ). Rec ICCAT 17-04, 20-04</t>
  </si>
  <si>
    <t>Quota ajustée 2022: 295,75 tonnes  = quota initial alloué au Maroc 2022 (242 t) + 53,75 tonnes ( reliquat= 25% du quota initial 2020 (215 tonnes) ). Rec ICCAT 17-04, 20-04</t>
  </si>
  <si>
    <t>Quota ajustée 2023: 302,50 tonnes  = quota initial alloué au Maroc 2023 (242 t) + 60,50 tonnes ( reliquat= 25% du quota initial 2021 (242 tonnes) ). Rec ICCAT 21-04</t>
  </si>
  <si>
    <t>Quota ajustée 2018 : 900 tonnes = 950 (quota initial 850+100 tranféré du japon) - 50 de surconsommation de 2016</t>
  </si>
  <si>
    <t>Quota ajustée 2019: 1000 tonnes = quota initial alloué au Maroc 2019 (850t)+ 100t (transférées par le Japon au Maroc) + 50 de sousconsommation de 2017</t>
  </si>
  <si>
    <t>Quota ajustée 2020: 995 tonnes = quota initial alloué au Maroc 2020 (850t) + 150t (transférées par le Japon au Maroc)+20t (transférée par le Taipei Chinois)+ 25t (transférée par le Trinité-et-Tobago) - 50 de surconsommation de 2018</t>
  </si>
  <si>
    <t>Quota ajustée 2021: 1095 tonnes = quota initial alloué au Maroc 2020 (850t) + 150t (transférées par le Japon au Maroc)+20t (transférée par le Taipei Chinois)+ 25t (transférée par le Trinité-et-Tobago) + 50 de sousconsommation de 2019</t>
  </si>
  <si>
    <t>Quota ajusté 2022: 1104,18 tonnes = quota initial alloué au Maroc (850t)+ 150t (transférées par le Japon au Maroc)+20t (transférée par le Taipei Chinois)+ 25t (transférée par le Trinité-et-Tobago) + 59,18 (15% du quota initail) de sousconsommation de 2020</t>
  </si>
  <si>
    <t>Quota ajusté 2023:  1172,50 tonnes = quota initial alloué au Maroc (850t) + 127,50 (15% du quota initail) de sousconsommation de 2021+ 150t (transférées par le Japon au Maroc)+20t (transférée par le Taipei Chinois)+ 25t (transférée par le Trinité-et-Tobago) . Rec ICCAT 21-02</t>
  </si>
  <si>
    <t>Quota ajustée 2023: 3703 tonnes = quota initial alloué au Maroc 2023 (3700 t) + 3 tonnes (reliquat de l'année 2022) Rec. 22-08</t>
  </si>
  <si>
    <t>Quota ajustée 2020: 3488.62 = quota initial alloué au Maroc 2020 (3284 t) + 204.62 t (transféré par l'Egypte au Maroc). Recommandation ICCAT 19-04</t>
  </si>
  <si>
    <t>Quota ajustée 2021: 3318,91 tonnes = quota initial alloué au Maroc 2020 (3284 t) + 34,91 tonnes (reliquat de l'année 2020). Rec. 20-07</t>
  </si>
  <si>
    <t>Quota ajustée 2022: 3568,27 tonnes = quota initial alloué au Maroc 2020 (3284 t) + 24,65 tonnes (reliquat de l'année 2021) transfert de l'Egypte (259,62 tonnes) Rec. 21-08</t>
  </si>
  <si>
    <t>Quota ajustée 2024: -02 tonnes = quota initial alloué au Maroc 2021 (10t) -12 tonnes (surconsommation). Recommandation ICCAT 19-05/para 3 amendant la Rec 15-05</t>
  </si>
  <si>
    <t>Quota ajustée 2020: -42 tonnes = quota initial alloué au Maroc 2020 (10t) - 52 t (surconsommation). Recommandation ICCAT 19-05/para 3 amendant la Rec 15-05</t>
  </si>
  <si>
    <t>Quota ajustée 2021: -32 tonnes = quota initial alloué au Maroc 2021 (10t) - 42 tonnes (surconsommation). Recommandation ICCAT 19-05/para 3 amendant la Rec 15-05</t>
  </si>
  <si>
    <t>Quota ajustée 2022: -22 tonnes = quota initial alloué au Maroc 2022 (10t) - 32 tonnes (surconsommation). Recommandation ICCAT 19-05/para 3 amendant la Rec 15-05</t>
  </si>
  <si>
    <t>Quota ajustée 2023: -12 tonnes = quota initial alloué au Maroc 2023 (10t) -22 tonnes (surconsommation). Recommandation ICCAT 19-05/para 3 amendant la Rec 15-05</t>
  </si>
  <si>
    <t>ALBANIA</t>
  </si>
  <si>
    <t>Q2022+5%Q2021=170+0.05*170</t>
  </si>
  <si>
    <t>2022: Current catches for the year 2021 were 148.4 ton (underharvest) and we used the total amount of 5% of the quota of previues year (8.5 t). 1t dedicated to bycacth aacording to Albania´s 2022 BFTE Fishing plan</t>
  </si>
  <si>
    <t>IQ2019+25%Q2017</t>
  </si>
  <si>
    <t>IQ2020+25%Q2018</t>
  </si>
  <si>
    <t>IQ2021+25%Q2019</t>
  </si>
  <si>
    <t>IQ2022+25%Q2020</t>
  </si>
  <si>
    <t>IQ2023+25%Q2021</t>
  </si>
  <si>
    <t>Belize is carrying forward 25% of its initial catch limit (60.5t) from its balance of 283.42t in 2022 to be used in 2024</t>
  </si>
  <si>
    <t>*Belize is carrying forward 25% of its initial balance (62.5 t) from its balance of 281.66 in 2021 to be used in 2023</t>
  </si>
  <si>
    <t>*Belize is carrying forward 40% of its initial limit (52 t) from its initial balance of 163 t in 2021 to be used in 2023. Transfer of 75 t from Trinidad and Tobago to Belize</t>
  </si>
  <si>
    <t>*Belize is carrying forward 40% of its initial limit (52 t) from its initial balance of 187.26 t in 2022 to be used in 2024. Transfer of 75 t from Trinidad and Tobago to Belize</t>
  </si>
  <si>
    <t>2023 = Initial allocation + transfers (from Senegal 125t, Japan 35t, Chinese Taipe 35t, and the EU 327t) + underage from 2021 (202.2t - max. carry forward)</t>
  </si>
  <si>
    <t>2022 = Initial allocation + Mexican transfer (60) + SPM transfer (4.78) + underharvest from 2021 (51.33)</t>
  </si>
  <si>
    <t>Adjusted limited for 2023=242(initial quota)+4.43(carryover 2021)=246.43</t>
  </si>
  <si>
    <t>Adjusted limit for 2023=initial quota(240)+200*25%(not exceeding the balance of 2021)=290</t>
  </si>
  <si>
    <t>Adjusted limit for 2023=initial quota(100)+available balance of 2021 (100*15%=15t)=115t</t>
  </si>
  <si>
    <t>Adjusted limit for 2023=initial quota(313)+313*10%(carryover 2021)= 344.3</t>
  </si>
  <si>
    <t>Adjusted limite for 2023=initial quota(4426.38)+4390.69*10%+600 ton transfer from Japan=5465.45</t>
  </si>
  <si>
    <t>According to Rec. 19-05 Para 3c): “Starting with 2020 catches, any underharvest by a CPC of its annual landings limit may not be carried forward to a subsequent year.”</t>
  </si>
  <si>
    <t>2023 adjusted quota is 5321.13 t (=4416.9+4416.9*0.25-200)  due to the inclusion of 2021 underage and 2023 initial catch quota and the deduction of transfers of 200 t to Belize.</t>
  </si>
  <si>
    <t>=4416.9+4416.9*0.25-200</t>
  </si>
  <si>
    <t xml:space="preserve">2023 adjusted quota is 323 t (=270+270*40%-35-20) due to the inclusion of 2021 underage and 2023 initial catch quota and the deduction of respective transfers of 35 t to Canada and 20 t to Morocco. </t>
  </si>
  <si>
    <t>=459+459*10%</t>
  </si>
  <si>
    <t>2023 adjusted quota is 504.9 t (=459 + 459*10%) due to the inclusion of 2022 underage and 2023 initial catch quota.</t>
  </si>
  <si>
    <t>=101-50</t>
  </si>
  <si>
    <t>2023 adjusted quota is 51 t (=101-50) due to the transfer of 50t to Korea.</t>
  </si>
  <si>
    <t>=9078.79+(11679*10%)+223</t>
  </si>
  <si>
    <t>=9152.6+(9226.41*10%)+223</t>
  </si>
  <si>
    <t>=9152.6+(9078.79*10%)+223</t>
  </si>
  <si>
    <t>2023 adjusted quota is 10283.48 t = 9152.6 (initial quota) +9078.79*10% (carry over of 10% of 2021 initial quota pursuant to Rec.22-01) +223 (transfer from Korea).</t>
  </si>
  <si>
    <t>Límite ajustado para 2023 = 242 + 60,5 = 302,50 t</t>
  </si>
  <si>
    <t>[8]</t>
  </si>
  <si>
    <t>[8]= Límite de 2023 + balance de 2022</t>
  </si>
  <si>
    <t xml:space="preserve">** Durante los años anteriores a 2020, El Salvador no estaba sujeto a límite (Rec. 16-01, Par 34.a), sino a una expectativa de pesca, por ello No Aplica los límites, limites ajustados ni saldos. Para el año 2020 (Rec. 19-02) se reconoce un límite.																										</t>
  </si>
  <si>
    <t>*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t>
  </si>
  <si>
    <t>2022(***)</t>
  </si>
  <si>
    <t>***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</si>
  <si>
    <t>=215+(MAX. 25% from 2021 quota= 13.27t)</t>
  </si>
  <si>
    <t>The applied methodology is described in Recs. 13-06, 16-07, 20-05, 21-05, 22-06</t>
  </si>
  <si>
    <t>The applied methodology is described in Recs. 16-03, 17-02, 19-03, 20-02, 21-02, 22-03</t>
  </si>
  <si>
    <t>2 : limite 2015 + 25% quota de capture initial 2014 (REC 11-04 et REC 13-05)</t>
  </si>
  <si>
    <t>3 : limite 2016 + 25% quota de capture initial 2015 (REC 13-05)</t>
  </si>
  <si>
    <t>4 : limite 2017 + 25% quota de capture initial 2016 (REC 13-05 et REC 16-06)</t>
  </si>
  <si>
    <t>5 : limite 2018 + 25% quota de capture initial 2017 (REC 16-06 et REC 17-04)</t>
  </si>
  <si>
    <t>6 : limite 2019 + 25% quota de capture initial 2018 (REC 16-06 et REC 17-04)</t>
  </si>
  <si>
    <t>7 : limite 2020 + 25% quota de capture initial 2019 (REC 16-06 et REC 17-04)</t>
  </si>
  <si>
    <t>8 : limite 2021 + 25% quota de capture initial 2020 (REC 20-03)</t>
  </si>
  <si>
    <t>9 : limite 2022 + 25% quota de capture initial 2021 (REC 20-03)</t>
  </si>
  <si>
    <t>10 : limite 2023 + 25% quota de capture initial 2022 (REC 20-03)</t>
  </si>
  <si>
    <t>9:  limite 2023+ 100% allocation de quota initiale (MAX Solde 2022=3.46) - CAN transfer (5.18t)  = 6.18+3.46-5.18= 4.46</t>
  </si>
  <si>
    <t>242+(242*0.25)</t>
  </si>
  <si>
    <t>2022= 149.34+33.44-transfer to Canada (60t) por Rec. 21-07</t>
  </si>
  <si>
    <t>JAPAN-N-ALB:Japan's 2022 adjusted limit = BET 2022 catch * 4.5% (Para8 of Rec21-04)</t>
  </si>
  <si>
    <t>JAPAN-S-ALB: 2023 adjusted limit = 1,630t(Limit)+206.15t(2021 carry over (para 4 of Rec. 22-06))+100(transfer from Brazil (para 3 of Rec. 22-06))+100(transfer from Uruguay(para 3 of Rec. 22-06))+100(transfer from South Africa (para 3 of Rec. 22-06))</t>
  </si>
  <si>
    <t>JAPAN-S-SWO:Japan's 2023 adjusted limit  = 901t(Limit)+600.00t(2021 carry over(Para1(2) of Rec22-04))-50t(transfer to Namibia(Para5 of Rec.17-03))</t>
  </si>
  <si>
    <t>JAPAN-E-BFT:Japan's 2023 adjusted limit = 3114.00t(Limit)(Para4 of Rec22-08)+44.4t(2022 carry over (Para6 of Rec 22-08))</t>
  </si>
  <si>
    <t>JAPAN-W-BFT:Japan's 2022 adjusted limit = 664.52t(Limit)+0.73t(2021 carry over(Para7a of Rec17-06 )</t>
  </si>
  <si>
    <t>JAPAN-W-BFT:Japan's 2023 adjusted limit = 664.52t(Limit)+7.45t(2022 carry over(Para6a of Rec22-10 )</t>
  </si>
  <si>
    <t>JAPAN-BIGEYE:Japan's 2023 adjusted limit = 13868.00(Para 4 of Rec.21-01)+1375.61 (2021 carry over(13756.16*10%)(Para12 of Rec21-01)-600(transfer to China (Footnote2 of Para.8  of Rec.22-01))-300(transfer to Europian Union (Footnote 2 of Para.8 of Rec.22-01))</t>
  </si>
  <si>
    <t>JAPAN-BUM:Japan's 2023 adjusted limit = 328.1t(Limit)(Para2 of Rec19-05)</t>
  </si>
  <si>
    <t>JAPAN-WHM・SPF:Japan's 2023 adjusted limit =35t(Limit)(Para2 of Rec19-05)</t>
  </si>
  <si>
    <t>JAPAN-N-BSH: current catch for 2021 includes  21.9t of dead discard.</t>
  </si>
  <si>
    <t>JAPAN-N-BSH:Japan's 2022 adjusted limit = 4,010t(Para1 of Rec21-10)</t>
  </si>
  <si>
    <t>JAPAN-N-BSH:Japan's 2023 adjusted limit = 4,010t(Para1 of Rec21-10)</t>
  </si>
  <si>
    <t>* Adjusted limit 2023 = initial limit 2023 (5280) + available balance 2021(not to exceed 25% of initial quota) (674.61) -100t transferred to JPN</t>
  </si>
  <si>
    <t>URUGUAY</t>
  </si>
  <si>
    <t>* Adjusted limit 2023 = initial limit 2023 (530) + available balance 2021(not to exceed 25% of initial quota) (110) - 100t transferred to JPN</t>
  </si>
  <si>
    <t>2023: IQ2023 + 25% MAX2020 - 100t transferred to JPN</t>
  </si>
  <si>
    <t>2600+(0.25*2160)-100</t>
  </si>
  <si>
    <t>(242*0.25)+242</t>
  </si>
  <si>
    <t>2023**</t>
  </si>
  <si>
    <t>**Underage up to 20% of the initial catch quota has been carried over biennially Rec.17-03. Quota calculated from 2018 to 2022</t>
  </si>
  <si>
    <t>Rec.22-04 the maximum underage that a party may carryover in any given year shall not exceed 10%of the quota of the previous year.</t>
  </si>
  <si>
    <t>50+(50*0.1)</t>
  </si>
  <si>
    <t>Rec 22-08 para 4 : Depending on availability, Chinese Taipai may transfer up to 50t of its quota to Korea in 2023 to 2025.</t>
  </si>
  <si>
    <t>Korea carried forward its unused quota of 2022(7.72t) to 2023 which is under 5% of 2022 quota (Rec 22-08 Para 6)</t>
  </si>
  <si>
    <t>200+50+7.72</t>
  </si>
  <si>
    <t>Rec.22-01 para12:underage of an annual catch limit in 2021 shall be added to their 2023 annual catch limit, subject to 10% of initial quota restrictions</t>
    <phoneticPr fontId="7" type="noConversion"/>
  </si>
  <si>
    <t>* Information and explanation regarding Korea`s 2023 catch limit are available in Document PA1_11 and PA1_35, submitted for the March PA1 meeting in 2023.</t>
    <phoneticPr fontId="7" type="noConversion"/>
  </si>
  <si>
    <t>(984*0.10)+992 - 223</t>
  </si>
  <si>
    <t>From 2016 to 2023, USA has transferred 50t to Namibia in accordance with Rec. 16-04/17-03.</t>
  </si>
  <si>
    <t>=1168+20%1168+50</t>
  </si>
  <si>
    <t>=1168+10%1168+50</t>
  </si>
  <si>
    <t>Underage up to 10% of the initial catch quota has been carried over biennially Rec.22-04. Quota calculated from 2023 on</t>
  </si>
  <si>
    <t>=3600+25%3600</t>
  </si>
  <si>
    <t>=4320+25%3600</t>
  </si>
  <si>
    <t>2023*</t>
  </si>
  <si>
    <t>2024*</t>
  </si>
  <si>
    <t>2025*</t>
  </si>
  <si>
    <t>*Rec 22.06 para 5: Overharvest in 2022 deducted in 2024 and no underages can be carried over from 2023 to 2025</t>
  </si>
  <si>
    <t>=4320 - overharvest 2022</t>
  </si>
  <si>
    <t>no carry over from 2023 due to overharvest 2022</t>
  </si>
  <si>
    <t>Limite ajustee 2022 = Limite 2022 + max. Solde (Limite 2021*0.4) -transfert Canada (125 t+25 t) = 250 + (250 * 0.4) -150= 200 t</t>
  </si>
  <si>
    <t>Limite ajustee 2023 = Limite 2023 + max. Solde (Limite 2022*0.4) -transfert Canada (125 t) = 250 + (250 * 0.4) -125= 200 t</t>
  </si>
  <si>
    <t>le calcul du quota ajusté 2023 prend en compte le solde  MAX de 2022 (Limite 2022 * 0.1 = 417*0.1=41.7) auquel est ajouté la limite 2023 417 t) ce qui donne (41.7+417=458.7) t</t>
  </si>
  <si>
    <t>2023: The 2022 underage is greater than the maximum amount that can be carried over to 2023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</si>
  <si>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8(A)=IQ2023+2t EU transfer provided by Rec. 19-05.</t>
  </si>
  <si>
    <t>Pour l'année 2023 le quota ajusté est de 3020  ( le quota initial 3000T+quota non consommé  des prises accessoires 2022 (20T)</t>
  </si>
  <si>
    <t>(7)</t>
  </si>
  <si>
    <t>(7) Límite ajustado 2023 = Límite 2023 + Saldo 2022</t>
  </si>
  <si>
    <t>IQ2024+MAX 25% IQ2022</t>
  </si>
  <si>
    <t>IQ2024+MAX 40% IQ2022</t>
  </si>
  <si>
    <t>IQ2022+Max5%IQ2021</t>
  </si>
  <si>
    <t>IQ2023+Max5%IQ2022</t>
  </si>
  <si>
    <t>IQ2024+Max5%IQ2023</t>
  </si>
  <si>
    <t xml:space="preserve">2023: The UK's IQ in 2023 is 63t. The UK's catches in 2022 were 4.61t,. The UK wants to carry over 5% of 2022 quota to 2023. Thus the UK's adjusted limit in 2023 is 65.42t. </t>
  </si>
  <si>
    <t>IQ2022+MAX100%IQ2021</t>
  </si>
  <si>
    <t>IQ2023+MAX100%IQ2022</t>
  </si>
  <si>
    <t>IQ2024+MAX100%IQ2023</t>
  </si>
  <si>
    <t xml:space="preserve">2023: The UK's quota for W.BFT for 2023 is 6.18. The UK's catches in 2022 were 0.t . The UK is permitted to transfer a maximum of 100% of 2022 Initial Quota to 2023. When the UK's carry over amount is combined with the UK's TAC for 2023. The adjusted quota for 2023 is 12.36t. </t>
  </si>
  <si>
    <t>TÜRKIYE</t>
  </si>
  <si>
    <t>ALBMed</t>
  </si>
  <si>
    <t>(*)</t>
  </si>
  <si>
    <t>(*) Türkiye transfers to EU 75 t in 2023, 75 t in 2024 and for the following years, any part of the ünüsed qüota üp to maximüm of 75 t.</t>
  </si>
  <si>
    <t>Adjusted limit for 2023 = 711.5  + (.25)(711.5) = 889.38</t>
  </si>
  <si>
    <t>Adjusted limit for 2023 = 3907.0 + (0.15)(3907) = 4493.05 t</t>
  </si>
  <si>
    <t>Adjusted limit for 2023 = 100.0 - (100 t (Namibia (50 t), Cote d'Ivoire (25 t), Belize (25 t)) + 100.0</t>
  </si>
  <si>
    <t>Adjusted limit for 2023 = 1341.14 + 106.54 = 1447.68 t****</t>
  </si>
  <si>
    <t>Initial quota/catch limit includes 25 t allocation for by-catch, as per Rec. 16-08 para 6a, Rec. 17-06 para 6a, Rec. 20-06 Para 1(4), Rec. 21-07 Para 1(D), and Rec. 22-10 para 5a.</t>
  </si>
  <si>
    <t>=10340+1005</t>
  </si>
  <si>
    <t>2023 adjusted quota is 11345.00 t (=10340+1005) due to the inclusion of 2021 underage and 2023 initial catch quota + 0 t (Rec. 22-06 Para 4b) as complement from total underage from the TAC</t>
  </si>
  <si>
    <t xml:space="preserve">In 2020 the underharvest for the EU was of 325,97 t, which is less than the maximum allowed 5% provided in Rec 19-04. Therefore, the EU is entitled to carry over  325,97 t to 2021. </t>
  </si>
  <si>
    <t>Limit 2021 + MAX5% 2020 (325.97) - 48.40 to UK</t>
  </si>
  <si>
    <t>Limit 2022 + MAX5% 2021 (573.90) - 48.40 to UK</t>
  </si>
  <si>
    <t>In Addition, the EU will transfer to United Kingdom 0,25% of its initial quota (corresponding to 19360 t) in 2021 and 2022. (48.40t)</t>
  </si>
  <si>
    <t xml:space="preserve">In 2021 the underharvest for the EU was of 573.90 t, which is less than the maximum allowed 5% provided in Rec 19-04. Therefore, the EU is entitled to carry over  573.90 t to 2022 if the current management arrangments are maintained. In Addition, the EU will transfer to United Kingdom 48,40t in 2022. </t>
  </si>
  <si>
    <t>Limit 2023+limit 2021*0,10</t>
  </si>
  <si>
    <t>In 2021 the underharvest for the EU was of 548,06 t, which is greater than the maximum allowed 10% provided in Rec 22-04. Therefore, the EU is entitled to carry over  482.4 t to 2023</t>
  </si>
  <si>
    <t>Limit 2023 +  10% Limit 2021</t>
  </si>
  <si>
    <t>2023 Limit - 2t</t>
  </si>
  <si>
    <t>50 + Balance 2020</t>
  </si>
  <si>
    <t>50 + Balance 2021</t>
  </si>
  <si>
    <t xml:space="preserve">
**Underage up to 40% of the initial catch quota has been carried over biennially Rec.17-02. Quota calculated from 2018 on</t>
  </si>
  <si>
    <t>2023 = Initial allocation + SPM transfer (5.18) + underharvest from 2022 (39.59) + Mexican transfer (60t)</t>
  </si>
  <si>
    <t>2023= 149.34+62.78-transfer to Canada (60t) por Rec. 22-10</t>
  </si>
  <si>
    <t>JAPAN-BUM:Japan's 2024 adjusted limit = 328.1t - overharvest 2022</t>
  </si>
  <si>
    <t>= 140 + MAX 25% IQ 2020</t>
  </si>
  <si>
    <t>= 170 + MAX 25% IQ 2021</t>
  </si>
  <si>
    <t>[6]= Límite de 2022 + 125% BALANCE de 2021</t>
  </si>
  <si>
    <t>[7]= Límite de 2023 + 125% BALANCE de 2022</t>
  </si>
  <si>
    <t>[2]= Límite de 2018 + balance de 2017</t>
  </si>
  <si>
    <t>[3]= Límite de 2019 + balance de 2018</t>
  </si>
  <si>
    <t>[4]= Límite de 2020 + balance de 2019</t>
  </si>
  <si>
    <t>[5]= Límite de 2021 + BALANCE de 2020</t>
  </si>
  <si>
    <t>[6] = 2022 limit + 125% 2021 Balance</t>
  </si>
  <si>
    <t>[7] = 2023 limit + 125% 2022 Balance</t>
  </si>
  <si>
    <t>SAO TOMÉ AND PRÍNCIPE</t>
  </si>
  <si>
    <t>[2] = 2018 limit + MAX 20% 2017 Balance</t>
  </si>
  <si>
    <t>[3] = 2019 limit + MAX 20% 2018 Balance</t>
  </si>
  <si>
    <t>[1] = 2017 limit + MAX 20% 2016 Balance</t>
  </si>
  <si>
    <t>[4] = 2020 limit + MAX 20% 2019 Balance</t>
  </si>
  <si>
    <t>[5] = 2021 limit</t>
  </si>
  <si>
    <t>(6) Límite ajustado 2022 = Límite 2022 + 125% Saldo 2021</t>
  </si>
  <si>
    <t>(7) Límite ajustado 2023 = Límite 2023 + 125% Saldo 2022</t>
  </si>
  <si>
    <t>* Adjusted limit 2022 = initial limit 2022 (4400) + available balance 2020(not to exceed 25% of initial quota) (874.08) - ZAF will invoke para 4f of the ICCAT Rec. 16-07, supplemented by ICCAT Rec. 21-05 to cover the over shooting of its catch limits (URY: 52.95  BRA: 259.96t)</t>
  </si>
  <si>
    <t>* Adjusted limit 2022 = initial limit 2022 (440) + available balance 2020(not to exceed 25% of initial quota) (110) - 52.95t [ZAF will invoke para 4f of the ICCAT Rec. 16-07, supplemented by ICCAT Rec. 21-05 to cover the over shooting of its catch limits (URY: 52.95  BRA: 259.96t]</t>
  </si>
  <si>
    <t>2022: IQ2022 + 25% MAX2020 - 129.95t [South Africa will invoke para 4f of the ICCAT Rec. 16-07, supplemented by ICCAT Rec. 21-05 to cover the over shooting of its catch limits (URY: 52.95  BRA: 259.96t)]</t>
  </si>
  <si>
    <t>2160+(0.25*2160)-259.96</t>
  </si>
  <si>
    <t>IQ(2015)+BALANCE(2013)</t>
  </si>
  <si>
    <t>IQ(2016)+BALANCE(2014)</t>
  </si>
  <si>
    <t>IQ(2017)+BALANCE(2015)</t>
  </si>
  <si>
    <t>IQ(2018)+BALANCE(2016)</t>
  </si>
  <si>
    <t>IQ(2019)+BALANCE(2017)</t>
  </si>
  <si>
    <t>IQ(2020)+BALANCE(2018)</t>
  </si>
  <si>
    <t>IQ(2021)+BALANCE(2019)</t>
  </si>
  <si>
    <t>IQ(2022)+125% BALANCE(2020)</t>
  </si>
  <si>
    <t>IQ(2023)+125% BALANCE(2021)</t>
  </si>
  <si>
    <t>IQ(2015)+ MAX 20% INITIAL QUOTA(2013)</t>
  </si>
  <si>
    <t>IQ(2016)+ MAX 20% INITIAL QUOTA(2014)</t>
  </si>
  <si>
    <t>IQ(2017)+MAX 20% INITIAL QUOTA(2015)</t>
  </si>
  <si>
    <t>*Belize is carrying forward 25% of its initial balance (62.5 t) from its balance of 299.76 in 2022 to be used in 2024.   As total 2022 underage is only 153.83t, pro rata carry over is 3.72t</t>
  </si>
  <si>
    <t>Adjusted limit for 2024=initial quota(240) +  2.98. As total 2022 underage is only 153.83t, pro rata carry over is 2.98t</t>
  </si>
  <si>
    <t>=10340+139.98</t>
  </si>
  <si>
    <t>=120+1.49</t>
  </si>
  <si>
    <t>2024 adjusted quota is 120+1.49 due to the inclusion of 2022 underage and 2024 initial catch quota.  As total 2022 underage is only 153.83t, pro rata carry over is 1.49</t>
  </si>
  <si>
    <t>2.08+170</t>
  </si>
  <si>
    <t xml:space="preserve"> As total 2022 underage is only 153.83t, pro rata carry over is 2.08t</t>
  </si>
  <si>
    <t>= 170 + 2.08</t>
  </si>
  <si>
    <t>=IQ2024+1.49</t>
  </si>
  <si>
    <t>2024: The UK's balance for 2022 was 125t,  As total 2022 underage is only 153.83t, pro rata carry over is 1.49t</t>
  </si>
  <si>
    <t>(1) Actual catch amount made by Türkiye in 2022 correspond to 2294.85 t (out of 2305 t). 10.15 t of underharvest from the year 2022 is to be carried-over. Adjusted quota for 2023 = 2600 t (Quota) +10.15 t (carried-over amount) + (440.79+67.08) from EGY + 128 from SYR = 3246.02</t>
  </si>
  <si>
    <t>(1) Curacao agreed on a payback plan for blue marlin of 2.5 tons per year from 2022 on. First year 2.53t. (Approved)</t>
  </si>
  <si>
    <t>*Senegal agreed on a payback plan for 2020 bigeye overharvest of 1377.77 t: 137.77 tons per year from 2023 to 2032 on. (Approved)</t>
  </si>
  <si>
    <t>The overharvest of bigeye tuna of 1,587.34 t for 2022 shall be paid back over a period of 5 years, from 2024 to 2028, in the following way: 2024: 355.34 t 2025 to 2028: 308 t</t>
  </si>
  <si>
    <t>IQ2024- 355.34</t>
  </si>
  <si>
    <t>IQ2026 -308</t>
  </si>
  <si>
    <t>IQ2027 -308</t>
  </si>
  <si>
    <t>IQ2028 -308</t>
  </si>
  <si>
    <r>
      <t>Data obtained from Task 1 whenever no data was reported in the Compliance Tables are shown in</t>
    </r>
    <r>
      <rPr>
        <sz val="11"/>
        <rFont val="Cambria"/>
        <family val="1"/>
      </rPr>
      <t xml:space="preserve"> </t>
    </r>
    <r>
      <rPr>
        <b/>
        <sz val="11"/>
        <rFont val="Cambria"/>
        <family val="1"/>
      </rPr>
      <t>bold</t>
    </r>
    <r>
      <rPr>
        <b/>
        <sz val="10"/>
        <rFont val="Cambria"/>
        <family val="1"/>
      </rPr>
      <t xml:space="preserve"> / </t>
    </r>
    <r>
      <rPr>
        <sz val="10"/>
        <rFont val="Cambria"/>
        <family val="1"/>
      </rPr>
      <t xml:space="preserve">Les données obtenues dans le cadre de la tâche 1 lorsqu'aucune donnée n'a été déclarée dans les tableaux d’application figurent en </t>
    </r>
    <r>
      <rPr>
        <b/>
        <sz val="11"/>
        <rFont val="Cambria"/>
        <family val="1"/>
      </rPr>
      <t>gras</t>
    </r>
    <r>
      <rPr>
        <sz val="10"/>
        <rFont val="Cambria"/>
        <family val="1"/>
      </rPr>
      <t xml:space="preserve"> / En </t>
    </r>
    <r>
      <rPr>
        <b/>
        <sz val="11"/>
        <rFont val="Cambria"/>
        <family val="1"/>
      </rPr>
      <t>negrita</t>
    </r>
    <r>
      <rPr>
        <sz val="10"/>
        <rFont val="Cambria"/>
        <family val="1"/>
      </rPr>
      <t xml:space="preserve"> datos obtenidos de Tarea I cuando no se han reportado datos en las tablas de Cumplimiento</t>
    </r>
  </si>
  <si>
    <t>Quota ajustée 2024: 362,50 tonnes  = quota initial alloué au Maroc 2024 (302 t) + 60,50 tonnes ( reliquat= 25% du quota initial 2022 (242 tonnes) ). Rec ICCAT 21-04, 23-05</t>
  </si>
  <si>
    <t>2024: For 2024 the UK's intial quota is 752.8t of N.ALB. The UK's catches in 2022 were 125.35. Consequently the UK has a remaining balance of 370.65t. The UK is allowed to carry over unused quota to 2024 at the max carry over rate of 25% of its IQ2022 (110.56). When the 25% is applied to the IQ2022 and the quota for 2024 is added, the adjusted quota for 2024 is 863.36t</t>
  </si>
  <si>
    <t>GRENADA</t>
  </si>
  <si>
    <t>IQ(2017)+BALANCE(2016)</t>
  </si>
  <si>
    <t>IQ(2018)+BALANCE(2017)</t>
  </si>
  <si>
    <t>IQ(2019)+BALANCE(2018)</t>
  </si>
  <si>
    <t>IQ(2020)+BALANCE(2019)</t>
  </si>
  <si>
    <t>IQ(2021)+BALANCE(2020)</t>
  </si>
  <si>
    <t>IQ(2022)+125% BALANCE(2021)</t>
  </si>
  <si>
    <t>IQ(2023)+125% BALANCE(2022)</t>
  </si>
  <si>
    <t>IQ(2022)+ BALANCE(2021)</t>
  </si>
  <si>
    <t>IQ(2023)+ BALANCE(2022)</t>
  </si>
  <si>
    <t>Limit 2023 + MAX5% 2022 (973t)</t>
  </si>
  <si>
    <t>Pour l'année 2022 , le quota ajusté est de 2679.72  ( le quota initial 2655T+quota non consommé  des prises accessoires 2021 (24,72T), les prises réalisées par les senneurs  en 2022 est de 2652,762 t , les prises accessoires ( 26,55T) n'ont pas encore été arrétées</t>
  </si>
  <si>
    <t>(1) In accordance with Rec. 19-04 Para 10, Syria will transfer 79.2 t to Tunisia to be caught by vessel (MOHAMED ESSADOK,  AT000TUN00051) for only this fishing season 2021</t>
  </si>
  <si>
    <t>(2) In accordance with Rec. 22-08 Para 8, Syria will transfer 128t to TUR to be caught by vessel (Tuncay Sagun 2	AT000TUR00455) for only this fishing season 2023</t>
  </si>
  <si>
    <t>(3) In accordance with Rec. 22-08 Para 8, Syria will transfer 128t to TUR to be caught by vessels (BANDIRMA BALIKÇILIK AT000TUR08044 39630 kg, KORKMAZLAR BALIKÇILIK AT000TUR07905 88370 kg) for only this fishing season 2024</t>
  </si>
  <si>
    <t>2024 adjusted limit: Egypt intends to transfer 507.87 ton from its quota to Türkiye</t>
  </si>
  <si>
    <t>(2) Adjusted quota for 2024 = 2600 t (Quota) -35.13t overharvest in 2023 + 128t from SYR + 507.87t from EGY = 3200.74t</t>
  </si>
  <si>
    <t>2024 adjusted quota is 51 t (=101-50) due to the transfer of 50t to Korea.</t>
  </si>
  <si>
    <t>Quota ajustée 2025: 362,50 tonnes  = quota initial alloué au Maroc 2024 (302 t) + 60,50 tonnes ( reliquat= 25% du quota initial 2022 (242 tonnes) ). Rec ICCAT 21-04, 23-05</t>
  </si>
  <si>
    <t>Quota ajusté 2024:  1261,83 tonnes = quota initial alloué au Maroc (850 t) + 18,81 t (reliquat= 15% du quota initial 2022 (850 t) + 150 t (transférées par le Japon au Maroc)+20 t (transférée par le Taipei Chinois)+ 25 t (transférée par le Trinité-et-Tobago) + 200 T (Transfrt des Etats Unies dés la soumission du plan de pêche). Rec ICCAT 21-02, 23-04</t>
  </si>
  <si>
    <t>Quota ajusté 2025: 1272,43 tonnes = quota initial alloué au Maroc (850 t) + 27,43 t (reliquat= 15% du quota initial 2022 (850 t) + 150 t (transférées par le Japon au Maroc)+20 t (transférée par le Taipei Chinois)+ 25 t (transférée par le Trinité-et-Tobago) + 200 T (Transfrt des Etats Unies dés la soumission du plan de pêche). Rec ICCAT 21-02, 23-04</t>
  </si>
  <si>
    <t>Quota ajustée 2024: 3739 tonnes = quota initial alloué au Maroc 2024 (3700 t) + 39 tonnes (reliquat de l'année 2023) Rec. 22-08, 23-06</t>
  </si>
  <si>
    <t>2015 = Initial allocation + Mexican transfer (86.50) + underage from 2014 (24.4)</t>
  </si>
  <si>
    <t>2016 = Initial allocation  + mexican transfer (51.98) + underage from 2014 (30.03)</t>
  </si>
  <si>
    <t>2017 = Initial allocation  + 55.98 (transfer from MEX) Rec. 16-08 + underharvest from 2016 (MAX 10% IQ 2016)</t>
  </si>
  <si>
    <t>2024 adjusted quota is 6425.33 t (=5521.1+4416.9*0.25-200)  due to the inclusion of 2022 underage and 2024 initial catch quota and the deduction of transfers of 200 t to Belize.</t>
  </si>
  <si>
    <t>=5521.1+4416.9*0.25-200</t>
  </si>
  <si>
    <t xml:space="preserve">2024 adjusted quota is 323 t (=270+270*40%-35-20) due to the inclusion of 2022 underage and 2024 initial catch quota and the deduction of respective transfers of 35 t to Canada and 20 t to Morocco. </t>
  </si>
  <si>
    <t>2024 adjusted quota is 504.9 t (=459 + 459*10%) due to the inclusion of 2023 underage and 2024 initial catch quota.</t>
    <phoneticPr fontId="1" type="noConversion"/>
  </si>
  <si>
    <t>2024 adjusted quota is 10283.48 t = 9152.6 (initial quota) +9152.6*10% (carry over of 10% of 2022 initial quota pursuant to Rec.22-01) +223 (transfer from Korea).</t>
  </si>
  <si>
    <t>=9152.6+(9152.6*10%)+223</t>
  </si>
  <si>
    <t>11 : limite 2024 + 25% quota de capture initial 2023 (REC 23-05)</t>
  </si>
  <si>
    <r>
      <t xml:space="preserve">9 : limite 2023 + 40% limite de capture initiale (Rec.22-03) </t>
    </r>
    <r>
      <rPr>
        <strike/>
        <sz val="10"/>
        <rFont val="Cambria"/>
        <family val="1"/>
      </rPr>
      <t>+ 40 tonnes transférées de l'Union Européenne (REC 17-02)=40+(40*0.4)+40=96</t>
    </r>
    <r>
      <rPr>
        <sz val="10"/>
        <rFont val="Cambria"/>
        <family val="1"/>
      </rPr>
      <t xml:space="preserve"> = 56</t>
    </r>
  </si>
  <si>
    <t>8 : limite 2022 + 40% limite de capture initiale (Rec.21-02) + 40 tonnes transférées de l'Union Européenne (REC 17-02)=40+(40*0.4)+40=96</t>
  </si>
  <si>
    <t>7 : limite 2021 + 40% limite de capture initiale (Rec.20-02) + 40 tonnes transférées de l'Union Européenne (REC 17-02)+ 12,75 tonnes transférées du Vénézuela (REC 17-02)=40+(40*0.4)+40+12.75=108.75</t>
  </si>
  <si>
    <t>6 : limite 2020 + 40% limite de capture initiale (Rec.19-03) + 40 tonnes transférées de l'Union Européenne (REC 17-02)+ 12,75 tonnes transférées du Vénézuela (REC 17-02)=40+(40*0.4)+40+12.75=108.75</t>
  </si>
  <si>
    <t>5 : limite 2019 + 40% limite de capture initiale (Rec.17-02) + 40 tonnes transférées de l'Union Européenne (REC 17-02)+ 12,75 tonnes transférées du Vénézuela (REC 17-02)=40+(40*0.4)+40+12.75=108.75</t>
  </si>
  <si>
    <t>4 : limite 2018 + 40% limite de capture initiale (Rec.17-02) + 40 tonnes transférées de l'Union Européenne (REC 17-02)+ 12,75 tonnes transférées du Vénézuela (REC 17-02)=40+(40*0.4)+40+12.75=108.75</t>
  </si>
  <si>
    <t>10 : limite 2024 + 40% limite de capture initiale (Rec.23-04) + 40 tonnes transférées de l'Union Européenne (REC 17-02)=40+(40*0.4)+40=96</t>
  </si>
  <si>
    <t>10:  limite 2024+ 100% allocation de quota initiale (MAX Solde 2023=4.46) = 6.18+4.46= 10.64</t>
  </si>
  <si>
    <t>2024 = Initial allocation + Mexican transfer (60t) + underharvest from 2023 (53.10)</t>
  </si>
  <si>
    <t>2024 = Initial allocation + transfers (from Senegal 125t, Japan 35t, Chinese Taipe 35t, and the EU 280t) + underage from 2022 (202.2t - max. carry forward)</t>
  </si>
  <si>
    <t>8 (A) = Limit 2023 + Carry over from Balance 2021 MAX. 10%3904.74 (390.47) Rec. 22-01 Para 12</t>
  </si>
  <si>
    <t>ALGERIE</t>
  </si>
  <si>
    <t>Q2024+ max 5%Q2023=2023+23</t>
  </si>
  <si>
    <t>2024: In accordance with paragraph 6 of Rec. 22-08, Algeria requests a transfer of 23 t (1.14%) of its 2023 unused quota to 2024. therefore, the total adjusted national quota will be 2,046 t</t>
  </si>
  <si>
    <t>IQ2024+25%Q2022</t>
  </si>
  <si>
    <t>REC: 17-04, 21-04, 23-05</t>
  </si>
  <si>
    <t>RECs: 17-02, 19-03,21-02,22-03, 23-04</t>
  </si>
  <si>
    <t>IQ(2024)+125% BALANCE(2022)</t>
  </si>
  <si>
    <t xml:space="preserve">Belize is carrying forward 25% of its initial catch limit (60.5t) from its balance of 121.85t in 2023 to be used in 2025. </t>
  </si>
  <si>
    <t xml:space="preserve">*Belize is carrying forward 25% of its initial balance (75 t) from its balance of 362.5 in 2023 to be used in 2025.  </t>
  </si>
  <si>
    <t>*Belize is carrying forward 40% of its initial limit (52 t) from its initial balance of 180.25 t in 2023 to be used in 2025. Transfer of 75 t from Trinidad and Tobago to Belize</t>
  </si>
  <si>
    <t>*Belize is carrying forward 10% of its initial limit (125 t) from its balance of 274.94 t in 2022 to be used in 2024.Transfer of 25 t from USA to Belize. Transfer of 50 t from Brazil to Belize.Transfer of 50 t from Uruguay to Belize</t>
  </si>
  <si>
    <t>*Belize is carrying forward 10% of its initial limit (25 t) from its balance of 245.92 t in 2021 to be used in 2023.Transfer of 25 t from USA to Belize. Transfer of 50 t from Brazil to Belize.Transfer of 50 t from Uruguay to Belize</t>
  </si>
  <si>
    <t>*Belize is carrying forward 10% of its initial limit (125 t) from its balance of 262.5 t in 2023 to be used in 2025.Transfer of 25 t from USA to Belize. Transfer of 50 t from Brazil to Belize.Transfer of 50 t from Uruguay to Belize</t>
  </si>
  <si>
    <t>2024 adjusted quota is 10479.98 t (=10340+139.98) due to the inclusion of 2022 prorata underage and 2024 initial catch quota. As total 2022 underage is only 153.83t, pro rata carry over is 139.98t</t>
  </si>
  <si>
    <t>Adjusted limited for 2024=302(initial quota)+55.88(carryover 2022)=357.88</t>
  </si>
  <si>
    <t>Adjusted limit for 2024=initial quota(100)+available balance of 2022 (100*15%=15t)=115t</t>
  </si>
  <si>
    <t>Adjusted limit for 2024=initial quota(313)+313*10%(carryover 2022)= 344.3</t>
  </si>
  <si>
    <t>Adjusted limite for 2024=initial quota(4426.38)+ (IQ2022) 4226.38*10%+600 ton transfer from Japan=5469.02</t>
  </si>
  <si>
    <t>Límite ajustado para 2024 = 302 + 60,5 = 362,50 t</t>
  </si>
  <si>
    <t>[9]</t>
  </si>
  <si>
    <t>[9]= Límite de 2024 + balance de 2023</t>
  </si>
  <si>
    <t>[8]= Límite de 2024 + 125% BALANCE de 2023</t>
  </si>
  <si>
    <t xml:space="preserve">The underharvest of the EU in 2021 is of 1862,1 t, which corresponds to more than 15% of its 2021 initial catch limit (1007.7t). In line with Rec. 17-02 the EU can carry over 1007.7 t to 2023 if current management arrangments are maintained. The adjusted limit for 2023 takes also into account the transfers to Canada (327t) as provided for in Rec 17-02. </t>
  </si>
  <si>
    <t>Limit 2024 + 2022 balance</t>
  </si>
  <si>
    <t>2023 limit + 0,15*2021 limit -327 CAN</t>
  </si>
  <si>
    <t xml:space="preserve">The underharvest of the EU in 2022 is of 1907,35 t, which corresponds to more than 15% of its 2022 initial catch limit. In line with Rec. 17-02 the EU can carry over 1007.6 t to 2024 if current management arrangements are maintained. The adjusted limit for 2022 takes also into account the transfers to Canada (280) and S. Pierre et Miquelon  (40) as provided for in Rec 17-02. </t>
  </si>
  <si>
    <t>2023 limit + 0,15*2022 limit - 40t SPM -280 CAN</t>
  </si>
  <si>
    <t xml:space="preserve">In 2022 the underharvest for the EU was of 1282,88 t, which is more than the maximum allowed 10% (482,4t) provided in Rec 22-04. Therefore, the EU is entitled to carry over 482,4 t to 2024 if current management arrangmments are maintained. </t>
  </si>
  <si>
    <t>Limit 2024 +  10% Limit 2022</t>
  </si>
  <si>
    <t>Limit 2024 + MAX5% 2023 (1075,15)</t>
  </si>
  <si>
    <t>In 2022 the underharvest for the EU was of 1034.60 t, which is more than the maximum allowed 5% provided in Rec 22-08. Therefore, the EU is entitled to carry over  973t t to 2023 if the current management arrangments are maintained.</t>
  </si>
  <si>
    <t>In 2023 the underharvest for the EU was of 1371.77 t, which is more than the maximum allowed 5% provided in Rec 22-08. Therefore, the EU is entitled to carry over  1075.15t t to 2024 if the current management arrangments are maintained.</t>
  </si>
  <si>
    <t>Limit 2024+limit 2022*0,10</t>
  </si>
  <si>
    <t>2024 Limit - 2t</t>
  </si>
  <si>
    <t xml:space="preserve">2023 adjusted limit: Egypt intends to transfer 507.87 ton from its quota to Türkiye. Egypt didn’t engage in the BFT fishing season for 2023 due to the transferred amount of 507.87 t from Egypt to Türkiye	</t>
  </si>
  <si>
    <t>ALBM</t>
  </si>
  <si>
    <t>2024 adjusted limit = 2024 limit + 2023 negative balance (-13.73) according to Rec. 00-14</t>
  </si>
  <si>
    <t>(*) LBR has no quota for SWO, adjuted limit = negative balance from previous year - year catches</t>
  </si>
  <si>
    <t>(8)</t>
  </si>
  <si>
    <t>(8) Límite ajustado 2024 = Límite 2024 + Saldo 2023 (hasta MAX 25% Q2023)</t>
  </si>
  <si>
    <t>(8) Límite ajustado 2024 = Límite 2024 + 125% Saldo 2023</t>
  </si>
  <si>
    <t>Adjusted limit for 2024 = 889.4  + (.25)(711.5) = 1067.3*****</t>
  </si>
  <si>
    <t>***** reflects that 25% of the 2023 initial quota may be carried forward to 2024</t>
  </si>
  <si>
    <t>Adjusted limit for 2024 = 3907.0 - (200 t to Morocco) + (0.15)(3907)  = 4293.05 t</t>
  </si>
  <si>
    <t>Adjusted limit for 2024 = 100.0 - (100 t (Namibia (50 t), Cote d'Ivoire (25 t), Belize (25 t)) + 100.0</t>
  </si>
  <si>
    <t>Adjusted limit for 2024 = 1341.14 + 134.11 = 1475.25 t*****</t>
  </si>
  <si>
    <t>*****reflects that 10% of the 2023 initial quota may be carried forward to 2024</t>
  </si>
  <si>
    <t>[8] = 2024 limit + 125% 2023 Balance</t>
  </si>
  <si>
    <t>2023-2026: Brazil transfer 100 t to Japan (according to Para 3a of Rec. 22-06).</t>
  </si>
  <si>
    <t>(1) EU did not inform during the 2023 COMM regarding the amount of their 2022 underage they intend to use in 2024 as stated in Rec. 22-06 Para 4b)</t>
  </si>
  <si>
    <t>(1) Brazil did not inform during the 2023 COMM regarding the amount of their 2022 underage they intend to use in 2024 as stated in Rec. 22-06 Para 4b)</t>
  </si>
  <si>
    <t>2600-100 (1)</t>
  </si>
  <si>
    <t>2600+(0.25*2600)-100</t>
  </si>
  <si>
    <t>The applied methodology is described in Recs. 15-03, 16-04, 17-03, 2021-03, 22-04 with reduction of TAC.</t>
  </si>
  <si>
    <t>2014-2022: 50t transferred to Belize (The quota transfers shall be reviewed annually in response to a request from an involved CPC).</t>
  </si>
  <si>
    <t>302+(0.25*242)</t>
  </si>
  <si>
    <t>IQ2025 -308-balance 2023</t>
  </si>
  <si>
    <t>JAPAN-N-ALB:Japan's 2023 adjusted limit = BET 2023 catch * 4.5% (Para8 of Rec21-04)</t>
  </si>
  <si>
    <t>JAPAN-S-ALB: 2024 adjusted limit = 1,630t(Limit)-47.45t(overage in 2022)(Para5 of Rec 22-06)+100(transfer from Brazil (Para 3 of Rec. 22-06))+100(transfer from Uruguay(Para 3 of Rec. 22-06))+100(transfer from South Africa (Para 3 of Rec. 22-06))</t>
  </si>
  <si>
    <t>JAPAN-N-SWO:Japan’s 2023 adjusted limit = 842t(Limit)+1587.81t(2022 carry over(Para 1C of Rec22-03)-150t(transfer to Morocco(Para 1A) of Rec 22-03)-35t (transfer to Canada((Para 1A of Rec. 22-03))-25t(transfer to Mauritania(Para 1A of Rec. 22-03)).</t>
  </si>
  <si>
    <t>JAPAN-N-SWO: adjusted limit in 2018 excluded 100 t transfered to Morocco, and 35 transferred to Canada [Rec. 17-02].</t>
  </si>
  <si>
    <t>JAPAN-S-SWO:Japan's 2024 adjusted limit  = 901t(Limit)+600.00t(2022 carry over(Para1(2) of Rec22-04))-50t(transfer to Namibia(Para5 of Rec.17-03))</t>
  </si>
  <si>
    <t>JAPAN-BIGEYE:Japan's 2024 adjusted limit = 13868.00(Para 4 of Rec.22-01)+1386.8(2022 carry over(13868*10%)(Para12 of Rec22-01)-600(transfer to China (Footnote2 of Para.8  of Rec.22-01))-300(transfer to European Union (Footnote 2 of Para.8 of Rec.22-01))</t>
  </si>
  <si>
    <t>JAPAN-N-BSH:Japan's 2024 adjusted limit = 3,055t(Para3 of Rec23-10)-43t(transfer to Morocco(Para3 of Rec23-10))</t>
  </si>
  <si>
    <t xml:space="preserve">Note: Because the 2023 Japanese fishing season is from August 1, 2023 to July 31,2024, all the figures for the 2023 catches are preliminary and do not include a part of the data in the 2023 fishing season. Japan will submit the final figures before the Compliance Committee in November that include all the catches. </t>
  </si>
  <si>
    <t>2024**</t>
  </si>
  <si>
    <t>200+50+5.17</t>
  </si>
  <si>
    <t>(992*0.10)+992 - 223</t>
  </si>
  <si>
    <t>a) 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</si>
  <si>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b) According to Recommendation 20-07 paragraph 1, Norway was initially  allocated a quota of 300 tonnes eastern BFT in 2021. Referring to Recommendation 20-04 Paragraph 2, Norway requested in panel 2 to transfer a maximum of 5 % of its 2020 quota to 2021. A total of 194.39 tonnes of the Adjusted Norwegian catch quota (311.95 tonnes) was utilised in 2020, and 15 tonnes (5 % of 300 tonnes) may, according to Paragraph 2, be transferred to 2021.</t>
  </si>
  <si>
    <t>c) According to Recommendation 21-08 paragraph 5, Norway was initially  allocated a quota of 300 tonnes eastern BFT in 2022. Referring to Recommendation 21-08 Paragraph 7, Norway requested in panel 2 to transfer a maximum of 5 % of its 2021 quota to 2022. A total of 157,68 tonnes of the Adjusted Norwegian catch quota (315 tonnes) was utilised in 2021, and 15 tonnes (5 % of 300 tonnes) may, according to Paragraph 7, be transferred to 2022.</t>
  </si>
  <si>
    <t>d) According to Recommendation 22-08 paragraph 4, Norway was initially  allocated a quota of 368 tonnes eastern BFT in 2023. Referring to Recommendation 22-08 Paragraph 6, Norway requested in panel 2 to transfer a maximum of 5 % of its 2022 quota to 2023. A total of 123,17 tonnes of the Adjusted Norwegian catch quota (315 tonnes) was utilised in 2022, and 15 tonnes (5 % of 300 tonnes) may, according to Paragraph 7, be transferred to 2023.</t>
  </si>
  <si>
    <r>
      <t>2020</t>
    </r>
    <r>
      <rPr>
        <b/>
        <vertAlign val="superscript"/>
        <sz val="10"/>
        <color rgb="FFFF0000"/>
        <rFont val="Cambria"/>
        <family val="1"/>
      </rPr>
      <t>a</t>
    </r>
  </si>
  <si>
    <r>
      <t>2021</t>
    </r>
    <r>
      <rPr>
        <b/>
        <vertAlign val="superscript"/>
        <sz val="10"/>
        <color rgb="FFFF0000"/>
        <rFont val="Cambria"/>
        <family val="1"/>
      </rPr>
      <t>b</t>
    </r>
  </si>
  <si>
    <r>
      <t>2022</t>
    </r>
    <r>
      <rPr>
        <b/>
        <vertAlign val="superscript"/>
        <sz val="10"/>
        <color rgb="FFFF0000"/>
        <rFont val="Cambria"/>
        <family val="1"/>
      </rPr>
      <t>c</t>
    </r>
  </si>
  <si>
    <r>
      <t>2023</t>
    </r>
    <r>
      <rPr>
        <b/>
        <vertAlign val="superscript"/>
        <sz val="10"/>
        <color rgb="FFFF0000"/>
        <rFont val="Cambria"/>
        <family val="1"/>
      </rPr>
      <t>d</t>
    </r>
  </si>
  <si>
    <t>302+(242*0.25)</t>
  </si>
  <si>
    <t>2024= 149.34 + 113.12 - transfer to Canada (60t) por Rec. 22-10</t>
  </si>
  <si>
    <t>=1168+50+50</t>
  </si>
  <si>
    <t>In 2024 USA transfers 50t to NAM and JPN transfers 50to to NAM</t>
  </si>
  <si>
    <t>SMAS</t>
  </si>
  <si>
    <t>Retention allowance</t>
  </si>
  <si>
    <t>Adjusted Retention allowance (A)</t>
  </si>
  <si>
    <t>[1] = 2024 limit + 2023 Balance</t>
  </si>
  <si>
    <t>Describe the rationale used in the application of overage / underage: Rec. 22-11 Para 12</t>
  </si>
  <si>
    <t>Limite ajustee 2024= Limite 2024+ max. Solde (Limite 2024*0.4) -transfert Canada (125 t) = 250 + (250 * 0.4) -125= 225 t</t>
  </si>
  <si>
    <t>le calcul du quota ajusté 2024 prend en compte le solde  MAX de 2022 (Limite 2022 * 0,1 = 417*0,1=41.7) auquel est ajouté la limite 2023 de 417 t) ce qui donne (41.7+417=458.70) t</t>
  </si>
  <si>
    <t>* (1)</t>
  </si>
  <si>
    <t>(1) 2025 Adjusted limit considers payback plan and 2023 overharvest</t>
  </si>
  <si>
    <t>* Adjusted limit 2024 = initial limit 2023 (5280) + available balance 2022 (0 as the 2022 overharvest was covered by BRA &amp; URY according to para 4f of the ICCAT Rec. 16-07, supplemented by ICCAT Rec. 21-05 ) -100t transferred to JPN</t>
  </si>
  <si>
    <t>* Adjusted limit 2025 = initial limit 2023 (5280) + available balance 2023(not to exceed 25% of initial quota) (1320) -100t transferred to JPN</t>
  </si>
  <si>
    <t>From 2016 to 2023, South Africa has transferred 50t to Namibia in accordance with Recs. 16-04/17-03/22-04.</t>
  </si>
  <si>
    <t>=1001+10%1001-50</t>
  </si>
  <si>
    <t>=302+(MAX. 25% from 2022 quota= 60.5t)</t>
  </si>
  <si>
    <t>= 170 + MAX 25% IQ 2023</t>
  </si>
  <si>
    <t xml:space="preserve">2024: The 2023 underage is greater than the maximum amount that can be carried over to 2024 (&lt;= 40% of original catch limit); hence the amount carried over is 50 t (0.4*125).Additionally, 75 t and 25 t were transferred to Belize and Morocco respectively; hence 100 is subtracted from the sum of the initial catch limit and the allowed carry over, to arrive at the final adjusted limit of 75 t. </t>
  </si>
  <si>
    <t>The calculation of the adjusted quota for 2022, 2023, 2024 takes into account the transfer of 2 t to Trinidad &amp; Tobago as provided by Rec. 19-05.</t>
  </si>
  <si>
    <t>9(A)=IQ2024+2t EU transfer provided by Rec. 19-05.</t>
  </si>
  <si>
    <t>Pour l'année 2024 le quota ajusté est de 3030  ( le quota initial 3000T+quota non consommé  des prises accessoires 2023 (30T)</t>
  </si>
  <si>
    <t>IQ2025+MAX 25% IQ2023</t>
  </si>
  <si>
    <t>2025: For 2025 the UK's initial quota is 752.8t. The UK's catches in 2023 were 112.47t. As a result the UK has a remaining balance of 438.29. The UK is permitted to carry over to 2025 25% of its intitial 2023 quota which equals 110.56. The quota for 2025 is therefore 752.8+110.56=863.36</t>
  </si>
  <si>
    <t>2025: The UK wishes to carry over 25% of its 2023 quota into 2025, 25% of 120 is 30 with the adjusted quota for 2025 therefore being 120+30=150.</t>
  </si>
  <si>
    <t>=IQ2025+MAX. 0.25*IQ2023</t>
  </si>
  <si>
    <t xml:space="preserve">2024: The UK's adjusted quota for N.ATL SWO is 49.67t in 2022. The UK's catches in 2022 were 3.35t. The UK will bank 40% (14t) of IQ in 2022 and carry this over to 2024. Therefore the adjusted limit in 2024 is 49.67t. </t>
  </si>
  <si>
    <t>2025: The UK will carry over 40% of its 2023 quota 14.7t into 2025 which means 14.7 + 35.67 = 49.94</t>
  </si>
  <si>
    <t>IQ2025+MAX 40% IQ2023</t>
  </si>
  <si>
    <t>=IQ2023+MAX. 0.10*IQ2021</t>
  </si>
  <si>
    <t>=IQ2024+MAX. 0.10*IQ2022</t>
  </si>
  <si>
    <t>=IQ2025+MAX. 0.10*IQ2023</t>
  </si>
  <si>
    <t xml:space="preserve">2024: The UK's quota for S.ATL SWO is 25t  for 2022. The UK's catches in 2022 were 0t, consequently the UK has a remaining balance of 25t. The UK is permitted to transfer a maximum of 10% of unused quota to 2024. When the 10% is applied to the IQ2022 and the quota for 2024 is added, the adjusted quota for 2024 is 27.50t. </t>
  </si>
  <si>
    <t>2025: The UK will carry over 10% of its 2023 quota into 2025 this results in an adjusted quota of 30t. Initial quota of 25+2.5=27.5</t>
  </si>
  <si>
    <t>IQ2025+Max5%IQ2024</t>
  </si>
  <si>
    <t>2024: The UK's initial quota for 2024 was 63t and this was supplemented by 5% of the UK's 2023 quota which equals 3.15 giving a total of 66.15t</t>
  </si>
  <si>
    <t>IQ2025+MAX100%IQ2024</t>
  </si>
  <si>
    <t xml:space="preserve">2024: The UK's initial quota for W.BFT in 2024 is 6.18. The UK can carry over 100% of the 2023 quota over in to 2024 this means 6.18+6.18=12.36. </t>
  </si>
  <si>
    <t>JAPAN-N-SWO: Japan’s 2024 adjusted limit = 842t(Limit)+1723.51t(2023 carry over(Para 1A of Rec23-04))-150t(transfer to Morocco(Para 1A of Rec 23-04))-35t(transfer to Canada(Para 1A of Rec. 23-04))-25t(transfer to Mauritania(Para 1A of Rec. 23-04))</t>
  </si>
  <si>
    <t>JAPAN-S-SWO: Japan's 2025 adjusted limit  = 901t(Limit)+600.00t(2023 carry over(Para 1(2) of Rec22-04))-50t(transfer to Namibia(Para 5 of Rec.17-03))</t>
  </si>
  <si>
    <t>JAPAN-E-BFT: Japan's 2024 adjusted limit = 3114.00t(Limit)(Para 4 of Rec22-08)+70.40t(2023 carry over (Para 6 of Rec. 22-08))</t>
  </si>
  <si>
    <t>JAPAN-BIGEYE:Japan's 2025 adjusted limit = 13868.00(Para 4 of Rec.22-01)+984.02(2023 carry over)(Para12 of Rec22-01)-600(transfer to China (Footnote2 of Para.8  of Rec.22-01))-300(transfer to European Union (Footnote 2 of Para.8 of Rec.22-01))</t>
  </si>
  <si>
    <t>JAPAN-N-BSH:Japan's 2025 adjusted limit = 3,055t(Para3 of Rec23-10)-43t(transfer to Morocco(Para3 of Rec23-10))</t>
  </si>
  <si>
    <t>JAPAN-S-SMA: Japan's 2024 adjusted limit = 62t(Para 2 of Rec22-11)</t>
    <phoneticPr fontId="1" type="noConversion"/>
  </si>
  <si>
    <t>JAPAN-W-BFT: Japan's 2024 adjusted limit = 664.52t(Limit)+47.28t(2023 carry over(Para 6 of Rec. 22-10)</t>
  </si>
  <si>
    <t>IQ(2024)+ BALANCE(2023)</t>
  </si>
  <si>
    <t>[1] = 2017 limit + balance 2016</t>
  </si>
  <si>
    <t>[2] = 2018 limit + balance 2017</t>
  </si>
  <si>
    <t>[3] = 2019 limit + balance 2018</t>
  </si>
  <si>
    <t>[4] = 2020 limit + balance 2019</t>
  </si>
  <si>
    <t>[5] = 2021 limit + balance 2020</t>
  </si>
  <si>
    <t>* Adjusted limit 2024 = initial limit 2024 (530) - 100t transferred to JPN. URY did not inform during the 2023 COMM regarding the amount of their 2022 underage they intend to use in 2024 as stated in Rec. 22-06 Para 4b)</t>
  </si>
  <si>
    <t>* Adjusted limit 2025 = initial limit 2025 (530) + available balance 2023 (not to exceed 25% of initial quota) (132.5) - 100t transferred to JPN</t>
  </si>
  <si>
    <t>2025: IQ2025 + 25% MAX2023 - 100t transferred to JPN</t>
  </si>
  <si>
    <t>=120+30</t>
  </si>
  <si>
    <t xml:space="preserve">2025 adjusted quota is 120+30 due to the inclusion of 2023 underage (MAX 25% IQ 2023) and 2025 initial catch quota.  </t>
  </si>
  <si>
    <t>Limit 2025 + 25%  2023 limit</t>
  </si>
  <si>
    <t>The underharvest of the EU in 2023 was of 2090.79t.  In line with Rec 22-06, the EU is entitled to carry over  441.25 t to 2025, corresponding to 25% of its initial quota for 2023.</t>
  </si>
  <si>
    <t>JAPAN-S-ALB: 2025 adjusted limit = 1,630t(Limit)+259.35t(2023 carry over(Para 5 of Rec 22-06))+100t(transfer from Brazil (Para 3 of Rec. 22-06))+100t(transfer from Uruguay(Para 3 of Rec. 22-06))+100t(transfer from South Africa (Para 3 of Rec. 22-06))+ 148.15 complement from underage from the total TAC(Para4b of Rec.22-06)</t>
  </si>
  <si>
    <t>42.5+170</t>
  </si>
  <si>
    <t>2025 adjusted quota is 10790.00 t (=10340+450) due to the inclusion of 2023 underage and 2025 initial catch quota + 2135 t (Rec. 22-06 Para 4b) as complement from total underage from the TAC</t>
  </si>
  <si>
    <t>=10340+450+2135</t>
  </si>
  <si>
    <t>The applied methodology is described in Recs. 13-05, 16-06, 17-04, 20-03/04, 21-04, 23-05</t>
  </si>
  <si>
    <t>New REC 23-05 / annual TAC of 47,251 t is established for the management period 2024-2026. CPCs other than those mentioned in paragraph 6 shall limit their annual catches to 302 t (Brazil).</t>
  </si>
  <si>
    <t xml:space="preserve">2015-2023: 25t transferred to Mauritania (on the condition that Mauritania submit its development plan per paragraph 5 of Re. 22-03). </t>
  </si>
  <si>
    <t>Rec 16-04, 17-03, 22-04: Brazil may harvest up to 200 t of its annual catch limit from SWO_S within the area between 5 degrees North latitude and 15 degrees North latitude</t>
  </si>
  <si>
    <t>New Rec 23-04: Brazil 50 t; Brazil transfer 25 t to Mauritania (2024)</t>
  </si>
  <si>
    <t>50+(0.40*50)-25</t>
  </si>
  <si>
    <t>3940+(0.1*3940)-50</t>
  </si>
  <si>
    <t>3940+(0.1*3940)-51</t>
  </si>
  <si>
    <t>3940+(0.1*3940)-52</t>
  </si>
  <si>
    <t>Adjusted limit for 2025=initial quota(240)+240*25%(not exceeding the balance of 2023)=300</t>
  </si>
  <si>
    <t xml:space="preserve">COC-304/24 Annex 1B: APPLICATION OF OVER/UNDERHARVEST / APPLICATION DE SUR/SOUSONSOMMATION /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</si>
</sst>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_ "/>
    <numFmt numFmtId="166" formatCode="#,##0.00_ "/>
    <numFmt numFmtId="167" formatCode="0.0%"/>
    <numFmt numFmtId="168" formatCode="0.00_);[Red]\(0.00\)"/>
    <numFmt numFmtId="169" formatCode="0.00_);\(0.00\)"/>
    <numFmt numFmtId="170" formatCode="0.000"/>
  </numFmts>
  <fonts count="33"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sz val="10"/>
      <name val="Arial"/>
      <family val="2"/>
    </font>
    <font>
      <sz val="11"/>
      <color theme="1"/>
      <name val="Calibri"/>
      <family val="2"/>
      <scheme val="minor"/>
    </font>
    <font>
      <sz val="8"/>
      <name val="Calibri"/>
      <family val="2"/>
      <scheme val="minor"/>
    </font>
    <font>
      <sz val="10"/>
      <name val="Cambria"/>
      <family val="1"/>
    </font>
    <font>
      <sz val="10"/>
      <name val="Times New Roman"/>
      <family val="1"/>
    </font>
    <font>
      <b/>
      <sz val="10"/>
      <name val="Times New Roman"/>
      <family val="1"/>
    </font>
    <font>
      <vertAlign val="superscript"/>
      <sz val="10"/>
      <name val="Cambria"/>
      <family val="1"/>
    </font>
    <font>
      <sz val="11"/>
      <name val="Times New Roman"/>
      <family val="1"/>
    </font>
    <font>
      <sz val="11"/>
      <name val="Calibri"/>
      <family val="2"/>
      <scheme val="minor"/>
    </font>
    <font>
      <b/>
      <sz val="10"/>
      <name val="Calibri"/>
      <family val="2"/>
      <scheme val="minor"/>
    </font>
    <font>
      <sz val="11"/>
      <name val="Cambria"/>
      <family val="1"/>
    </font>
    <font>
      <b/>
      <sz val="11"/>
      <name val="Cambria"/>
      <family val="1"/>
    </font>
    <font>
      <sz val="10"/>
      <name val="Calibri Light"/>
      <family val="1"/>
      <scheme val="major"/>
    </font>
    <font>
      <strike/>
      <sz val="10"/>
      <name val="Cambria"/>
      <family val="1"/>
    </font>
    <font>
      <b/>
      <sz val="12"/>
      <name val="Cambria"/>
      <family val="1"/>
    </font>
    <font>
      <sz val="11"/>
      <color rgb="FFFF0000"/>
      <name val="Calibri"/>
      <family val="2"/>
      <scheme val="minor"/>
    </font>
    <font>
      <b/>
      <sz val="10"/>
      <color rgb="FFFF0000"/>
      <name val="Cambria"/>
      <family val="1"/>
    </font>
    <font>
      <sz val="10"/>
      <color rgb="FFFF0000"/>
      <name val="Times New Roman"/>
      <family val="1"/>
    </font>
    <font>
      <b/>
      <sz val="12"/>
      <color rgb="FFFF0000"/>
      <name val="Cambria"/>
      <family val="1"/>
    </font>
    <font>
      <sz val="10"/>
      <color rgb="FFFF0000"/>
      <name val="Arial"/>
      <family val="2"/>
    </font>
    <font>
      <b/>
      <sz val="10"/>
      <color rgb="FFFF0000"/>
      <name val="Times New Roman"/>
      <family val="1"/>
    </font>
    <font>
      <sz val="10"/>
      <color theme="1"/>
      <name val="Arial"/>
      <family val="2"/>
    </font>
    <font>
      <strike/>
      <sz val="10"/>
      <color rgb="FFFF0000"/>
      <name val="Cambria"/>
      <family val="1"/>
    </font>
    <font>
      <b/>
      <vertAlign val="superscript"/>
      <sz val="10"/>
      <color rgb="FFFF0000"/>
      <name val="Cambria"/>
      <family val="1"/>
    </font>
    <font>
      <sz val="10"/>
      <color rgb="FFFF0000"/>
      <name val="Calibri Light"/>
      <family val="1"/>
      <scheme val="major"/>
    </font>
  </fonts>
  <fills count="8">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8" fillId="0" borderId="0"/>
    <xf numFmtId="0" fontId="1" fillId="0" borderId="0"/>
  </cellStyleXfs>
  <cellXfs count="740">
    <xf numFmtId="0" fontId="0" fillId="0" borderId="0" xfId="0"/>
    <xf numFmtId="0" fontId="11" fillId="0" borderId="11" xfId="0" applyFont="1" applyBorder="1"/>
    <xf numFmtId="0" fontId="5" fillId="0" borderId="4" xfId="0" applyFont="1" applyBorder="1" applyAlignment="1">
      <alignment horizontal="center"/>
    </xf>
    <xf numFmtId="2" fontId="11" fillId="0" borderId="2" xfId="0" applyNumberFormat="1" applyFont="1" applyBorder="1" applyAlignment="1">
      <alignment horizontal="right"/>
    </xf>
    <xf numFmtId="1" fontId="11" fillId="0" borderId="4" xfId="0" applyNumberFormat="1" applyFont="1" applyBorder="1"/>
    <xf numFmtId="2" fontId="11" fillId="0" borderId="4" xfId="0" applyNumberFormat="1" applyFont="1" applyBorder="1"/>
    <xf numFmtId="1" fontId="11" fillId="0" borderId="15" xfId="0" applyNumberFormat="1" applyFont="1" applyBorder="1" applyAlignment="1">
      <alignment horizontal="right"/>
    </xf>
    <xf numFmtId="0" fontId="11" fillId="0" borderId="9" xfId="0" applyFont="1" applyBorder="1"/>
    <xf numFmtId="0" fontId="11" fillId="0" borderId="7" xfId="0" applyFont="1" applyBorder="1"/>
    <xf numFmtId="0" fontId="11" fillId="0" borderId="8" xfId="0" applyFont="1" applyBorder="1"/>
    <xf numFmtId="0" fontId="11" fillId="0" borderId="12" xfId="0" applyFont="1" applyBorder="1"/>
    <xf numFmtId="0" fontId="11" fillId="0" borderId="0" xfId="0" applyFont="1"/>
    <xf numFmtId="0" fontId="11" fillId="0" borderId="10" xfId="0" applyFont="1" applyBorder="1"/>
    <xf numFmtId="0" fontId="11" fillId="0" borderId="6" xfId="0" applyFont="1" applyBorder="1"/>
    <xf numFmtId="0" fontId="11" fillId="0" borderId="3" xfId="0" applyFont="1" applyBorder="1"/>
    <xf numFmtId="0" fontId="11" fillId="0" borderId="4" xfId="0" applyFont="1" applyBorder="1"/>
    <xf numFmtId="0" fontId="11" fillId="0" borderId="15" xfId="0" applyFont="1" applyBorder="1"/>
    <xf numFmtId="0" fontId="5" fillId="0" borderId="2" xfId="1" applyFont="1" applyBorder="1" applyAlignment="1">
      <alignment horizontal="center"/>
    </xf>
    <xf numFmtId="1" fontId="11" fillId="0" borderId="15" xfId="1" applyNumberFormat="1" applyFont="1" applyBorder="1" applyAlignment="1">
      <alignment horizontal="center"/>
    </xf>
    <xf numFmtId="2" fontId="11" fillId="0" borderId="4" xfId="0" applyNumberFormat="1" applyFont="1" applyBorder="1" applyAlignment="1">
      <alignment horizontal="right"/>
    </xf>
    <xf numFmtId="0" fontId="11" fillId="0" borderId="2" xfId="0" applyFont="1" applyBorder="1"/>
    <xf numFmtId="0" fontId="12" fillId="0" borderId="0" xfId="0" applyFont="1"/>
    <xf numFmtId="0" fontId="1" fillId="0" borderId="0" xfId="0" applyFont="1"/>
    <xf numFmtId="0" fontId="11" fillId="0" borderId="4" xfId="2" applyFont="1" applyBorder="1" applyAlignment="1">
      <alignment horizontal="center"/>
    </xf>
    <xf numFmtId="2" fontId="11" fillId="0" borderId="4" xfId="2" applyNumberFormat="1" applyFont="1" applyBorder="1"/>
    <xf numFmtId="2" fontId="11" fillId="0" borderId="4" xfId="4" applyNumberFormat="1" applyFont="1" applyBorder="1"/>
    <xf numFmtId="0" fontId="12" fillId="0" borderId="12" xfId="0" applyFont="1" applyBorder="1"/>
    <xf numFmtId="0" fontId="11" fillId="0" borderId="4" xfId="0" applyFont="1" applyBorder="1" applyAlignment="1">
      <alignment wrapText="1"/>
    </xf>
    <xf numFmtId="0" fontId="11" fillId="0" borderId="15" xfId="0" applyFont="1" applyBorder="1" applyAlignment="1">
      <alignment horizontal="center"/>
    </xf>
    <xf numFmtId="0" fontId="11" fillId="0" borderId="9" xfId="0" applyFont="1" applyBorder="1" applyAlignment="1">
      <alignment horizontal="center"/>
    </xf>
    <xf numFmtId="0" fontId="11" fillId="0" borderId="11" xfId="1" applyFont="1" applyBorder="1" applyAlignment="1">
      <alignment horizontal="left"/>
    </xf>
    <xf numFmtId="0" fontId="11" fillId="0" borderId="6" xfId="1" applyFont="1" applyBorder="1" applyAlignment="1">
      <alignment horizontal="left"/>
    </xf>
    <xf numFmtId="0" fontId="5" fillId="0" borderId="1" xfId="1" applyFont="1" applyBorder="1"/>
    <xf numFmtId="0" fontId="5" fillId="0" borderId="2" xfId="1" applyFont="1" applyBorder="1"/>
    <xf numFmtId="0" fontId="5" fillId="0" borderId="4" xfId="1" applyFont="1" applyBorder="1"/>
    <xf numFmtId="0" fontId="11" fillId="0" borderId="0" xfId="1" applyFont="1"/>
    <xf numFmtId="0" fontId="11" fillId="0" borderId="1" xfId="1" applyFont="1" applyBorder="1"/>
    <xf numFmtId="0" fontId="5" fillId="0" borderId="5" xfId="1" applyFont="1" applyBorder="1"/>
    <xf numFmtId="169" fontId="11" fillId="0" borderId="4" xfId="1" applyNumberFormat="1" applyFont="1" applyBorder="1"/>
    <xf numFmtId="0" fontId="11" fillId="0" borderId="7" xfId="1" applyFont="1" applyBorder="1"/>
    <xf numFmtId="0" fontId="11" fillId="0" borderId="15" xfId="1" applyFont="1" applyBorder="1"/>
    <xf numFmtId="0" fontId="11" fillId="0" borderId="8" xfId="1" applyFont="1" applyBorder="1"/>
    <xf numFmtId="0" fontId="11" fillId="0" borderId="9" xfId="1" applyFont="1" applyBorder="1"/>
    <xf numFmtId="0" fontId="5" fillId="0" borderId="1" xfId="0" applyFont="1" applyBorder="1"/>
    <xf numFmtId="0" fontId="5" fillId="0" borderId="5" xfId="0" applyFont="1" applyBorder="1"/>
    <xf numFmtId="0" fontId="5" fillId="0" borderId="4" xfId="0" applyFont="1" applyBorder="1"/>
    <xf numFmtId="0" fontId="11" fillId="0" borderId="1" xfId="0" applyFont="1" applyBorder="1"/>
    <xf numFmtId="0" fontId="5" fillId="0" borderId="4" xfId="0" applyFont="1" applyBorder="1" applyAlignment="1">
      <alignment horizontal="right" vertical="center"/>
    </xf>
    <xf numFmtId="2" fontId="11" fillId="0" borderId="4" xfId="0" applyNumberFormat="1" applyFont="1" applyBorder="1" applyAlignment="1">
      <alignment horizontal="right" vertical="center"/>
    </xf>
    <xf numFmtId="2" fontId="11" fillId="0" borderId="4" xfId="0" applyNumberFormat="1"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0" borderId="0" xfId="0" applyFont="1" applyAlignment="1">
      <alignment vertical="center"/>
    </xf>
    <xf numFmtId="0" fontId="11" fillId="0" borderId="12" xfId="0" applyFont="1" applyBorder="1" applyAlignment="1">
      <alignment horizontal="left"/>
    </xf>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2" fontId="11" fillId="0" borderId="5" xfId="0" applyNumberFormat="1" applyFont="1" applyBorder="1" applyAlignment="1">
      <alignment horizontal="right"/>
    </xf>
    <xf numFmtId="49" fontId="11" fillId="0" borderId="4" xfId="0" applyNumberFormat="1" applyFont="1" applyBorder="1" applyAlignment="1">
      <alignment wrapText="1"/>
    </xf>
    <xf numFmtId="49" fontId="11" fillId="0" borderId="2" xfId="0" applyNumberFormat="1" applyFont="1" applyBorder="1" applyAlignment="1">
      <alignment wrapText="1"/>
    </xf>
    <xf numFmtId="0" fontId="11" fillId="0" borderId="8" xfId="0" applyFont="1" applyBorder="1" applyAlignment="1">
      <alignment horizontal="center"/>
    </xf>
    <xf numFmtId="0" fontId="11" fillId="0" borderId="6" xfId="0" applyFont="1" applyBorder="1" applyAlignment="1">
      <alignment horizontal="left" wrapText="1"/>
    </xf>
    <xf numFmtId="0" fontId="11" fillId="0" borderId="4" xfId="0" quotePrefix="1" applyFont="1" applyBorder="1"/>
    <xf numFmtId="2" fontId="11" fillId="0" borderId="5" xfId="0" applyNumberFormat="1" applyFont="1" applyBorder="1"/>
    <xf numFmtId="2" fontId="11" fillId="0" borderId="2" xfId="0" applyNumberFormat="1" applyFont="1" applyBorder="1"/>
    <xf numFmtId="49" fontId="11" fillId="0" borderId="4" xfId="0" applyNumberFormat="1" applyFont="1" applyBorder="1"/>
    <xf numFmtId="49" fontId="11" fillId="0" borderId="2" xfId="0" applyNumberFormat="1" applyFont="1" applyBorder="1"/>
    <xf numFmtId="0" fontId="11" fillId="0" borderId="4" xfId="0" applyFont="1" applyBorder="1" applyAlignment="1">
      <alignment horizontal="center"/>
    </xf>
    <xf numFmtId="0" fontId="12" fillId="0" borderId="1" xfId="0" applyFont="1" applyBorder="1"/>
    <xf numFmtId="0" fontId="13" fillId="0" borderId="4" xfId="0" applyFont="1" applyBorder="1"/>
    <xf numFmtId="0" fontId="13" fillId="0" borderId="5" xfId="0" applyFont="1" applyBorder="1"/>
    <xf numFmtId="0" fontId="13" fillId="0" borderId="2" xfId="0" applyFont="1" applyBorder="1"/>
    <xf numFmtId="2" fontId="12" fillId="0" borderId="4" xfId="0" applyNumberFormat="1" applyFont="1" applyBorder="1" applyAlignment="1">
      <alignment horizontal="right" vertical="center"/>
    </xf>
    <xf numFmtId="2" fontId="12" fillId="0" borderId="2" xfId="0" applyNumberFormat="1" applyFont="1" applyBorder="1" applyAlignment="1">
      <alignment horizontal="right" vertical="center"/>
    </xf>
    <xf numFmtId="0" fontId="12" fillId="0" borderId="4" xfId="0" applyFont="1" applyBorder="1" applyAlignment="1">
      <alignment horizontal="right"/>
    </xf>
    <xf numFmtId="2" fontId="12" fillId="0" borderId="4" xfId="0" applyNumberFormat="1" applyFont="1" applyBorder="1" applyAlignment="1">
      <alignment horizontal="right"/>
    </xf>
    <xf numFmtId="0" fontId="12" fillId="0" borderId="5" xfId="0" applyFont="1" applyBorder="1" applyAlignment="1">
      <alignment horizontal="right"/>
    </xf>
    <xf numFmtId="0" fontId="12" fillId="0" borderId="2" xfId="0" applyFont="1" applyBorder="1" applyAlignment="1">
      <alignment horizontal="right"/>
    </xf>
    <xf numFmtId="0" fontId="12" fillId="0" borderId="7" xfId="0" applyFont="1" applyBorder="1"/>
    <xf numFmtId="0" fontId="12" fillId="0" borderId="8" xfId="0" applyFont="1" applyBorder="1"/>
    <xf numFmtId="0" fontId="12" fillId="0" borderId="9" xfId="0" applyFont="1" applyBorder="1"/>
    <xf numFmtId="0" fontId="12" fillId="0" borderId="6" xfId="0" applyFont="1" applyBorder="1"/>
    <xf numFmtId="0" fontId="11" fillId="0" borderId="0" xfId="1" applyFont="1" applyAlignment="1">
      <alignment horizontal="left" wrapText="1"/>
    </xf>
    <xf numFmtId="2" fontId="12" fillId="0" borderId="4" xfId="0" applyNumberFormat="1" applyFont="1" applyBorder="1" applyAlignment="1">
      <alignment vertical="center"/>
    </xf>
    <xf numFmtId="2" fontId="12" fillId="0" borderId="2" xfId="0" applyNumberFormat="1" applyFont="1" applyBorder="1" applyAlignment="1">
      <alignment vertical="center"/>
    </xf>
    <xf numFmtId="0" fontId="12" fillId="0" borderId="4" xfId="0" applyFont="1" applyBorder="1"/>
    <xf numFmtId="2" fontId="12" fillId="0" borderId="4" xfId="0" applyNumberFormat="1" applyFont="1" applyBorder="1"/>
    <xf numFmtId="0" fontId="12" fillId="0" borderId="2" xfId="0" applyFont="1" applyBorder="1"/>
    <xf numFmtId="0" fontId="12" fillId="0" borderId="15" xfId="0" applyFont="1" applyBorder="1"/>
    <xf numFmtId="20" fontId="12" fillId="0" borderId="7" xfId="0" applyNumberFormat="1" applyFont="1" applyBorder="1"/>
    <xf numFmtId="20" fontId="12" fillId="0" borderId="12" xfId="0" applyNumberFormat="1" applyFont="1" applyBorder="1"/>
    <xf numFmtId="0" fontId="13" fillId="0" borderId="4" xfId="0" applyFont="1" applyBorder="1" applyAlignment="1">
      <alignment horizontal="right"/>
    </xf>
    <xf numFmtId="0" fontId="13" fillId="0" borderId="5" xfId="0" applyFont="1" applyBorder="1" applyAlignment="1">
      <alignment horizontal="right"/>
    </xf>
    <xf numFmtId="0" fontId="13" fillId="0" borderId="2" xfId="0" applyFont="1" applyBorder="1" applyAlignment="1">
      <alignment horizontal="right"/>
    </xf>
    <xf numFmtId="2" fontId="12" fillId="0" borderId="4"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0" fontId="11" fillId="0" borderId="11" xfId="1" applyFont="1" applyBorder="1"/>
    <xf numFmtId="0" fontId="11" fillId="0" borderId="16" xfId="1" applyFont="1" applyBorder="1"/>
    <xf numFmtId="0" fontId="11" fillId="0" borderId="4" xfId="1" applyFont="1" applyBorder="1" applyAlignment="1">
      <alignment horizontal="center"/>
    </xf>
    <xf numFmtId="0" fontId="11" fillId="0" borderId="4" xfId="1" applyFont="1" applyBorder="1"/>
    <xf numFmtId="2" fontId="11" fillId="0" borderId="4" xfId="1" applyNumberFormat="1" applyFont="1" applyBorder="1"/>
    <xf numFmtId="165" fontId="11" fillId="0" borderId="4" xfId="1" applyNumberFormat="1" applyFont="1" applyBorder="1"/>
    <xf numFmtId="165" fontId="11" fillId="0" borderId="4" xfId="1" applyNumberFormat="1" applyFont="1" applyBorder="1" applyAlignment="1">
      <alignment horizontal="right"/>
    </xf>
    <xf numFmtId="0" fontId="11" fillId="0" borderId="4" xfId="1" applyFont="1" applyBorder="1" applyAlignment="1">
      <alignment horizontal="right" wrapText="1"/>
    </xf>
    <xf numFmtId="0" fontId="11" fillId="0" borderId="4" xfId="1" applyFont="1" applyBorder="1" applyAlignment="1">
      <alignment horizontal="right"/>
    </xf>
    <xf numFmtId="0" fontId="11" fillId="0" borderId="15" xfId="1" applyFont="1" applyBorder="1" applyAlignment="1">
      <alignment horizontal="center"/>
    </xf>
    <xf numFmtId="0" fontId="11" fillId="0" borderId="7" xfId="1" applyFont="1" applyBorder="1" applyAlignment="1">
      <alignment wrapText="1"/>
    </xf>
    <xf numFmtId="0" fontId="11" fillId="0" borderId="8" xfId="1" applyFont="1" applyBorder="1" applyAlignment="1">
      <alignment wrapText="1"/>
    </xf>
    <xf numFmtId="0" fontId="11" fillId="0" borderId="12" xfId="1" applyFont="1" applyBorder="1" applyAlignment="1">
      <alignment horizontal="left"/>
    </xf>
    <xf numFmtId="0" fontId="11" fillId="0" borderId="11" xfId="1" applyFont="1" applyBorder="1" applyAlignment="1">
      <alignment horizontal="left" wrapText="1"/>
    </xf>
    <xf numFmtId="0" fontId="11" fillId="0" borderId="6" xfId="1" applyFont="1" applyBorder="1" applyAlignment="1">
      <alignment horizontal="left" wrapText="1"/>
    </xf>
    <xf numFmtId="0" fontId="5" fillId="0" borderId="4" xfId="1" applyFont="1" applyBorder="1" applyAlignment="1">
      <alignment horizontal="center"/>
    </xf>
    <xf numFmtId="2" fontId="11" fillId="0" borderId="4" xfId="1" applyNumberFormat="1" applyFont="1" applyBorder="1" applyAlignment="1">
      <alignment horizontal="right"/>
    </xf>
    <xf numFmtId="0" fontId="11" fillId="0" borderId="0" xfId="1" applyFont="1" applyAlignment="1">
      <alignment wrapText="1"/>
    </xf>
    <xf numFmtId="0" fontId="5" fillId="0" borderId="16" xfId="1" applyFont="1" applyBorder="1" applyAlignment="1">
      <alignment horizontal="center"/>
    </xf>
    <xf numFmtId="0" fontId="5" fillId="0" borderId="16" xfId="0" applyFont="1" applyBorder="1" applyAlignment="1">
      <alignment horizontal="center"/>
    </xf>
    <xf numFmtId="2" fontId="11" fillId="0" borderId="4" xfId="1" applyNumberFormat="1" applyFont="1" applyBorder="1" applyProtection="1">
      <protection locked="0"/>
    </xf>
    <xf numFmtId="0" fontId="11" fillId="0" borderId="4" xfId="1" applyFont="1" applyBorder="1" applyAlignment="1" applyProtection="1">
      <alignment horizontal="right"/>
      <protection locked="0"/>
    </xf>
    <xf numFmtId="2" fontId="11" fillId="0" borderId="4" xfId="1" applyNumberFormat="1"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2" fontId="11" fillId="0" borderId="1" xfId="0" applyNumberFormat="1" applyFont="1" applyBorder="1"/>
    <xf numFmtId="0" fontId="5" fillId="0" borderId="8" xfId="0" applyFont="1" applyBorder="1" applyAlignment="1">
      <alignment horizontal="center"/>
    </xf>
    <xf numFmtId="0" fontId="5" fillId="0" borderId="0" xfId="0" applyFont="1" applyAlignment="1">
      <alignment horizontal="center"/>
    </xf>
    <xf numFmtId="0" fontId="11" fillId="0" borderId="6" xfId="0" applyFont="1" applyBorder="1" applyAlignment="1">
      <alignment wrapText="1"/>
    </xf>
    <xf numFmtId="2" fontId="11" fillId="0" borderId="4" xfId="1" applyNumberFormat="1" applyFont="1" applyBorder="1" applyAlignment="1" applyProtection="1">
      <alignment horizontal="right"/>
      <protection locked="0"/>
    </xf>
    <xf numFmtId="0" fontId="11" fillId="0" borderId="4" xfId="0" applyFont="1" applyBorder="1" applyAlignment="1">
      <alignment horizontal="center" wrapText="1"/>
    </xf>
    <xf numFmtId="0" fontId="5" fillId="0" borderId="9" xfId="0" applyFont="1" applyBorder="1" applyAlignment="1">
      <alignment horizontal="center"/>
    </xf>
    <xf numFmtId="0" fontId="5" fillId="0" borderId="10" xfId="0" applyFont="1" applyBorder="1" applyAlignment="1">
      <alignment horizontal="center"/>
    </xf>
    <xf numFmtId="0" fontId="11" fillId="0" borderId="11" xfId="0" applyFont="1" applyBorder="1" applyAlignment="1">
      <alignment vertical="center"/>
    </xf>
    <xf numFmtId="0" fontId="11" fillId="0" borderId="6" xfId="0" applyFont="1" applyBorder="1" applyAlignment="1">
      <alignment vertical="center" wrapText="1"/>
    </xf>
    <xf numFmtId="2" fontId="11" fillId="0" borderId="4" xfId="1" applyNumberFormat="1" applyFont="1" applyBorder="1" applyAlignment="1" applyProtection="1">
      <alignment horizontal="right" vertical="center" wrapText="1"/>
      <protection locked="0"/>
    </xf>
    <xf numFmtId="0" fontId="11" fillId="0" borderId="0" xfId="0" applyFont="1" applyAlignment="1">
      <alignment horizontal="left" vertical="center" wrapText="1"/>
    </xf>
    <xf numFmtId="0" fontId="5" fillId="3" borderId="1" xfId="0" applyFont="1" applyFill="1" applyBorder="1"/>
    <xf numFmtId="0" fontId="5" fillId="0" borderId="0" xfId="0" applyFont="1"/>
    <xf numFmtId="0" fontId="5" fillId="0" borderId="11" xfId="0" applyFont="1" applyBorder="1"/>
    <xf numFmtId="0" fontId="5" fillId="0" borderId="3" xfId="0" applyFont="1" applyBorder="1"/>
    <xf numFmtId="1" fontId="11" fillId="0" borderId="2" xfId="0" applyNumberFormat="1" applyFont="1" applyBorder="1"/>
    <xf numFmtId="0" fontId="5" fillId="0" borderId="1" xfId="0" applyFont="1" applyBorder="1" applyAlignment="1">
      <alignment wrapText="1"/>
    </xf>
    <xf numFmtId="0" fontId="5" fillId="0" borderId="2" xfId="0" applyFont="1" applyBorder="1" applyAlignment="1">
      <alignment wrapText="1"/>
    </xf>
    <xf numFmtId="0" fontId="11" fillId="0" borderId="0" xfId="0" applyFont="1" applyAlignment="1">
      <alignment wrapText="1"/>
    </xf>
    <xf numFmtId="0" fontId="11"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11" fillId="0" borderId="4" xfId="0" applyNumberFormat="1" applyFont="1" applyBorder="1" applyAlignment="1">
      <alignment wrapText="1"/>
    </xf>
    <xf numFmtId="2" fontId="11" fillId="0" borderId="5" xfId="0" applyNumberFormat="1" applyFont="1" applyBorder="1" applyAlignment="1">
      <alignment wrapText="1"/>
    </xf>
    <xf numFmtId="2" fontId="11" fillId="0" borderId="2" xfId="0" applyNumberFormat="1"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7" xfId="0" applyFont="1" applyBorder="1" applyAlignment="1">
      <alignment wrapText="1"/>
    </xf>
    <xf numFmtId="0" fontId="11" fillId="0" borderId="15" xfId="0" applyFont="1" applyBorder="1" applyAlignment="1">
      <alignment wrapText="1"/>
    </xf>
    <xf numFmtId="0" fontId="11" fillId="0" borderId="8" xfId="0" applyFont="1" applyBorder="1" applyAlignment="1">
      <alignment wrapText="1"/>
    </xf>
    <xf numFmtId="0" fontId="11" fillId="0" borderId="9" xfId="0" applyFont="1" applyBorder="1" applyAlignment="1">
      <alignment wrapText="1"/>
    </xf>
    <xf numFmtId="0" fontId="11" fillId="0" borderId="3" xfId="0" applyFont="1" applyBorder="1" applyAlignment="1">
      <alignment wrapText="1"/>
    </xf>
    <xf numFmtId="0" fontId="5" fillId="4" borderId="4" xfId="0" applyFont="1" applyFill="1" applyBorder="1" applyAlignment="1">
      <alignment horizontal="center"/>
    </xf>
    <xf numFmtId="0" fontId="5" fillId="4" borderId="5" xfId="0" applyFont="1" applyFill="1" applyBorder="1" applyAlignment="1">
      <alignment horizontal="center"/>
    </xf>
    <xf numFmtId="2" fontId="11" fillId="4" borderId="4" xfId="0" applyNumberFormat="1" applyFont="1" applyFill="1" applyBorder="1"/>
    <xf numFmtId="2" fontId="11" fillId="4" borderId="5" xfId="0" applyNumberFormat="1" applyFont="1" applyFill="1" applyBorder="1"/>
    <xf numFmtId="2" fontId="11" fillId="4" borderId="2" xfId="0" applyNumberFormat="1" applyFont="1" applyFill="1" applyBorder="1"/>
    <xf numFmtId="0" fontId="11" fillId="4" borderId="4" xfId="0" applyFont="1" applyFill="1" applyBorder="1"/>
    <xf numFmtId="0" fontId="11" fillId="4" borderId="5" xfId="0" applyFont="1" applyFill="1" applyBorder="1"/>
    <xf numFmtId="0" fontId="11" fillId="4" borderId="2" xfId="0" applyFont="1" applyFill="1" applyBorder="1"/>
    <xf numFmtId="0" fontId="11" fillId="4" borderId="15" xfId="0" applyFont="1" applyFill="1" applyBorder="1"/>
    <xf numFmtId="0" fontId="5" fillId="2" borderId="1" xfId="1" applyFont="1" applyFill="1" applyBorder="1"/>
    <xf numFmtId="0" fontId="11" fillId="0" borderId="0" xfId="2" applyFont="1"/>
    <xf numFmtId="0" fontId="5" fillId="0" borderId="5" xfId="1" applyFont="1" applyBorder="1" applyAlignment="1">
      <alignment horizontal="center"/>
    </xf>
    <xf numFmtId="2" fontId="11" fillId="0" borderId="0" xfId="0" applyNumberFormat="1" applyFont="1"/>
    <xf numFmtId="0" fontId="11" fillId="0" borderId="7" xfId="0" applyFont="1" applyBorder="1" applyAlignment="1">
      <alignment horizontal="left" vertical="center" wrapText="1"/>
    </xf>
    <xf numFmtId="0" fontId="11" fillId="0" borderId="6" xfId="1" applyFont="1" applyBorder="1"/>
    <xf numFmtId="0" fontId="11" fillId="0" borderId="3" xfId="1" applyFont="1" applyBorder="1" applyAlignment="1">
      <alignment wrapText="1"/>
    </xf>
    <xf numFmtId="0" fontId="5" fillId="0" borderId="1" xfId="2" applyFont="1" applyBorder="1"/>
    <xf numFmtId="0" fontId="5" fillId="0" borderId="2" xfId="2" applyFont="1" applyBorder="1"/>
    <xf numFmtId="0" fontId="11" fillId="0" borderId="1" xfId="2" applyFont="1" applyBorder="1"/>
    <xf numFmtId="1" fontId="5" fillId="0" borderId="4" xfId="2" applyNumberFormat="1" applyFont="1" applyBorder="1" applyAlignment="1">
      <alignment horizontal="center" vertical="top"/>
    </xf>
    <xf numFmtId="2" fontId="11" fillId="0" borderId="4" xfId="2" applyNumberFormat="1" applyFont="1" applyBorder="1" applyAlignment="1">
      <alignment horizontal="right"/>
    </xf>
    <xf numFmtId="0" fontId="11" fillId="0" borderId="7" xfId="2" applyFont="1" applyBorder="1"/>
    <xf numFmtId="0" fontId="11" fillId="0" borderId="15" xfId="2" applyFont="1" applyBorder="1"/>
    <xf numFmtId="0" fontId="11" fillId="0" borderId="12" xfId="2" applyFont="1" applyBorder="1"/>
    <xf numFmtId="0" fontId="11" fillId="0" borderId="10" xfId="2" applyFont="1" applyBorder="1"/>
    <xf numFmtId="0" fontId="11" fillId="0" borderId="12" xfId="3" applyFont="1" applyBorder="1" applyAlignment="1">
      <alignment horizontal="left"/>
    </xf>
    <xf numFmtId="0" fontId="11" fillId="0" borderId="6" xfId="2" applyFont="1" applyBorder="1" applyAlignment="1">
      <alignment horizontal="left"/>
    </xf>
    <xf numFmtId="0" fontId="11" fillId="0" borderId="3" xfId="2" applyFont="1" applyBorder="1" applyAlignment="1">
      <alignment horizontal="left"/>
    </xf>
    <xf numFmtId="0" fontId="11" fillId="0" borderId="8" xfId="1" applyFont="1" applyBorder="1" applyAlignment="1">
      <alignment horizontal="center"/>
    </xf>
    <xf numFmtId="0" fontId="11" fillId="0" borderId="12" xfId="1" applyFont="1" applyBorder="1"/>
    <xf numFmtId="1" fontId="11" fillId="0" borderId="15" xfId="0" applyNumberFormat="1" applyFont="1" applyBorder="1" applyAlignment="1">
      <alignment horizontal="center"/>
    </xf>
    <xf numFmtId="0" fontId="15" fillId="0" borderId="0" xfId="0" applyFont="1"/>
    <xf numFmtId="0" fontId="5" fillId="0" borderId="1" xfId="0" applyFont="1" applyBorder="1" applyAlignment="1">
      <alignment horizontal="center"/>
    </xf>
    <xf numFmtId="2" fontId="11" fillId="0" borderId="4" xfId="0" applyNumberFormat="1" applyFont="1" applyBorder="1" applyAlignment="1">
      <alignment horizontal="right" vertical="center" wrapText="1"/>
    </xf>
    <xf numFmtId="2" fontId="11" fillId="0" borderId="1" xfId="0" applyNumberFormat="1" applyFont="1" applyBorder="1" applyAlignment="1">
      <alignment horizontal="right" vertical="center" wrapText="1"/>
    </xf>
    <xf numFmtId="2" fontId="11" fillId="0" borderId="1" xfId="0" applyNumberFormat="1" applyFont="1" applyBorder="1" applyAlignment="1">
      <alignment horizontal="right"/>
    </xf>
    <xf numFmtId="0" fontId="11" fillId="0" borderId="7" xfId="0" applyFont="1" applyBorder="1" applyAlignment="1">
      <alignment horizontal="center"/>
    </xf>
    <xf numFmtId="2" fontId="11" fillId="0" borderId="2" xfId="1" applyNumberFormat="1" applyFont="1" applyBorder="1"/>
    <xf numFmtId="2" fontId="11" fillId="0" borderId="4" xfId="1" quotePrefix="1" applyNumberFormat="1" applyFont="1" applyBorder="1" applyAlignment="1">
      <alignment horizontal="right"/>
    </xf>
    <xf numFmtId="165" fontId="11" fillId="0" borderId="4" xfId="1" applyNumberFormat="1" applyFont="1" applyBorder="1" applyAlignment="1">
      <alignment horizontal="right" vertical="center"/>
    </xf>
    <xf numFmtId="0" fontId="11" fillId="0" borderId="7" xfId="1" applyFont="1" applyBorder="1" applyAlignment="1">
      <alignment horizontal="left"/>
    </xf>
    <xf numFmtId="0" fontId="11" fillId="0" borderId="8" xfId="1" applyFont="1" applyBorder="1" applyAlignment="1">
      <alignment horizontal="left"/>
    </xf>
    <xf numFmtId="0" fontId="5" fillId="0" borderId="2" xfId="0" applyFont="1" applyBorder="1" applyAlignment="1">
      <alignment horizontal="left"/>
    </xf>
    <xf numFmtId="0" fontId="11" fillId="0" borderId="16" xfId="0" applyFont="1" applyBorder="1"/>
    <xf numFmtId="49" fontId="11" fillId="0" borderId="4" xfId="1" applyNumberFormat="1" applyFont="1" applyBorder="1" applyAlignment="1">
      <alignment horizontal="center" wrapText="1"/>
    </xf>
    <xf numFmtId="0" fontId="11" fillId="0" borderId="0" xfId="0" applyFont="1" applyAlignment="1">
      <alignment horizontal="center"/>
    </xf>
    <xf numFmtId="0" fontId="11" fillId="0" borderId="10" xfId="0" applyFont="1" applyBorder="1" applyAlignment="1">
      <alignment horizontal="center"/>
    </xf>
    <xf numFmtId="49" fontId="11" fillId="0" borderId="4" xfId="0" applyNumberFormat="1" applyFont="1" applyBorder="1" applyAlignment="1">
      <alignment horizontal="center"/>
    </xf>
    <xf numFmtId="164" fontId="11" fillId="0" borderId="4" xfId="1" applyNumberFormat="1" applyFont="1" applyBorder="1"/>
    <xf numFmtId="1" fontId="11" fillId="0" borderId="15" xfId="1" applyNumberFormat="1" applyFont="1" applyBorder="1"/>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0" xfId="0" applyFont="1" applyAlignment="1">
      <alignment horizontal="left"/>
    </xf>
    <xf numFmtId="0" fontId="5" fillId="0" borderId="16" xfId="0" applyFont="1" applyBorder="1"/>
    <xf numFmtId="0" fontId="5" fillId="0" borderId="15" xfId="0" applyFont="1" applyBorder="1"/>
    <xf numFmtId="0" fontId="5" fillId="0" borderId="8" xfId="0" applyFont="1" applyBorder="1"/>
    <xf numFmtId="0" fontId="5" fillId="0" borderId="8" xfId="0" applyFont="1" applyBorder="1" applyAlignment="1">
      <alignment horizontal="right"/>
    </xf>
    <xf numFmtId="0" fontId="5" fillId="0" borderId="6" xfId="0" applyFont="1" applyBorder="1"/>
    <xf numFmtId="0" fontId="5" fillId="0" borderId="6" xfId="0" applyFont="1" applyBorder="1" applyAlignment="1">
      <alignment horizontal="right"/>
    </xf>
    <xf numFmtId="0" fontId="5" fillId="0" borderId="2" xfId="0" applyFont="1" applyBorder="1" applyAlignment="1">
      <alignment horizontal="center" vertical="top" wrapText="1"/>
    </xf>
    <xf numFmtId="0" fontId="5" fillId="0" borderId="13" xfId="0" applyFont="1" applyBorder="1" applyAlignment="1">
      <alignment horizontal="center" vertical="top" wrapText="1"/>
    </xf>
    <xf numFmtId="2" fontId="11" fillId="0" borderId="14" xfId="0" applyNumberFormat="1" applyFont="1" applyBorder="1"/>
    <xf numFmtId="0" fontId="5" fillId="2" borderId="17" xfId="4" applyFont="1" applyFill="1" applyBorder="1"/>
    <xf numFmtId="0" fontId="11" fillId="0" borderId="0" xfId="4" applyFont="1"/>
    <xf numFmtId="0" fontId="5" fillId="0" borderId="17" xfId="4" applyFont="1" applyBorder="1"/>
    <xf numFmtId="0" fontId="5" fillId="0" borderId="20" xfId="4" applyFont="1" applyBorder="1"/>
    <xf numFmtId="0" fontId="11" fillId="0" borderId="17" xfId="4" applyFont="1" applyBorder="1"/>
    <xf numFmtId="0" fontId="11" fillId="0" borderId="19" xfId="4" applyFont="1" applyBorder="1"/>
    <xf numFmtId="0" fontId="5" fillId="0" borderId="18" xfId="4" applyFont="1" applyBorder="1" applyAlignment="1">
      <alignment horizontal="center"/>
    </xf>
    <xf numFmtId="0" fontId="5" fillId="0" borderId="19" xfId="4" applyFont="1" applyBorder="1" applyAlignment="1">
      <alignment horizontal="center"/>
    </xf>
    <xf numFmtId="2" fontId="11" fillId="0" borderId="19" xfId="4" applyNumberFormat="1" applyFont="1" applyBorder="1" applyAlignment="1">
      <alignment horizontal="right"/>
    </xf>
    <xf numFmtId="2" fontId="11" fillId="0" borderId="19" xfId="4" applyNumberFormat="1" applyFont="1" applyBorder="1"/>
    <xf numFmtId="2" fontId="11" fillId="0" borderId="22" xfId="4" applyNumberFormat="1" applyFont="1" applyBorder="1"/>
    <xf numFmtId="0" fontId="11" fillId="0" borderId="27" xfId="4" applyFont="1" applyBorder="1"/>
    <xf numFmtId="0" fontId="11" fillId="0" borderId="28" xfId="4" applyFont="1" applyBorder="1"/>
    <xf numFmtId="0" fontId="11" fillId="0" borderId="28" xfId="4" applyFont="1" applyBorder="1" applyAlignment="1">
      <alignment horizontal="center"/>
    </xf>
    <xf numFmtId="0" fontId="11" fillId="0" borderId="23" xfId="4" applyFont="1" applyBorder="1" applyAlignment="1">
      <alignment horizontal="center"/>
    </xf>
    <xf numFmtId="0" fontId="11" fillId="0" borderId="0" xfId="4" applyFont="1" applyAlignment="1">
      <alignment horizontal="left" wrapText="1"/>
    </xf>
    <xf numFmtId="2" fontId="11" fillId="0" borderId="19" xfId="4" quotePrefix="1" applyNumberFormat="1" applyFont="1" applyBorder="1"/>
    <xf numFmtId="2" fontId="11" fillId="0" borderId="19" xfId="4" applyNumberFormat="1" applyFont="1" applyBorder="1" applyAlignment="1">
      <alignment wrapText="1"/>
    </xf>
    <xf numFmtId="0" fontId="5" fillId="0" borderId="20" xfId="4" applyFont="1" applyBorder="1" applyAlignment="1">
      <alignment horizontal="center"/>
    </xf>
    <xf numFmtId="0" fontId="5" fillId="0" borderId="4" xfId="4" applyFont="1" applyBorder="1" applyAlignment="1">
      <alignment horizontal="center"/>
    </xf>
    <xf numFmtId="2" fontId="11" fillId="0" borderId="20" xfId="4" applyNumberFormat="1" applyFont="1" applyBorder="1"/>
    <xf numFmtId="0" fontId="11" fillId="0" borderId="29" xfId="4" applyFont="1" applyBorder="1" applyAlignment="1">
      <alignment horizontal="center"/>
    </xf>
    <xf numFmtId="0" fontId="11" fillId="0" borderId="15" xfId="4" applyFont="1" applyBorder="1" applyAlignment="1">
      <alignment horizontal="center"/>
    </xf>
    <xf numFmtId="0" fontId="11" fillId="0" borderId="7" xfId="4" applyFont="1" applyBorder="1"/>
    <xf numFmtId="0" fontId="11" fillId="0" borderId="8" xfId="4" applyFont="1" applyBorder="1"/>
    <xf numFmtId="0" fontId="11" fillId="0" borderId="12" xfId="4" applyFont="1" applyBorder="1"/>
    <xf numFmtId="0" fontId="11" fillId="0" borderId="6" xfId="4" applyFont="1" applyBorder="1"/>
    <xf numFmtId="2" fontId="11" fillId="0" borderId="21" xfId="4" applyNumberFormat="1" applyFont="1" applyBorder="1"/>
    <xf numFmtId="0" fontId="5" fillId="0" borderId="28" xfId="4" applyFont="1" applyBorder="1" applyAlignment="1">
      <alignment horizontal="center"/>
    </xf>
    <xf numFmtId="0" fontId="5" fillId="0" borderId="29" xfId="4" applyFont="1" applyBorder="1" applyAlignment="1">
      <alignment horizontal="center"/>
    </xf>
    <xf numFmtId="2" fontId="11" fillId="0" borderId="4" xfId="4" applyNumberFormat="1" applyFont="1" applyBorder="1" applyAlignment="1">
      <alignment horizontal="right"/>
    </xf>
    <xf numFmtId="2" fontId="11" fillId="0" borderId="26" xfId="4" applyNumberFormat="1" applyFont="1" applyBorder="1" applyAlignment="1">
      <alignment horizontal="right"/>
    </xf>
    <xf numFmtId="0" fontId="11" fillId="0" borderId="19" xfId="4" applyFont="1" applyBorder="1" applyAlignment="1">
      <alignment horizontal="right"/>
    </xf>
    <xf numFmtId="0" fontId="11" fillId="0" borderId="20" xfId="4" applyFont="1" applyBorder="1"/>
    <xf numFmtId="0" fontId="11" fillId="0" borderId="8" xfId="4" applyFont="1" applyBorder="1" applyAlignment="1">
      <alignment horizontal="center"/>
    </xf>
    <xf numFmtId="0" fontId="11" fillId="0" borderId="6" xfId="0" applyFont="1" applyBorder="1" applyAlignment="1">
      <alignment horizontal="center"/>
    </xf>
    <xf numFmtId="0" fontId="11" fillId="0" borderId="5" xfId="0" applyFont="1" applyBorder="1"/>
    <xf numFmtId="0" fontId="11" fillId="0" borderId="0" xfId="0" applyFont="1" applyAlignment="1">
      <alignment horizontal="left" wrapText="1"/>
    </xf>
    <xf numFmtId="0" fontId="12" fillId="0" borderId="15" xfId="0" applyFont="1" applyBorder="1" applyAlignment="1">
      <alignment horizontal="right"/>
    </xf>
    <xf numFmtId="0" fontId="12" fillId="0" borderId="8" xfId="0" applyFont="1" applyBorder="1" applyAlignment="1">
      <alignment horizontal="right"/>
    </xf>
    <xf numFmtId="0" fontId="12" fillId="0" borderId="9" xfId="0" applyFont="1" applyBorder="1" applyAlignment="1">
      <alignment horizontal="right"/>
    </xf>
    <xf numFmtId="0" fontId="11" fillId="0" borderId="1" xfId="1" applyFont="1" applyBorder="1" applyAlignment="1">
      <alignment horizontal="left"/>
    </xf>
    <xf numFmtId="0" fontId="11" fillId="0" borderId="5" xfId="1" applyFont="1" applyBorder="1" applyAlignment="1">
      <alignment horizontal="left"/>
    </xf>
    <xf numFmtId="0" fontId="11" fillId="0" borderId="15" xfId="1" applyFont="1" applyBorder="1" applyAlignment="1">
      <alignment wrapText="1"/>
    </xf>
    <xf numFmtId="0" fontId="11" fillId="0" borderId="9" xfId="1" applyFont="1" applyBorder="1" applyAlignment="1">
      <alignment wrapText="1"/>
    </xf>
    <xf numFmtId="0" fontId="11" fillId="0" borderId="6" xfId="1" applyFont="1" applyBorder="1" applyAlignment="1">
      <alignment wrapText="1"/>
    </xf>
    <xf numFmtId="0" fontId="11" fillId="0" borderId="8" xfId="2" applyFont="1" applyBorder="1"/>
    <xf numFmtId="0" fontId="11" fillId="0" borderId="9" xfId="2" applyFont="1" applyBorder="1"/>
    <xf numFmtId="0" fontId="11" fillId="0" borderId="0" xfId="2" applyFont="1" applyAlignment="1">
      <alignment horizontal="left"/>
    </xf>
    <xf numFmtId="0" fontId="11" fillId="0" borderId="0" xfId="2" applyFont="1" applyAlignment="1">
      <alignment horizontal="center"/>
    </xf>
    <xf numFmtId="167" fontId="11" fillId="0" borderId="0" xfId="2" applyNumberFormat="1" applyFont="1"/>
    <xf numFmtId="0" fontId="11" fillId="0" borderId="8" xfId="4" applyFont="1" applyBorder="1" applyAlignment="1">
      <alignment wrapText="1"/>
    </xf>
    <xf numFmtId="0" fontId="11" fillId="0" borderId="6" xfId="4" applyFont="1" applyBorder="1" applyAlignment="1">
      <alignment wrapText="1"/>
    </xf>
    <xf numFmtId="0" fontId="11" fillId="0" borderId="12" xfId="4" applyFont="1" applyBorder="1" applyAlignment="1">
      <alignment horizontal="left"/>
    </xf>
    <xf numFmtId="0" fontId="11" fillId="0" borderId="0" xfId="4" applyFont="1" applyAlignment="1">
      <alignment wrapText="1"/>
    </xf>
    <xf numFmtId="0" fontId="11" fillId="0" borderId="9" xfId="4" applyFont="1" applyBorder="1" applyAlignment="1">
      <alignment horizontal="center"/>
    </xf>
    <xf numFmtId="2" fontId="6" fillId="0" borderId="19" xfId="4" applyNumberFormat="1" applyFont="1" applyBorder="1" applyAlignment="1">
      <alignment horizontal="right"/>
    </xf>
    <xf numFmtId="2" fontId="11" fillId="0" borderId="7" xfId="0" applyNumberFormat="1" applyFont="1" applyBorder="1"/>
    <xf numFmtId="2" fontId="11" fillId="0" borderId="15" xfId="0" applyNumberFormat="1" applyFont="1" applyBorder="1"/>
    <xf numFmtId="0" fontId="5" fillId="0" borderId="6" xfId="0" applyFont="1" applyBorder="1" applyAlignment="1">
      <alignment horizontal="center"/>
    </xf>
    <xf numFmtId="0" fontId="11" fillId="0" borderId="9" xfId="1" applyFont="1" applyBorder="1" applyAlignment="1">
      <alignment horizontal="center"/>
    </xf>
    <xf numFmtId="0" fontId="11" fillId="0" borderId="11" xfId="1" applyFont="1" applyBorder="1" applyAlignment="1">
      <alignment horizontal="left" vertical="center"/>
    </xf>
    <xf numFmtId="0" fontId="11" fillId="0" borderId="6" xfId="1" applyFont="1" applyBorder="1" applyAlignment="1">
      <alignment horizontal="left" vertical="center"/>
    </xf>
    <xf numFmtId="0" fontId="11" fillId="0" borderId="3" xfId="1" applyFont="1" applyBorder="1" applyAlignment="1">
      <alignment horizontal="left" vertical="center"/>
    </xf>
    <xf numFmtId="0" fontId="11" fillId="0" borderId="12" xfId="1" applyFont="1" applyBorder="1" applyAlignment="1">
      <alignment horizontal="left" wrapText="1"/>
    </xf>
    <xf numFmtId="0" fontId="5" fillId="2" borderId="2" xfId="0" applyFont="1" applyFill="1" applyBorder="1"/>
    <xf numFmtId="0" fontId="5" fillId="2" borderId="2" xfId="1" applyFont="1" applyFill="1" applyBorder="1"/>
    <xf numFmtId="0" fontId="5" fillId="2" borderId="18" xfId="4" applyFont="1" applyFill="1" applyBorder="1"/>
    <xf numFmtId="0" fontId="5" fillId="0" borderId="11" xfId="1" applyFont="1" applyBorder="1"/>
    <xf numFmtId="0" fontId="5" fillId="0" borderId="3" xfId="1" applyFont="1" applyBorder="1"/>
    <xf numFmtId="0" fontId="5" fillId="2" borderId="1" xfId="0" applyFont="1" applyFill="1" applyBorder="1"/>
    <xf numFmtId="0" fontId="5" fillId="2" borderId="2" xfId="0" applyFont="1" applyFill="1" applyBorder="1" applyAlignment="1">
      <alignment horizontal="center"/>
    </xf>
    <xf numFmtId="0" fontId="5" fillId="0" borderId="12" xfId="1" applyFont="1" applyBorder="1"/>
    <xf numFmtId="0" fontId="5" fillId="0" borderId="10" xfId="1" applyFont="1" applyBorder="1"/>
    <xf numFmtId="0" fontId="11" fillId="0" borderId="10" xfId="0" applyFont="1" applyBorder="1" applyAlignment="1">
      <alignment horizontal="left" wrapText="1"/>
    </xf>
    <xf numFmtId="1" fontId="11" fillId="0" borderId="4" xfId="0" applyNumberFormat="1" applyFont="1" applyBorder="1" applyAlignment="1">
      <alignment wrapText="1"/>
    </xf>
    <xf numFmtId="0" fontId="16" fillId="0" borderId="0" xfId="0" applyFont="1"/>
    <xf numFmtId="0" fontId="5" fillId="2" borderId="24" xfId="1" applyFont="1" applyFill="1" applyBorder="1"/>
    <xf numFmtId="0" fontId="5" fillId="0" borderId="24" xfId="1" applyFont="1" applyBorder="1"/>
    <xf numFmtId="0" fontId="12" fillId="0" borderId="12" xfId="0" applyFont="1" applyBorder="1" applyAlignment="1">
      <alignment horizontal="left"/>
    </xf>
    <xf numFmtId="0" fontId="11" fillId="0" borderId="0" xfId="1" applyFont="1" applyAlignment="1">
      <alignment horizontal="left"/>
    </xf>
    <xf numFmtId="0" fontId="11" fillId="0" borderId="24" xfId="1" applyFont="1" applyBorder="1"/>
    <xf numFmtId="0" fontId="11" fillId="0" borderId="25" xfId="1" applyFont="1" applyBorder="1"/>
    <xf numFmtId="39" fontId="11" fillId="0" borderId="4" xfId="1" applyNumberFormat="1" applyFont="1" applyBorder="1"/>
    <xf numFmtId="39" fontId="11" fillId="0" borderId="2" xfId="1" applyNumberFormat="1" applyFont="1" applyBorder="1"/>
    <xf numFmtId="0" fontId="11" fillId="0" borderId="5" xfId="1" applyFont="1" applyBorder="1"/>
    <xf numFmtId="169" fontId="11" fillId="0" borderId="2" xfId="1" applyNumberFormat="1" applyFont="1" applyBorder="1"/>
    <xf numFmtId="164" fontId="11" fillId="0" borderId="4" xfId="1" applyNumberFormat="1" applyFont="1" applyBorder="1" applyAlignment="1">
      <alignment wrapText="1"/>
    </xf>
    <xf numFmtId="0" fontId="11" fillId="0" borderId="5" xfId="1" applyFont="1" applyBorder="1" applyAlignment="1">
      <alignment vertical="top" wrapText="1"/>
    </xf>
    <xf numFmtId="164" fontId="11" fillId="0" borderId="2" xfId="1" applyNumberFormat="1" applyFont="1" applyBorder="1"/>
    <xf numFmtId="1" fontId="11" fillId="0" borderId="8" xfId="1" applyNumberFormat="1" applyFont="1" applyBorder="1"/>
    <xf numFmtId="1" fontId="11" fillId="0" borderId="9" xfId="1" applyNumberFormat="1" applyFont="1" applyBorder="1"/>
    <xf numFmtId="0" fontId="11" fillId="0" borderId="2" xfId="1" applyFont="1" applyBorder="1"/>
    <xf numFmtId="0" fontId="11" fillId="2" borderId="1" xfId="0" applyFont="1" applyFill="1" applyBorder="1"/>
    <xf numFmtId="0" fontId="11" fillId="0" borderId="6" xfId="0" applyFont="1" applyBorder="1" applyAlignment="1" applyProtection="1">
      <alignment wrapText="1"/>
      <protection locked="0"/>
    </xf>
    <xf numFmtId="0" fontId="5" fillId="0" borderId="15" xfId="0" applyFont="1" applyBorder="1" applyAlignment="1">
      <alignment horizontal="center"/>
    </xf>
    <xf numFmtId="0" fontId="11" fillId="0" borderId="6" xfId="0" applyFont="1" applyBorder="1" applyAlignment="1">
      <alignment vertical="top" wrapText="1"/>
    </xf>
    <xf numFmtId="0" fontId="11" fillId="0" borderId="3" xfId="0" applyFont="1" applyBorder="1" applyAlignment="1">
      <alignment vertical="top" wrapText="1"/>
    </xf>
    <xf numFmtId="0" fontId="5" fillId="2" borderId="1" xfId="2" applyFont="1" applyFill="1" applyBorder="1"/>
    <xf numFmtId="0" fontId="11" fillId="0" borderId="12" xfId="3" applyFont="1" applyBorder="1"/>
    <xf numFmtId="49" fontId="11" fillId="0" borderId="4" xfId="1" applyNumberFormat="1" applyFont="1" applyBorder="1" applyAlignment="1">
      <alignment horizontal="right" wrapText="1"/>
    </xf>
    <xf numFmtId="2" fontId="11" fillId="0" borderId="22" xfId="4" applyNumberFormat="1" applyFont="1" applyBorder="1" applyAlignment="1">
      <alignment horizontal="center"/>
    </xf>
    <xf numFmtId="0" fontId="11" fillId="0" borderId="1" xfId="4" applyFont="1" applyBorder="1"/>
    <xf numFmtId="0" fontId="11" fillId="0" borderId="5" xfId="4" applyFont="1" applyBorder="1"/>
    <xf numFmtId="0" fontId="11" fillId="0" borderId="2" xfId="4" applyFont="1" applyBorder="1" applyAlignment="1">
      <alignment horizontal="center"/>
    </xf>
    <xf numFmtId="2" fontId="11" fillId="0" borderId="19" xfId="4" applyNumberFormat="1" applyFont="1" applyBorder="1" applyAlignment="1">
      <alignment horizontal="center"/>
    </xf>
    <xf numFmtId="0" fontId="11" fillId="0" borderId="10" xfId="0" applyFont="1" applyBorder="1" applyAlignment="1">
      <alignment horizontal="left"/>
    </xf>
    <xf numFmtId="0" fontId="11" fillId="0" borderId="6" xfId="0" applyFont="1" applyBorder="1" applyAlignment="1">
      <alignment horizontal="left"/>
    </xf>
    <xf numFmtId="0" fontId="11" fillId="0" borderId="3" xfId="0" applyFont="1" applyBorder="1" applyAlignment="1">
      <alignment horizontal="left"/>
    </xf>
    <xf numFmtId="2" fontId="11" fillId="0" borderId="4" xfId="1" quotePrefix="1" applyNumberFormat="1" applyFont="1" applyBorder="1" applyAlignment="1">
      <alignment horizontal="right" wrapText="1"/>
    </xf>
    <xf numFmtId="0" fontId="6" fillId="0" borderId="11" xfId="4" applyFont="1" applyBorder="1"/>
    <xf numFmtId="0" fontId="6" fillId="0" borderId="0" xfId="0" applyFont="1"/>
    <xf numFmtId="2" fontId="6" fillId="0" borderId="2" xfId="0" applyNumberFormat="1" applyFont="1" applyBorder="1" applyAlignment="1">
      <alignment horizontal="right"/>
    </xf>
    <xf numFmtId="0" fontId="6" fillId="0" borderId="6" xfId="0" applyFont="1" applyBorder="1"/>
    <xf numFmtId="49" fontId="11" fillId="0" borderId="4" xfId="1" applyNumberFormat="1" applyFont="1" applyBorder="1" applyAlignment="1">
      <alignment horizontal="right"/>
    </xf>
    <xf numFmtId="0" fontId="6" fillId="0" borderId="3" xfId="0" applyFont="1" applyBorder="1"/>
    <xf numFmtId="2" fontId="6" fillId="0" borderId="19" xfId="4" applyNumberFormat="1" applyFont="1" applyBorder="1"/>
    <xf numFmtId="0" fontId="11" fillId="0" borderId="0" xfId="1" applyFont="1" applyAlignment="1">
      <alignment vertical="top" wrapText="1"/>
    </xf>
    <xf numFmtId="0" fontId="11" fillId="0" borderId="12" xfId="1" applyFont="1" applyBorder="1" applyAlignment="1">
      <alignment vertical="top"/>
    </xf>
    <xf numFmtId="0" fontId="11" fillId="0" borderId="6" xfId="1" applyFont="1" applyBorder="1" applyAlignment="1">
      <alignment vertical="top" wrapText="1"/>
    </xf>
    <xf numFmtId="0" fontId="11" fillId="0" borderId="1" xfId="1" applyFont="1" applyBorder="1" applyAlignment="1">
      <alignment vertical="top" wrapText="1"/>
    </xf>
    <xf numFmtId="0" fontId="17" fillId="0" borderId="0" xfId="0" applyFont="1"/>
    <xf numFmtId="0" fontId="20" fillId="0" borderId="0" xfId="0" applyFont="1" applyAlignment="1">
      <alignment horizontal="left" wrapText="1"/>
    </xf>
    <xf numFmtId="0" fontId="11" fillId="0" borderId="2" xfId="1" applyFont="1" applyBorder="1" applyAlignment="1">
      <alignment vertical="top" wrapText="1"/>
    </xf>
    <xf numFmtId="0" fontId="11" fillId="0" borderId="11" xfId="1" applyFont="1" applyBorder="1" applyAlignment="1">
      <alignment vertical="top"/>
    </xf>
    <xf numFmtId="0" fontId="11" fillId="0" borderId="4" xfId="0" applyFont="1" applyBorder="1" applyAlignment="1">
      <alignment horizontal="left" vertical="center" wrapText="1"/>
    </xf>
    <xf numFmtId="0" fontId="5" fillId="0" borderId="4" xfId="0" applyFont="1" applyBorder="1" applyAlignment="1">
      <alignment horizontal="center" vertical="center" wrapText="1"/>
    </xf>
    <xf numFmtId="0" fontId="11" fillId="0" borderId="7" xfId="0" applyFont="1" applyBorder="1" applyAlignment="1">
      <alignment horizontal="left"/>
    </xf>
    <xf numFmtId="2" fontId="11" fillId="0" borderId="4" xfId="0" applyNumberFormat="1" applyFont="1" applyBorder="1" applyAlignment="1">
      <alignment horizontal="left" vertical="center" wrapText="1"/>
    </xf>
    <xf numFmtId="0" fontId="11" fillId="0" borderId="15"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6" xfId="0" applyFont="1" applyBorder="1" applyAlignment="1">
      <alignment horizontal="left" vertical="center" wrapText="1"/>
    </xf>
    <xf numFmtId="0" fontId="5" fillId="0" borderId="16" xfId="0" applyFont="1" applyBorder="1" applyAlignment="1">
      <alignment horizontal="center" vertical="center" wrapText="1"/>
    </xf>
    <xf numFmtId="2" fontId="11" fillId="0" borderId="16" xfId="0" applyNumberFormat="1" applyFont="1" applyBorder="1" applyAlignment="1">
      <alignment horizontal="right"/>
    </xf>
    <xf numFmtId="0" fontId="5" fillId="0" borderId="15" xfId="0" applyFont="1" applyBorder="1" applyAlignment="1">
      <alignment horizontal="center" vertical="center" wrapText="1"/>
    </xf>
    <xf numFmtId="0" fontId="5" fillId="0" borderId="3" xfId="0" applyFont="1" applyBorder="1" applyAlignment="1">
      <alignment horizontal="center"/>
    </xf>
    <xf numFmtId="2" fontId="11" fillId="0" borderId="4" xfId="0" applyNumberFormat="1" applyFont="1" applyBorder="1" applyAlignment="1">
      <alignment horizontal="center" vertical="center" wrapText="1"/>
    </xf>
    <xf numFmtId="2" fontId="11" fillId="0" borderId="4" xfId="0" applyNumberFormat="1" applyFont="1" applyBorder="1" applyAlignment="1">
      <alignment horizontal="center" wrapText="1"/>
    </xf>
    <xf numFmtId="0" fontId="5" fillId="0" borderId="11" xfId="2" applyFont="1" applyBorder="1"/>
    <xf numFmtId="0" fontId="5" fillId="0" borderId="3" xfId="2" applyFont="1" applyBorder="1"/>
    <xf numFmtId="0" fontId="11" fillId="0" borderId="11" xfId="2" applyFont="1" applyBorder="1"/>
    <xf numFmtId="1" fontId="5" fillId="0" borderId="16" xfId="2" applyNumberFormat="1" applyFont="1" applyBorder="1" applyAlignment="1">
      <alignment horizontal="center" vertical="top"/>
    </xf>
    <xf numFmtId="40" fontId="11" fillId="0" borderId="4" xfId="2" applyNumberFormat="1" applyFont="1" applyBorder="1"/>
    <xf numFmtId="40" fontId="11" fillId="0" borderId="15" xfId="2" applyNumberFormat="1" applyFont="1" applyBorder="1"/>
    <xf numFmtId="166" fontId="11" fillId="0" borderId="15" xfId="2" applyNumberFormat="1" applyFont="1" applyBorder="1"/>
    <xf numFmtId="40" fontId="11" fillId="0" borderId="5" xfId="2" applyNumberFormat="1" applyFont="1" applyBorder="1"/>
    <xf numFmtId="0" fontId="11" fillId="0" borderId="4" xfId="2" applyFont="1" applyBorder="1" applyAlignment="1">
      <alignment horizontal="left"/>
    </xf>
    <xf numFmtId="0" fontId="11" fillId="0" borderId="4" xfId="2" applyFont="1" applyBorder="1"/>
    <xf numFmtId="0" fontId="11" fillId="0" borderId="6" xfId="2" applyFont="1" applyBorder="1"/>
    <xf numFmtId="0" fontId="11" fillId="0" borderId="3" xfId="2" applyFont="1" applyBorder="1"/>
    <xf numFmtId="0" fontId="18" fillId="0" borderId="0" xfId="0" applyFont="1"/>
    <xf numFmtId="0" fontId="11" fillId="0" borderId="15" xfId="2" applyFont="1" applyBorder="1" applyAlignment="1">
      <alignment horizontal="center"/>
    </xf>
    <xf numFmtId="0" fontId="21" fillId="0" borderId="0" xfId="0" applyFont="1"/>
    <xf numFmtId="0" fontId="5" fillId="0" borderId="16" xfId="2" applyFont="1" applyBorder="1" applyAlignment="1">
      <alignment horizontal="center" vertical="top"/>
    </xf>
    <xf numFmtId="0" fontId="5" fillId="0" borderId="4" xfId="2" applyFont="1" applyBorder="1" applyAlignment="1">
      <alignment horizontal="center" vertical="top"/>
    </xf>
    <xf numFmtId="1" fontId="11" fillId="0" borderId="4" xfId="2" applyNumberFormat="1" applyFont="1" applyBorder="1"/>
    <xf numFmtId="168" fontId="11" fillId="0" borderId="15" xfId="2" applyNumberFormat="1" applyFont="1" applyBorder="1"/>
    <xf numFmtId="0" fontId="11" fillId="0" borderId="12" xfId="2" applyFont="1" applyBorder="1" applyAlignment="1">
      <alignment horizontal="left"/>
    </xf>
    <xf numFmtId="0" fontId="11" fillId="0" borderId="6" xfId="3" applyFont="1" applyBorder="1" applyAlignment="1">
      <alignment wrapText="1"/>
    </xf>
    <xf numFmtId="0" fontId="11" fillId="0" borderId="6" xfId="2" applyFont="1" applyBorder="1" applyAlignment="1">
      <alignment horizontal="center"/>
    </xf>
    <xf numFmtId="0" fontId="5" fillId="0" borderId="7" xfId="2" applyFont="1" applyBorder="1"/>
    <xf numFmtId="1" fontId="5" fillId="0" borderId="2" xfId="2" applyNumberFormat="1" applyFont="1" applyBorder="1" applyAlignment="1">
      <alignment horizontal="center" vertical="top"/>
    </xf>
    <xf numFmtId="1" fontId="5" fillId="0" borderId="13" xfId="2" applyNumberFormat="1" applyFont="1" applyBorder="1" applyAlignment="1">
      <alignment horizontal="center" vertical="top"/>
    </xf>
    <xf numFmtId="2" fontId="11" fillId="0" borderId="2" xfId="2" applyNumberFormat="1" applyFont="1" applyBorder="1" applyAlignment="1">
      <alignment horizontal="right"/>
    </xf>
    <xf numFmtId="2" fontId="11" fillId="0" borderId="2" xfId="2" applyNumberFormat="1" applyFont="1" applyBorder="1"/>
    <xf numFmtId="40" fontId="11" fillId="0" borderId="9" xfId="2" applyNumberFormat="1" applyFont="1" applyBorder="1"/>
    <xf numFmtId="165" fontId="11" fillId="0" borderId="6" xfId="2" applyNumberFormat="1" applyFont="1" applyBorder="1" applyAlignment="1">
      <alignment horizontal="center"/>
    </xf>
    <xf numFmtId="0" fontId="11" fillId="0" borderId="5" xfId="2" applyFont="1" applyBorder="1"/>
    <xf numFmtId="0" fontId="5" fillId="5" borderId="1" xfId="1" applyFont="1" applyFill="1" applyBorder="1"/>
    <xf numFmtId="2" fontId="11" fillId="0" borderId="4" xfId="1" applyNumberFormat="1" applyFont="1" applyBorder="1" applyAlignment="1">
      <alignment vertical="center" wrapText="1"/>
    </xf>
    <xf numFmtId="0" fontId="11" fillId="0" borderId="0" xfId="1" applyFont="1" applyAlignment="1">
      <alignment horizontal="center"/>
    </xf>
    <xf numFmtId="2" fontId="11" fillId="0" borderId="4" xfId="1" applyNumberFormat="1" applyFont="1" applyBorder="1" applyAlignment="1">
      <alignment horizontal="right" wrapText="1"/>
    </xf>
    <xf numFmtId="0" fontId="11" fillId="0" borderId="10" xfId="1" applyFont="1" applyBorder="1" applyAlignment="1">
      <alignment horizontal="center"/>
    </xf>
    <xf numFmtId="0" fontId="11" fillId="0" borderId="3" xfId="1" applyFont="1" applyBorder="1" applyAlignment="1">
      <alignment horizontal="left"/>
    </xf>
    <xf numFmtId="0" fontId="11" fillId="0" borderId="12" xfId="0" applyFont="1" applyBorder="1" applyAlignment="1">
      <alignment horizontal="left" vertical="center"/>
    </xf>
    <xf numFmtId="0" fontId="11" fillId="0" borderId="3" xfId="0" applyFont="1" applyBorder="1" applyAlignment="1">
      <alignment horizontal="center"/>
    </xf>
    <xf numFmtId="2" fontId="11" fillId="0" borderId="13" xfId="0" applyNumberFormat="1" applyFont="1" applyBorder="1" applyAlignment="1">
      <alignment horizontal="right"/>
    </xf>
    <xf numFmtId="0" fontId="11" fillId="0" borderId="4" xfId="0" quotePrefix="1" applyFont="1" applyBorder="1" applyAlignment="1">
      <alignment wrapText="1"/>
    </xf>
    <xf numFmtId="2" fontId="22" fillId="0" borderId="4" xfId="0" applyNumberFormat="1" applyFont="1" applyBorder="1"/>
    <xf numFmtId="2" fontId="22" fillId="0" borderId="4" xfId="0" applyNumberFormat="1" applyFont="1" applyBorder="1" applyAlignment="1">
      <alignment horizontal="right"/>
    </xf>
    <xf numFmtId="1" fontId="5" fillId="0" borderId="4" xfId="0" applyNumberFormat="1" applyFont="1" applyBorder="1" applyAlignment="1">
      <alignment horizontal="center"/>
    </xf>
    <xf numFmtId="1" fontId="5" fillId="0" borderId="5" xfId="0" applyNumberFormat="1" applyFont="1" applyBorder="1" applyAlignment="1">
      <alignment horizontal="center"/>
    </xf>
    <xf numFmtId="1" fontId="5" fillId="0" borderId="2" xfId="0" applyNumberFormat="1" applyFont="1" applyBorder="1" applyAlignment="1">
      <alignment horizontal="center"/>
    </xf>
    <xf numFmtId="0" fontId="5" fillId="0" borderId="9" xfId="0" applyFont="1" applyBorder="1" applyAlignment="1">
      <alignment horizontal="left"/>
    </xf>
    <xf numFmtId="0" fontId="6" fillId="0" borderId="11" xfId="0" applyFont="1" applyBorder="1" applyAlignment="1">
      <alignment horizontal="left" vertical="center"/>
    </xf>
    <xf numFmtId="0" fontId="6" fillId="0" borderId="6" xfId="0" applyFont="1" applyBorder="1" applyAlignment="1">
      <alignment horizontal="left" vertical="center" wrapText="1"/>
    </xf>
    <xf numFmtId="0" fontId="24" fillId="2" borderId="1" xfId="0" applyFont="1" applyFill="1" applyBorder="1"/>
    <xf numFmtId="0" fontId="24" fillId="2" borderId="2" xfId="0" applyFont="1" applyFill="1" applyBorder="1"/>
    <xf numFmtId="0" fontId="25" fillId="6" borderId="0" xfId="0" applyFont="1" applyFill="1" applyAlignment="1">
      <alignment vertical="center"/>
    </xf>
    <xf numFmtId="0" fontId="23" fillId="0" borderId="0" xfId="0" applyFont="1"/>
    <xf numFmtId="0" fontId="6" fillId="0" borderId="4" xfId="0" applyFont="1" applyBorder="1"/>
    <xf numFmtId="2" fontId="6" fillId="0" borderId="4" xfId="0" applyNumberFormat="1"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12" xfId="0" applyFont="1" applyBorder="1"/>
    <xf numFmtId="0" fontId="6" fillId="0" borderId="11" xfId="0" applyFont="1" applyBorder="1"/>
    <xf numFmtId="0" fontId="24" fillId="0" borderId="4" xfId="0" applyFont="1" applyBorder="1"/>
    <xf numFmtId="0" fontId="6" fillId="6" borderId="0" xfId="0" applyFont="1" applyFill="1" applyAlignment="1">
      <alignment vertical="center"/>
    </xf>
    <xf numFmtId="0" fontId="6" fillId="6" borderId="4" xfId="0" applyFont="1" applyFill="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15" xfId="0" applyFont="1" applyBorder="1"/>
    <xf numFmtId="2" fontId="26" fillId="6" borderId="4" xfId="0" applyNumberFormat="1" applyFont="1" applyFill="1" applyBorder="1" applyAlignment="1">
      <alignment horizontal="right" vertical="center"/>
    </xf>
    <xf numFmtId="2" fontId="26" fillId="6" borderId="4" xfId="0" applyNumberFormat="1" applyFont="1" applyFill="1" applyBorder="1" applyAlignment="1">
      <alignment vertical="center"/>
    </xf>
    <xf numFmtId="0" fontId="6" fillId="0" borderId="4" xfId="0" applyFont="1" applyBorder="1" applyAlignment="1">
      <alignment horizontal="center" vertical="center" wrapText="1"/>
    </xf>
    <xf numFmtId="2" fontId="6" fillId="0" borderId="4" xfId="1" applyNumberFormat="1" applyFont="1" applyBorder="1" applyProtection="1">
      <protection locked="0"/>
    </xf>
    <xf numFmtId="1" fontId="24" fillId="0" borderId="2" xfId="0" applyNumberFormat="1" applyFont="1" applyBorder="1" applyAlignment="1">
      <alignment horizontal="center"/>
    </xf>
    <xf numFmtId="2" fontId="6" fillId="0" borderId="2" xfId="0" applyNumberFormat="1" applyFont="1" applyBorder="1"/>
    <xf numFmtId="0" fontId="6" fillId="0" borderId="12" xfId="0" applyFont="1" applyBorder="1" applyAlignment="1">
      <alignment horizontal="left"/>
    </xf>
    <xf numFmtId="0" fontId="11" fillId="0" borderId="6" xfId="4" applyFont="1" applyBorder="1" applyAlignment="1">
      <alignment horizontal="center"/>
    </xf>
    <xf numFmtId="0" fontId="11" fillId="0" borderId="3" xfId="4" applyFont="1" applyBorder="1" applyAlignment="1">
      <alignment horizontal="center"/>
    </xf>
    <xf numFmtId="0" fontId="24" fillId="0" borderId="18" xfId="4" applyFont="1" applyBorder="1" applyAlignment="1">
      <alignment horizontal="center"/>
    </xf>
    <xf numFmtId="2" fontId="6" fillId="0" borderId="22" xfId="4" applyNumberFormat="1" applyFont="1" applyBorder="1" applyAlignment="1">
      <alignment horizontal="center"/>
    </xf>
    <xf numFmtId="2" fontId="6" fillId="0" borderId="22" xfId="4" applyNumberFormat="1" applyFont="1" applyBorder="1"/>
    <xf numFmtId="0" fontId="6" fillId="0" borderId="23" xfId="4" applyFont="1" applyBorder="1" applyAlignment="1">
      <alignment horizontal="center"/>
    </xf>
    <xf numFmtId="2" fontId="11" fillId="0" borderId="5" xfId="1" applyNumberFormat="1" applyFont="1" applyBorder="1"/>
    <xf numFmtId="0" fontId="11" fillId="0" borderId="15" xfId="0" applyFont="1" applyBorder="1" applyAlignment="1">
      <alignment horizontal="right" vertical="center"/>
    </xf>
    <xf numFmtId="0" fontId="5" fillId="0" borderId="9" xfId="1" applyFont="1" applyBorder="1"/>
    <xf numFmtId="1" fontId="11" fillId="0" borderId="5" xfId="0" applyNumberFormat="1" applyFont="1" applyBorder="1"/>
    <xf numFmtId="0" fontId="5" fillId="0" borderId="4" xfId="0" applyFont="1" applyBorder="1" applyAlignment="1">
      <alignment wrapText="1"/>
    </xf>
    <xf numFmtId="0" fontId="11" fillId="0" borderId="8" xfId="0" applyFont="1" applyBorder="1" applyAlignment="1">
      <alignment vertical="center" wrapText="1"/>
    </xf>
    <xf numFmtId="0" fontId="11" fillId="0" borderId="0" xfId="0" applyFont="1" applyAlignment="1">
      <alignment vertical="center" wrapText="1"/>
    </xf>
    <xf numFmtId="0" fontId="6" fillId="0" borderId="0" xfId="1" applyFont="1"/>
    <xf numFmtId="0" fontId="6" fillId="0" borderId="4" xfId="0" applyFont="1" applyBorder="1" applyAlignment="1">
      <alignment vertical="center"/>
    </xf>
    <xf numFmtId="2" fontId="26" fillId="0" borderId="4" xfId="0" applyNumberFormat="1" applyFont="1" applyBorder="1" applyAlignment="1">
      <alignment horizontal="right" vertical="center"/>
    </xf>
    <xf numFmtId="0" fontId="5" fillId="0" borderId="4" xfId="2" applyFont="1" applyBorder="1"/>
    <xf numFmtId="2" fontId="11" fillId="0" borderId="5" xfId="2" applyNumberFormat="1" applyFont="1" applyBorder="1"/>
    <xf numFmtId="40" fontId="11" fillId="0" borderId="8" xfId="2" applyNumberFormat="1" applyFont="1" applyBorder="1"/>
    <xf numFmtId="2" fontId="11" fillId="0" borderId="4" xfId="0" applyNumberFormat="1" applyFont="1" applyBorder="1" applyAlignment="1">
      <alignment horizontal="center"/>
    </xf>
    <xf numFmtId="0" fontId="5" fillId="0" borderId="4" xfId="4" applyFont="1" applyBorder="1"/>
    <xf numFmtId="0" fontId="5" fillId="0" borderId="26" xfId="4" applyFont="1" applyBorder="1" applyAlignment="1">
      <alignment horizontal="center"/>
    </xf>
    <xf numFmtId="2" fontId="11" fillId="0" borderId="19" xfId="4" applyNumberFormat="1" applyFont="1" applyBorder="1" applyAlignment="1">
      <alignment horizontal="left"/>
    </xf>
    <xf numFmtId="0" fontId="11" fillId="0" borderId="5" xfId="4" applyFont="1" applyBorder="1" applyAlignment="1">
      <alignment horizontal="center"/>
    </xf>
    <xf numFmtId="0" fontId="11" fillId="0" borderId="6" xfId="4" applyFont="1" applyBorder="1" applyAlignment="1">
      <alignment horizontal="left" wrapText="1"/>
    </xf>
    <xf numFmtId="0" fontId="5" fillId="0" borderId="21" xfId="4" applyFont="1" applyBorder="1" applyAlignment="1">
      <alignment horizontal="center"/>
    </xf>
    <xf numFmtId="2" fontId="11" fillId="0" borderId="22" xfId="4" applyNumberFormat="1" applyFont="1" applyBorder="1" applyAlignment="1">
      <alignment horizontal="right"/>
    </xf>
    <xf numFmtId="0" fontId="11" fillId="0" borderId="0" xfId="4" applyFont="1" applyAlignment="1">
      <alignment horizontal="center"/>
    </xf>
    <xf numFmtId="0" fontId="5" fillId="0" borderId="0" xfId="4" applyFont="1" applyAlignment="1">
      <alignment horizontal="center"/>
    </xf>
    <xf numFmtId="49" fontId="11" fillId="0" borderId="4" xfId="1" quotePrefix="1" applyNumberFormat="1" applyFont="1" applyBorder="1" applyAlignment="1">
      <alignment horizontal="center" wrapText="1"/>
    </xf>
    <xf numFmtId="49" fontId="11" fillId="0" borderId="2" xfId="0" applyNumberFormat="1" applyFont="1" applyBorder="1" applyAlignment="1">
      <alignment horizontal="center"/>
    </xf>
    <xf numFmtId="49" fontId="6" fillId="0" borderId="2" xfId="0" applyNumberFormat="1" applyFont="1" applyBorder="1" applyAlignment="1">
      <alignment horizontal="center"/>
    </xf>
    <xf numFmtId="0" fontId="24" fillId="0" borderId="4" xfId="1" applyFont="1" applyBorder="1" applyAlignment="1">
      <alignment horizontal="center"/>
    </xf>
    <xf numFmtId="2" fontId="6" fillId="0" borderId="4" xfId="1" applyNumberFormat="1" applyFont="1" applyBorder="1"/>
    <xf numFmtId="2" fontId="6" fillId="0" borderId="4" xfId="1" applyNumberFormat="1" applyFont="1" applyBorder="1" applyAlignment="1">
      <alignment horizontal="right"/>
    </xf>
    <xf numFmtId="0" fontId="6" fillId="0" borderId="15" xfId="1" applyFont="1" applyBorder="1"/>
    <xf numFmtId="0" fontId="6" fillId="0" borderId="15" xfId="1" applyFont="1" applyBorder="1" applyAlignment="1">
      <alignment wrapText="1"/>
    </xf>
    <xf numFmtId="0" fontId="6" fillId="0" borderId="11" xfId="1" applyFont="1" applyBorder="1" applyAlignment="1">
      <alignment horizontal="left"/>
    </xf>
    <xf numFmtId="0" fontId="6" fillId="0" borderId="15" xfId="0" applyFont="1" applyBorder="1" applyAlignment="1">
      <alignment horizontal="center"/>
    </xf>
    <xf numFmtId="0" fontId="24" fillId="0" borderId="4" xfId="0" applyFont="1" applyBorder="1" applyAlignment="1">
      <alignment horizontal="center"/>
    </xf>
    <xf numFmtId="0" fontId="6" fillId="0" borderId="4" xfId="0" quotePrefix="1" applyFont="1" applyBorder="1"/>
    <xf numFmtId="2" fontId="6" fillId="0" borderId="4" xfId="0" applyNumberFormat="1" applyFont="1" applyBorder="1" applyAlignment="1">
      <alignment horizontal="right" vertical="center" wrapText="1"/>
    </xf>
    <xf numFmtId="0" fontId="24" fillId="0" borderId="4" xfId="0" applyFont="1" applyBorder="1" applyAlignment="1">
      <alignment horizontal="right" vertical="center"/>
    </xf>
    <xf numFmtId="2" fontId="6" fillId="0" borderId="4" xfId="0" applyNumberFormat="1" applyFont="1" applyBorder="1" applyAlignment="1">
      <alignment horizontal="right" vertical="center"/>
    </xf>
    <xf numFmtId="0" fontId="6" fillId="0" borderId="9" xfId="0" applyFont="1" applyBorder="1" applyAlignment="1">
      <alignment horizontal="center"/>
    </xf>
    <xf numFmtId="0" fontId="27" fillId="0" borderId="10" xfId="0" applyFont="1" applyBorder="1"/>
    <xf numFmtId="0" fontId="1" fillId="0" borderId="8" xfId="0" applyFont="1" applyBorder="1"/>
    <xf numFmtId="0" fontId="27" fillId="0" borderId="9" xfId="0" applyFont="1" applyBorder="1"/>
    <xf numFmtId="0" fontId="6" fillId="0" borderId="12" xfId="0" applyFont="1" applyBorder="1" applyAlignment="1">
      <alignment horizontal="left" vertical="center"/>
    </xf>
    <xf numFmtId="0" fontId="6" fillId="0" borderId="11" xfId="0" applyFont="1" applyBorder="1" applyAlignment="1">
      <alignment horizontal="left"/>
    </xf>
    <xf numFmtId="0" fontId="11" fillId="0" borderId="0" xfId="0" applyFont="1" applyAlignment="1">
      <alignment horizontal="left" vertical="center"/>
    </xf>
    <xf numFmtId="2" fontId="6" fillId="0" borderId="4" xfId="0" applyNumberFormat="1" applyFont="1" applyBorder="1" applyAlignment="1">
      <alignment vertical="center"/>
    </xf>
    <xf numFmtId="0" fontId="11" fillId="0" borderId="8" xfId="0" applyFont="1" applyBorder="1" applyAlignment="1">
      <alignment horizontal="right" vertical="center"/>
    </xf>
    <xf numFmtId="0" fontId="6" fillId="0" borderId="15" xfId="0" applyFont="1" applyBorder="1" applyAlignment="1">
      <alignment horizontal="right" vertical="center"/>
    </xf>
    <xf numFmtId="0" fontId="6" fillId="0" borderId="12" xfId="0" applyFont="1" applyBorder="1" applyAlignment="1">
      <alignment vertical="center"/>
    </xf>
    <xf numFmtId="170" fontId="11" fillId="0" borderId="0" xfId="0" applyNumberFormat="1" applyFont="1"/>
    <xf numFmtId="2" fontId="6" fillId="0" borderId="4" xfId="0" applyNumberFormat="1" applyFont="1" applyBorder="1" applyAlignment="1">
      <alignment horizontal="right"/>
    </xf>
    <xf numFmtId="49" fontId="6" fillId="0" borderId="2" xfId="0" applyNumberFormat="1" applyFont="1" applyBorder="1" applyAlignment="1">
      <alignment wrapText="1"/>
    </xf>
    <xf numFmtId="0" fontId="6" fillId="0" borderId="6" xfId="0" applyFont="1" applyBorder="1" applyAlignment="1">
      <alignment horizontal="left"/>
    </xf>
    <xf numFmtId="0" fontId="6" fillId="0" borderId="4" xfId="0" quotePrefix="1" applyFont="1" applyBorder="1" applyAlignment="1">
      <alignment wrapText="1"/>
    </xf>
    <xf numFmtId="49" fontId="6" fillId="0" borderId="2" xfId="0" applyNumberFormat="1" applyFont="1" applyBorder="1"/>
    <xf numFmtId="0" fontId="6" fillId="0" borderId="4" xfId="0" applyFont="1" applyBorder="1" applyAlignment="1">
      <alignment horizontal="center"/>
    </xf>
    <xf numFmtId="1" fontId="6" fillId="0" borderId="4" xfId="0" applyNumberFormat="1" applyFont="1" applyBorder="1"/>
    <xf numFmtId="1" fontId="6" fillId="0" borderId="15" xfId="0" applyNumberFormat="1" applyFont="1" applyBorder="1" applyAlignment="1">
      <alignment horizontal="right"/>
    </xf>
    <xf numFmtId="0" fontId="24" fillId="0" borderId="4" xfId="0" applyFont="1" applyBorder="1" applyAlignment="1">
      <alignment horizontal="center" wrapText="1"/>
    </xf>
    <xf numFmtId="2" fontId="6" fillId="0" borderId="2" xfId="0" applyNumberFormat="1" applyFont="1" applyBorder="1" applyAlignment="1">
      <alignment wrapText="1"/>
    </xf>
    <xf numFmtId="2" fontId="6" fillId="0" borderId="4" xfId="0" applyNumberFormat="1" applyFont="1" applyBorder="1" applyAlignment="1">
      <alignment wrapText="1"/>
    </xf>
    <xf numFmtId="0" fontId="6" fillId="0" borderId="4" xfId="0" applyFont="1" applyBorder="1" applyAlignment="1">
      <alignment wrapText="1"/>
    </xf>
    <xf numFmtId="0" fontId="6" fillId="0" borderId="15" xfId="0" applyFont="1" applyBorder="1" applyAlignment="1">
      <alignment wrapText="1"/>
    </xf>
    <xf numFmtId="0" fontId="6" fillId="0" borderId="10" xfId="0" applyFont="1" applyBorder="1" applyAlignment="1">
      <alignment wrapText="1"/>
    </xf>
    <xf numFmtId="0" fontId="6" fillId="0" borderId="3" xfId="0" applyFont="1" applyBorder="1" applyAlignment="1">
      <alignment wrapText="1"/>
    </xf>
    <xf numFmtId="0" fontId="6" fillId="0" borderId="9" xfId="0" applyFont="1" applyBorder="1" applyAlignment="1">
      <alignment wrapText="1"/>
    </xf>
    <xf numFmtId="0" fontId="6" fillId="4" borderId="15" xfId="0" applyFont="1" applyFill="1" applyBorder="1"/>
    <xf numFmtId="0" fontId="6" fillId="0" borderId="11"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24" fillId="0" borderId="2" xfId="1" applyFont="1" applyBorder="1" applyAlignment="1">
      <alignment horizontal="center"/>
    </xf>
    <xf numFmtId="1" fontId="6" fillId="0" borderId="15" xfId="1" applyNumberFormat="1" applyFont="1" applyBorder="1" applyAlignment="1">
      <alignment horizontal="center"/>
    </xf>
    <xf numFmtId="0" fontId="24" fillId="0" borderId="1" xfId="0" applyFont="1" applyBorder="1"/>
    <xf numFmtId="0" fontId="24" fillId="0" borderId="2" xfId="0" applyFont="1" applyBorder="1"/>
    <xf numFmtId="0" fontId="6" fillId="0" borderId="1" xfId="0" applyFont="1" applyBorder="1"/>
    <xf numFmtId="1" fontId="6" fillId="0" borderId="4" xfId="0" applyNumberFormat="1" applyFont="1" applyBorder="1" applyAlignment="1">
      <alignment wrapText="1"/>
    </xf>
    <xf numFmtId="0" fontId="6" fillId="0" borderId="0" xfId="0" applyFont="1" applyAlignment="1">
      <alignment horizontal="left" wrapText="1"/>
    </xf>
    <xf numFmtId="0" fontId="6" fillId="0" borderId="2" xfId="0" applyFont="1" applyBorder="1"/>
    <xf numFmtId="0" fontId="11" fillId="6" borderId="0" xfId="0" applyFont="1" applyFill="1" applyAlignment="1">
      <alignment vertical="center"/>
    </xf>
    <xf numFmtId="0" fontId="11" fillId="6" borderId="4" xfId="0" applyFont="1" applyFill="1" applyBorder="1" applyAlignment="1">
      <alignment vertical="center"/>
    </xf>
    <xf numFmtId="0" fontId="11" fillId="6" borderId="4" xfId="0" applyFont="1" applyFill="1" applyBorder="1" applyAlignment="1">
      <alignment horizontal="right" vertical="center"/>
    </xf>
    <xf numFmtId="0" fontId="25" fillId="0" borderId="11" xfId="0" applyFont="1" applyBorder="1"/>
    <xf numFmtId="2" fontId="11" fillId="0" borderId="1" xfId="1" applyNumberFormat="1" applyFont="1" applyBorder="1"/>
    <xf numFmtId="0" fontId="24" fillId="0" borderId="4" xfId="1" applyFont="1" applyBorder="1"/>
    <xf numFmtId="2" fontId="6" fillId="0" borderId="2" xfId="1" applyNumberFormat="1" applyFont="1" applyBorder="1"/>
    <xf numFmtId="0" fontId="12" fillId="0" borderId="0" xfId="0" applyFont="1" applyAlignment="1">
      <alignment horizontal="left"/>
    </xf>
    <xf numFmtId="0" fontId="6" fillId="0" borderId="11" xfId="1" applyFont="1" applyBorder="1"/>
    <xf numFmtId="0" fontId="24" fillId="0" borderId="15" xfId="0" applyFont="1" applyBorder="1"/>
    <xf numFmtId="0" fontId="6" fillId="0" borderId="15" xfId="0" applyFont="1" applyBorder="1" applyAlignment="1">
      <alignment horizontal="center" vertical="center" wrapText="1"/>
    </xf>
    <xf numFmtId="0" fontId="6" fillId="0" borderId="5" xfId="0" applyFont="1" applyBorder="1"/>
    <xf numFmtId="0" fontId="28" fillId="0" borderId="2" xfId="0" applyFont="1" applyBorder="1"/>
    <xf numFmtId="2" fontId="25" fillId="0" borderId="4" xfId="0" applyNumberFormat="1" applyFont="1" applyBorder="1" applyAlignment="1">
      <alignment horizontal="right" vertical="center"/>
    </xf>
    <xf numFmtId="2" fontId="25" fillId="0" borderId="4" xfId="0" applyNumberFormat="1" applyFont="1" applyBorder="1" applyAlignment="1">
      <alignment horizontal="right"/>
    </xf>
    <xf numFmtId="0" fontId="25" fillId="0" borderId="2" xfId="0" applyFont="1" applyBorder="1" applyAlignment="1">
      <alignment horizontal="right"/>
    </xf>
    <xf numFmtId="0" fontId="25" fillId="0" borderId="9" xfId="0" applyFont="1" applyBorder="1" applyAlignment="1">
      <alignment horizontal="right"/>
    </xf>
    <xf numFmtId="0" fontId="25" fillId="0" borderId="2" xfId="0" applyFont="1" applyBorder="1"/>
    <xf numFmtId="0" fontId="25" fillId="0" borderId="9" xfId="0" applyFont="1" applyBorder="1"/>
    <xf numFmtId="0" fontId="25" fillId="0" borderId="10" xfId="0" applyFont="1" applyBorder="1"/>
    <xf numFmtId="0" fontId="25" fillId="0" borderId="3" xfId="0" applyFont="1" applyBorder="1"/>
    <xf numFmtId="2" fontId="25" fillId="0" borderId="4" xfId="0" applyNumberFormat="1" applyFont="1" applyBorder="1" applyAlignment="1">
      <alignment vertical="center"/>
    </xf>
    <xf numFmtId="2" fontId="25" fillId="0" borderId="4" xfId="0" applyNumberFormat="1" applyFont="1" applyBorder="1"/>
    <xf numFmtId="20" fontId="25" fillId="0" borderId="11" xfId="0" applyNumberFormat="1" applyFont="1" applyBorder="1"/>
    <xf numFmtId="0" fontId="28" fillId="0" borderId="2" xfId="0" applyFont="1" applyBorder="1" applyAlignment="1">
      <alignment horizontal="right"/>
    </xf>
    <xf numFmtId="2" fontId="12" fillId="0" borderId="2" xfId="0" applyNumberFormat="1" applyFont="1" applyBorder="1" applyAlignment="1">
      <alignment horizontal="right"/>
    </xf>
    <xf numFmtId="0" fontId="11" fillId="0" borderId="6" xfId="1" applyFont="1" applyBorder="1" applyAlignment="1">
      <alignment horizontal="left" vertical="top" wrapText="1"/>
    </xf>
    <xf numFmtId="2" fontId="6" fillId="0" borderId="4" xfId="0" applyNumberFormat="1" applyFont="1" applyBorder="1" applyAlignment="1">
      <alignment horizontal="center" wrapText="1"/>
    </xf>
    <xf numFmtId="2" fontId="6" fillId="0" borderId="15" xfId="0" applyNumberFormat="1" applyFont="1" applyBorder="1"/>
    <xf numFmtId="0" fontId="6" fillId="0" borderId="4" xfId="0" applyFont="1" applyBorder="1" applyAlignment="1">
      <alignment horizontal="center" wrapText="1"/>
    </xf>
    <xf numFmtId="0" fontId="24" fillId="0" borderId="9" xfId="0" applyFont="1" applyBorder="1" applyAlignment="1">
      <alignment horizontal="center"/>
    </xf>
    <xf numFmtId="0" fontId="24" fillId="0" borderId="10" xfId="0" applyFont="1" applyBorder="1" applyAlignment="1">
      <alignment horizontal="center"/>
    </xf>
    <xf numFmtId="49" fontId="6" fillId="0" borderId="4" xfId="0" applyNumberFormat="1" applyFont="1" applyBorder="1" applyAlignment="1">
      <alignment horizontal="center" wrapText="1"/>
    </xf>
    <xf numFmtId="0" fontId="6" fillId="0" borderId="11" xfId="0" applyFont="1" applyBorder="1" applyProtection="1">
      <protection locked="0"/>
    </xf>
    <xf numFmtId="0" fontId="6" fillId="0" borderId="11" xfId="1" applyFont="1" applyBorder="1" applyAlignment="1">
      <alignment horizontal="left" vertical="top"/>
    </xf>
    <xf numFmtId="0" fontId="24" fillId="0" borderId="15" xfId="0" applyFont="1" applyBorder="1" applyAlignment="1">
      <alignment horizontal="center"/>
    </xf>
    <xf numFmtId="0" fontId="11" fillId="0" borderId="0" xfId="0" applyFont="1" applyAlignment="1">
      <alignment vertical="top" wrapText="1"/>
    </xf>
    <xf numFmtId="0" fontId="6" fillId="0" borderId="11" xfId="0" applyFont="1" applyBorder="1" applyAlignment="1">
      <alignment vertical="top"/>
    </xf>
    <xf numFmtId="0" fontId="6" fillId="0" borderId="12" xfId="0" applyFont="1" applyBorder="1" applyAlignment="1">
      <alignment vertical="top"/>
    </xf>
    <xf numFmtId="0" fontId="11" fillId="0" borderId="10" xfId="0" applyFont="1" applyBorder="1" applyAlignment="1">
      <alignment vertical="top" wrapText="1"/>
    </xf>
    <xf numFmtId="0" fontId="6" fillId="0" borderId="12" xfId="1" applyFont="1" applyBorder="1"/>
    <xf numFmtId="0" fontId="24" fillId="0" borderId="11" xfId="1" applyFont="1" applyBorder="1"/>
    <xf numFmtId="0" fontId="24" fillId="0" borderId="3" xfId="1" applyFont="1" applyBorder="1"/>
    <xf numFmtId="0" fontId="24" fillId="0" borderId="2" xfId="1" applyFont="1" applyBorder="1"/>
    <xf numFmtId="0" fontId="6" fillId="0" borderId="1" xfId="1" applyFont="1" applyBorder="1"/>
    <xf numFmtId="0" fontId="6" fillId="0" borderId="7" xfId="1" applyFont="1" applyBorder="1"/>
    <xf numFmtId="0" fontId="6" fillId="0" borderId="0" xfId="1" applyFont="1" applyAlignment="1">
      <alignment wrapText="1"/>
    </xf>
    <xf numFmtId="49" fontId="6" fillId="0" borderId="4" xfId="1" applyNumberFormat="1" applyFont="1" applyBorder="1" applyAlignment="1">
      <alignment horizontal="right"/>
    </xf>
    <xf numFmtId="0" fontId="6" fillId="0" borderId="1" xfId="1" applyFont="1" applyBorder="1" applyAlignment="1">
      <alignment horizontal="left"/>
    </xf>
    <xf numFmtId="0" fontId="6" fillId="0" borderId="5" xfId="1" applyFont="1" applyBorder="1" applyAlignment="1">
      <alignment horizontal="left" wrapText="1"/>
    </xf>
    <xf numFmtId="0" fontId="6" fillId="0" borderId="2" xfId="1" applyFont="1" applyBorder="1" applyAlignment="1">
      <alignment wrapText="1"/>
    </xf>
    <xf numFmtId="0" fontId="29" fillId="0" borderId="0" xfId="0" applyFont="1"/>
    <xf numFmtId="0" fontId="7" fillId="0" borderId="12" xfId="0" applyFont="1" applyBorder="1"/>
    <xf numFmtId="0" fontId="7" fillId="0" borderId="0" xfId="0" applyFont="1"/>
    <xf numFmtId="0" fontId="27" fillId="0" borderId="0" xfId="0" applyFont="1"/>
    <xf numFmtId="0" fontId="24" fillId="0" borderId="16" xfId="0" applyFont="1" applyBorder="1" applyAlignment="1">
      <alignment horizontal="center"/>
    </xf>
    <xf numFmtId="1" fontId="6" fillId="0" borderId="15" xfId="0" applyNumberFormat="1" applyFont="1" applyBorder="1" applyAlignment="1">
      <alignment horizontal="center"/>
    </xf>
    <xf numFmtId="49" fontId="6" fillId="0" borderId="4" xfId="1" applyNumberFormat="1" applyFont="1" applyBorder="1" applyAlignment="1">
      <alignment horizontal="center" wrapText="1"/>
    </xf>
    <xf numFmtId="0" fontId="6" fillId="0" borderId="4" xfId="1" applyFont="1" applyBorder="1" applyAlignment="1">
      <alignment horizontal="right" wrapText="1"/>
    </xf>
    <xf numFmtId="0" fontId="6" fillId="0" borderId="10" xfId="0" applyFont="1" applyBorder="1" applyAlignment="1">
      <alignment horizontal="left" wrapText="1"/>
    </xf>
    <xf numFmtId="0" fontId="24" fillId="0" borderId="4" xfId="4" applyFont="1" applyBorder="1" applyAlignment="1">
      <alignment horizontal="center"/>
    </xf>
    <xf numFmtId="2" fontId="6" fillId="0" borderId="4" xfId="4" applyNumberFormat="1" applyFont="1" applyBorder="1"/>
    <xf numFmtId="0" fontId="6" fillId="0" borderId="15" xfId="4" applyFont="1" applyBorder="1" applyAlignment="1">
      <alignment horizontal="center"/>
    </xf>
    <xf numFmtId="0" fontId="6" fillId="0" borderId="10" xfId="4" applyFont="1" applyBorder="1"/>
    <xf numFmtId="0" fontId="6" fillId="0" borderId="3" xfId="4" applyFont="1" applyBorder="1"/>
    <xf numFmtId="2" fontId="7" fillId="0" borderId="0" xfId="0" applyNumberFormat="1" applyFont="1"/>
    <xf numFmtId="0" fontId="6" fillId="0" borderId="2" xfId="4" applyFont="1" applyBorder="1"/>
    <xf numFmtId="0" fontId="6" fillId="0" borderId="9" xfId="4" applyFont="1" applyBorder="1"/>
    <xf numFmtId="0" fontId="11" fillId="0" borderId="5" xfId="0" applyFont="1" applyBorder="1" applyAlignment="1">
      <alignment horizontal="center"/>
    </xf>
    <xf numFmtId="0" fontId="6" fillId="0" borderId="2" xfId="0" applyFont="1" applyBorder="1" applyAlignment="1">
      <alignment horizontal="center"/>
    </xf>
    <xf numFmtId="2" fontId="6" fillId="0" borderId="4" xfId="0" applyNumberFormat="1" applyFont="1" applyBorder="1" applyAlignment="1">
      <alignment horizontal="center" vertical="center"/>
    </xf>
    <xf numFmtId="2" fontId="6" fillId="0" borderId="2" xfId="0" applyNumberFormat="1" applyFont="1" applyBorder="1" applyAlignment="1">
      <alignment horizontal="center" vertical="center"/>
    </xf>
    <xf numFmtId="39" fontId="6" fillId="0" borderId="2" xfId="1" applyNumberFormat="1" applyFont="1" applyBorder="1"/>
    <xf numFmtId="164" fontId="6" fillId="0" borderId="4" xfId="1" applyNumberFormat="1" applyFont="1" applyBorder="1"/>
    <xf numFmtId="1" fontId="6" fillId="0" borderId="15" xfId="1" applyNumberFormat="1" applyFont="1" applyBorder="1"/>
    <xf numFmtId="169" fontId="6" fillId="0" borderId="2" xfId="1" applyNumberFormat="1" applyFont="1" applyBorder="1"/>
    <xf numFmtId="169" fontId="6" fillId="0" borderId="4" xfId="1" applyNumberFormat="1" applyFont="1" applyBorder="1"/>
    <xf numFmtId="164" fontId="6" fillId="0" borderId="4" xfId="1" applyNumberFormat="1" applyFont="1" applyBorder="1" applyAlignment="1">
      <alignment wrapText="1"/>
    </xf>
    <xf numFmtId="0" fontId="6" fillId="0" borderId="9" xfId="1" applyFont="1" applyBorder="1"/>
    <xf numFmtId="0" fontId="6" fillId="0" borderId="2" xfId="1" applyFont="1" applyBorder="1" applyAlignment="1">
      <alignment vertical="top" wrapText="1"/>
    </xf>
    <xf numFmtId="0" fontId="6" fillId="0" borderId="12" xfId="1" applyFont="1" applyBorder="1" applyAlignment="1">
      <alignment horizontal="left"/>
    </xf>
    <xf numFmtId="1" fontId="24" fillId="0" borderId="4" xfId="2" applyNumberFormat="1" applyFont="1" applyBorder="1" applyAlignment="1">
      <alignment horizontal="center" vertical="top"/>
    </xf>
    <xf numFmtId="40" fontId="6" fillId="0" borderId="4" xfId="2" applyNumberFormat="1" applyFont="1" applyBorder="1"/>
    <xf numFmtId="40" fontId="6" fillId="0" borderId="15" xfId="2" applyNumberFormat="1" applyFont="1" applyBorder="1"/>
    <xf numFmtId="40" fontId="6" fillId="0" borderId="2" xfId="2" applyNumberFormat="1" applyFont="1" applyBorder="1"/>
    <xf numFmtId="0" fontId="6" fillId="0" borderId="12" xfId="2" applyFont="1" applyBorder="1"/>
    <xf numFmtId="0" fontId="6" fillId="0" borderId="4" xfId="2" applyFont="1" applyBorder="1" applyAlignment="1">
      <alignment horizontal="center"/>
    </xf>
    <xf numFmtId="167" fontId="6" fillId="0" borderId="4" xfId="2" applyNumberFormat="1" applyFont="1" applyBorder="1"/>
    <xf numFmtId="0" fontId="12" fillId="0" borderId="9" xfId="2" applyFont="1" applyBorder="1"/>
    <xf numFmtId="0" fontId="12" fillId="0" borderId="10" xfId="2" applyFont="1" applyBorder="1"/>
    <xf numFmtId="0" fontId="12" fillId="0" borderId="3" xfId="2" applyFont="1" applyBorder="1"/>
    <xf numFmtId="0" fontId="6" fillId="0" borderId="11" xfId="3" applyFont="1" applyBorder="1"/>
    <xf numFmtId="0" fontId="6" fillId="0" borderId="6" xfId="3" applyFont="1" applyBorder="1"/>
    <xf numFmtId="0" fontId="6" fillId="0" borderId="6" xfId="2" applyFont="1" applyBorder="1"/>
    <xf numFmtId="2" fontId="6" fillId="0" borderId="4" xfId="2" applyNumberFormat="1" applyFont="1" applyBorder="1"/>
    <xf numFmtId="1" fontId="6" fillId="0" borderId="4" xfId="2" applyNumberFormat="1" applyFont="1" applyBorder="1"/>
    <xf numFmtId="0" fontId="6" fillId="0" borderId="9" xfId="2" applyFont="1" applyBorder="1"/>
    <xf numFmtId="0" fontId="6" fillId="0" borderId="10" xfId="2" applyFont="1" applyBorder="1"/>
    <xf numFmtId="0" fontId="6" fillId="0" borderId="3" xfId="2" applyFont="1" applyBorder="1"/>
    <xf numFmtId="0" fontId="6" fillId="0" borderId="12" xfId="3" applyFont="1" applyBorder="1"/>
    <xf numFmtId="165" fontId="11" fillId="0" borderId="0" xfId="2" applyNumberFormat="1" applyFont="1" applyAlignment="1">
      <alignment horizontal="center"/>
    </xf>
    <xf numFmtId="0" fontId="11" fillId="0" borderId="0" xfId="3" applyFont="1" applyAlignment="1">
      <alignment wrapText="1"/>
    </xf>
    <xf numFmtId="1" fontId="6" fillId="0" borderId="15" xfId="2" applyNumberFormat="1" applyFont="1" applyBorder="1"/>
    <xf numFmtId="0" fontId="6" fillId="0" borderId="11" xfId="3" applyFont="1" applyBorder="1" applyAlignment="1">
      <alignment horizontal="left"/>
    </xf>
    <xf numFmtId="0" fontId="6" fillId="0" borderId="15" xfId="2" applyFont="1" applyBorder="1"/>
    <xf numFmtId="1" fontId="24" fillId="0" borderId="2" xfId="2" applyNumberFormat="1" applyFont="1" applyBorder="1" applyAlignment="1">
      <alignment horizontal="center" vertical="top"/>
    </xf>
    <xf numFmtId="2" fontId="6" fillId="0" borderId="2" xfId="2" applyNumberFormat="1" applyFont="1" applyBorder="1"/>
    <xf numFmtId="0" fontId="6" fillId="0" borderId="11" xfId="2" applyFont="1" applyBorder="1" applyAlignment="1">
      <alignment horizontal="left"/>
    </xf>
    <xf numFmtId="2" fontId="6" fillId="0" borderId="4" xfId="2" applyNumberFormat="1" applyFont="1" applyBorder="1" applyAlignment="1">
      <alignment horizontal="right"/>
    </xf>
    <xf numFmtId="0" fontId="6" fillId="0" borderId="0" xfId="2" applyFont="1"/>
    <xf numFmtId="0" fontId="6" fillId="0" borderId="4" xfId="1" applyFont="1" applyBorder="1" applyAlignment="1">
      <alignment horizontal="right"/>
    </xf>
    <xf numFmtId="0" fontId="11" fillId="0" borderId="30" xfId="0" applyFont="1" applyBorder="1"/>
    <xf numFmtId="0" fontId="24" fillId="0" borderId="5" xfId="1" applyFont="1" applyBorder="1" applyAlignment="1">
      <alignment horizontal="center"/>
    </xf>
    <xf numFmtId="2" fontId="6" fillId="0" borderId="4" xfId="1" quotePrefix="1" applyNumberFormat="1" applyFont="1" applyBorder="1" applyAlignment="1">
      <alignment horizontal="right"/>
    </xf>
    <xf numFmtId="0" fontId="6" fillId="0" borderId="4" xfId="1" applyFont="1" applyBorder="1" applyAlignment="1">
      <alignment horizontal="center"/>
    </xf>
    <xf numFmtId="0" fontId="6" fillId="0" borderId="10" xfId="0" applyFont="1" applyBorder="1" applyAlignment="1">
      <alignment horizontal="left"/>
    </xf>
    <xf numFmtId="0" fontId="6" fillId="0" borderId="3" xfId="0" applyFont="1" applyBorder="1" applyAlignment="1">
      <alignment horizontal="left"/>
    </xf>
    <xf numFmtId="2" fontId="6" fillId="7" borderId="4" xfId="0" applyNumberFormat="1" applyFont="1" applyFill="1" applyBorder="1"/>
    <xf numFmtId="0" fontId="11" fillId="0" borderId="12" xfId="1" applyFont="1" applyBorder="1" applyAlignment="1">
      <alignment horizontal="left" vertical="top"/>
    </xf>
    <xf numFmtId="0" fontId="11" fillId="0" borderId="0" xfId="1" applyFont="1" applyAlignment="1">
      <alignment horizontal="left" vertical="top"/>
    </xf>
    <xf numFmtId="0" fontId="11" fillId="0" borderId="10" xfId="1" applyFont="1" applyBorder="1" applyAlignment="1">
      <alignment horizontal="left" vertical="top"/>
    </xf>
    <xf numFmtId="49" fontId="6" fillId="0" borderId="4" xfId="0" applyNumberFormat="1" applyFont="1" applyBorder="1" applyAlignment="1">
      <alignment horizontal="center"/>
    </xf>
    <xf numFmtId="49" fontId="6" fillId="0" borderId="4" xfId="0" applyNumberFormat="1" applyFont="1" applyBorder="1" applyAlignment="1">
      <alignment wrapText="1"/>
    </xf>
    <xf numFmtId="0" fontId="5" fillId="0" borderId="0" xfId="0" applyFont="1" applyAlignment="1">
      <alignment horizontal="right"/>
    </xf>
    <xf numFmtId="0" fontId="24" fillId="0" borderId="19" xfId="4" applyFont="1" applyBorder="1" applyAlignment="1">
      <alignment horizontal="center"/>
    </xf>
    <xf numFmtId="0" fontId="6" fillId="0" borderId="28" xfId="4" applyFont="1" applyBorder="1" applyAlignment="1">
      <alignment horizontal="center"/>
    </xf>
    <xf numFmtId="0" fontId="6" fillId="0" borderId="12" xfId="4" applyFont="1" applyBorder="1" applyAlignment="1">
      <alignment horizontal="left"/>
    </xf>
    <xf numFmtId="2" fontId="6" fillId="0" borderId="19" xfId="4" quotePrefix="1" applyNumberFormat="1" applyFont="1" applyBorder="1"/>
    <xf numFmtId="0" fontId="6" fillId="0" borderId="9" xfId="4" applyFont="1" applyBorder="1" applyAlignment="1">
      <alignment horizontal="center"/>
    </xf>
    <xf numFmtId="0" fontId="11" fillId="0" borderId="10" xfId="4" applyFont="1" applyBorder="1" applyAlignment="1">
      <alignment horizontal="center"/>
    </xf>
    <xf numFmtId="0" fontId="6" fillId="0" borderId="10" xfId="4" applyFont="1" applyBorder="1" applyAlignment="1">
      <alignment horizontal="center"/>
    </xf>
    <xf numFmtId="2" fontId="6" fillId="0" borderId="19" xfId="4" applyNumberFormat="1" applyFont="1" applyBorder="1" applyAlignment="1">
      <alignment wrapText="1"/>
    </xf>
    <xf numFmtId="0" fontId="6" fillId="0" borderId="12" xfId="4" applyFont="1" applyBorder="1"/>
    <xf numFmtId="0" fontId="11" fillId="0" borderId="10" xfId="4" applyFont="1" applyBorder="1"/>
    <xf numFmtId="0" fontId="5" fillId="2" borderId="2" xfId="2" applyFont="1" applyFill="1" applyBorder="1"/>
    <xf numFmtId="0" fontId="5" fillId="2" borderId="2" xfId="0" applyFont="1" applyFill="1" applyBorder="1" applyAlignment="1">
      <alignment wrapText="1"/>
    </xf>
    <xf numFmtId="0" fontId="30" fillId="0" borderId="0" xfId="2" applyFont="1"/>
    <xf numFmtId="2" fontId="11" fillId="0" borderId="4" xfId="2" applyNumberFormat="1" applyFont="1" applyBorder="1" applyAlignment="1">
      <alignment horizontal="center"/>
    </xf>
    <xf numFmtId="2" fontId="6" fillId="0" borderId="4" xfId="2" applyNumberFormat="1" applyFont="1" applyBorder="1" applyAlignment="1">
      <alignment horizontal="center"/>
    </xf>
    <xf numFmtId="0" fontId="6" fillId="0" borderId="15" xfId="2" applyFont="1" applyBorder="1" applyAlignment="1">
      <alignment horizontal="center"/>
    </xf>
    <xf numFmtId="0" fontId="30" fillId="0" borderId="10" xfId="2" applyFont="1" applyBorder="1"/>
    <xf numFmtId="0" fontId="6" fillId="0" borderId="2" xfId="2" applyFont="1" applyBorder="1"/>
    <xf numFmtId="0" fontId="21" fillId="0" borderId="0" xfId="2" applyFont="1"/>
    <xf numFmtId="0" fontId="21" fillId="0" borderId="0" xfId="2" applyFont="1" applyAlignment="1">
      <alignment horizontal="center"/>
    </xf>
    <xf numFmtId="165" fontId="21" fillId="0" borderId="0" xfId="2" applyNumberFormat="1" applyFont="1" applyAlignment="1">
      <alignment horizontal="center"/>
    </xf>
    <xf numFmtId="0" fontId="11" fillId="0" borderId="0" xfId="3" applyFont="1"/>
    <xf numFmtId="0" fontId="6" fillId="0" borderId="0" xfId="3" applyFont="1"/>
    <xf numFmtId="0" fontId="6" fillId="0" borderId="12" xfId="3" applyFont="1" applyBorder="1" applyAlignment="1">
      <alignment horizontal="left"/>
    </xf>
    <xf numFmtId="0" fontId="6" fillId="0" borderId="5" xfId="2" applyFont="1" applyBorder="1"/>
    <xf numFmtId="0" fontId="6" fillId="0" borderId="8" xfId="2" applyFont="1" applyBorder="1"/>
    <xf numFmtId="0" fontId="6" fillId="0" borderId="12" xfId="2" applyFont="1" applyBorder="1" applyAlignment="1">
      <alignment horizontal="left"/>
    </xf>
    <xf numFmtId="0" fontId="11" fillId="0" borderId="10" xfId="2" applyFont="1" applyBorder="1" applyAlignment="1">
      <alignment horizontal="left"/>
    </xf>
    <xf numFmtId="0" fontId="6" fillId="0" borderId="0" xfId="0" applyFont="1" applyAlignment="1">
      <alignment horizontal="left" vertical="center"/>
    </xf>
    <xf numFmtId="0" fontId="6" fillId="0" borderId="11" xfId="2" applyFont="1" applyBorder="1"/>
    <xf numFmtId="0" fontId="24" fillId="0" borderId="1" xfId="2" applyFont="1" applyBorder="1"/>
    <xf numFmtId="0" fontId="24" fillId="0" borderId="4" xfId="2" applyFont="1" applyBorder="1"/>
    <xf numFmtId="0" fontId="6" fillId="0" borderId="1" xfId="2" applyFont="1" applyBorder="1"/>
    <xf numFmtId="1" fontId="6" fillId="0" borderId="4" xfId="2" applyNumberFormat="1" applyFont="1" applyBorder="1" applyAlignment="1">
      <alignment horizontal="center" vertical="top"/>
    </xf>
    <xf numFmtId="1" fontId="6" fillId="0" borderId="1" xfId="2" applyNumberFormat="1" applyFont="1" applyBorder="1" applyAlignment="1">
      <alignment horizontal="center" vertical="top"/>
    </xf>
    <xf numFmtId="40" fontId="6" fillId="0" borderId="1" xfId="2" applyNumberFormat="1" applyFont="1" applyBorder="1"/>
    <xf numFmtId="40" fontId="6" fillId="0" borderId="7" xfId="2" applyNumberFormat="1" applyFont="1" applyBorder="1"/>
    <xf numFmtId="0" fontId="32" fillId="0" borderId="2" xfId="0" applyFont="1" applyBorder="1"/>
    <xf numFmtId="0" fontId="6" fillId="0" borderId="4" xfId="2" applyFont="1" applyBorder="1"/>
    <xf numFmtId="0" fontId="6" fillId="0" borderId="7" xfId="2" applyFont="1" applyBorder="1"/>
    <xf numFmtId="2" fontId="26" fillId="0" borderId="4" xfId="0" applyNumberFormat="1" applyFont="1" applyBorder="1"/>
    <xf numFmtId="2" fontId="26" fillId="0" borderId="4" xfId="0" applyNumberFormat="1" applyFont="1" applyBorder="1" applyAlignment="1">
      <alignment horizontal="right"/>
    </xf>
    <xf numFmtId="0" fontId="6" fillId="0" borderId="0" xfId="0" applyFont="1" applyAlignment="1">
      <alignment vertical="center"/>
    </xf>
    <xf numFmtId="0" fontId="6" fillId="0" borderId="0" xfId="0" applyFont="1" applyAlignment="1">
      <alignment wrapText="1"/>
    </xf>
    <xf numFmtId="2" fontId="6" fillId="0" borderId="0" xfId="0" applyNumberFormat="1" applyFont="1"/>
    <xf numFmtId="0" fontId="6" fillId="0" borderId="0" xfId="0" applyFont="1" applyAlignment="1">
      <alignment vertical="center" wrapText="1"/>
    </xf>
    <xf numFmtId="0" fontId="6" fillId="0" borderId="6" xfId="0" applyFont="1" applyBorder="1" applyAlignment="1">
      <alignment vertical="center" wrapText="1"/>
    </xf>
    <xf numFmtId="0" fontId="6" fillId="0" borderId="3" xfId="0" applyFont="1" applyBorder="1" applyAlignment="1">
      <alignment horizontal="left" wrapText="1"/>
    </xf>
    <xf numFmtId="0" fontId="6" fillId="0" borderId="10"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xf>
    <xf numFmtId="0" fontId="6" fillId="0" borderId="0" xfId="1" applyFont="1" applyAlignment="1">
      <alignment horizontal="left"/>
    </xf>
    <xf numFmtId="0" fontId="24" fillId="0" borderId="2" xfId="0" applyFont="1" applyBorder="1" applyAlignment="1">
      <alignment horizontal="center"/>
    </xf>
    <xf numFmtId="0" fontId="11" fillId="0" borderId="9" xfId="1" applyFont="1" applyBorder="1" applyAlignment="1">
      <alignment horizontal="left"/>
    </xf>
    <xf numFmtId="0" fontId="5" fillId="0" borderId="16" xfId="1" applyFont="1" applyBorder="1"/>
    <xf numFmtId="39" fontId="6" fillId="0" borderId="4" xfId="1" applyNumberFormat="1" applyFont="1" applyBorder="1"/>
    <xf numFmtId="0" fontId="11" fillId="0" borderId="7" xfId="1" applyFont="1" applyBorder="1" applyAlignment="1">
      <alignment horizontal="left"/>
    </xf>
    <xf numFmtId="0" fontId="11" fillId="0" borderId="8" xfId="1"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6" fillId="0" borderId="7" xfId="1" applyFont="1" applyBorder="1" applyAlignment="1">
      <alignment horizontal="left"/>
    </xf>
    <xf numFmtId="0" fontId="6" fillId="0" borderId="8" xfId="1" applyFont="1" applyBorder="1" applyAlignment="1">
      <alignment horizontal="left"/>
    </xf>
    <xf numFmtId="0" fontId="25" fillId="0" borderId="12" xfId="0" applyFont="1" applyBorder="1" applyAlignment="1">
      <alignment horizontal="left" wrapText="1"/>
    </xf>
    <xf numFmtId="0" fontId="25" fillId="0" borderId="0" xfId="0" applyFont="1" applyAlignment="1">
      <alignment horizontal="left" wrapText="1"/>
    </xf>
    <xf numFmtId="0" fontId="11" fillId="0" borderId="12" xfId="0" applyFont="1" applyBorder="1" applyAlignment="1">
      <alignment horizontal="left" wrapText="1"/>
    </xf>
    <xf numFmtId="0" fontId="11" fillId="0" borderId="0" xfId="0" applyFont="1" applyAlignment="1">
      <alignment horizontal="left" wrapText="1"/>
    </xf>
    <xf numFmtId="0" fontId="11" fillId="0" borderId="7" xfId="0" applyFont="1" applyBorder="1" applyAlignment="1">
      <alignment horizontal="left" wrapText="1"/>
    </xf>
    <xf numFmtId="0" fontId="11" fillId="0" borderId="8" xfId="0" applyFont="1" applyBorder="1" applyAlignment="1">
      <alignment horizontal="left"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11" fillId="0" borderId="11" xfId="1" applyFont="1" applyBorder="1" applyAlignment="1">
      <alignment horizontal="left" wrapText="1"/>
    </xf>
    <xf numFmtId="0" fontId="11" fillId="0" borderId="6" xfId="1" applyFont="1" applyBorder="1" applyAlignment="1">
      <alignment horizontal="left" wrapText="1"/>
    </xf>
    <xf numFmtId="0" fontId="11" fillId="0" borderId="1" xfId="0" applyFont="1" applyBorder="1" applyAlignment="1">
      <alignment horizontal="left"/>
    </xf>
    <xf numFmtId="0" fontId="11" fillId="0" borderId="5" xfId="0" applyFont="1" applyBorder="1" applyAlignment="1">
      <alignment horizontal="left"/>
    </xf>
    <xf numFmtId="0" fontId="11" fillId="0" borderId="11" xfId="0" applyFont="1" applyBorder="1" applyAlignment="1">
      <alignment horizontal="left" wrapText="1"/>
    </xf>
    <xf numFmtId="0" fontId="11" fillId="0" borderId="6" xfId="0" applyFont="1" applyBorder="1" applyAlignment="1">
      <alignment horizontal="left" wrapText="1"/>
    </xf>
    <xf numFmtId="0" fontId="11" fillId="0" borderId="3" xfId="0" applyFont="1" applyBorder="1" applyAlignment="1">
      <alignment horizontal="left" wrapText="1"/>
    </xf>
    <xf numFmtId="0" fontId="11" fillId="0" borderId="1" xfId="1" applyFont="1" applyBorder="1" applyAlignment="1">
      <alignment horizontal="left" wrapText="1"/>
    </xf>
    <xf numFmtId="0" fontId="11" fillId="0" borderId="5" xfId="1" applyFont="1" applyBorder="1" applyAlignment="1">
      <alignment horizontal="left" wrapText="1"/>
    </xf>
    <xf numFmtId="0" fontId="11" fillId="0" borderId="2" xfId="1" applyFont="1" applyBorder="1" applyAlignment="1">
      <alignment horizontal="left" wrapText="1"/>
    </xf>
    <xf numFmtId="0" fontId="11" fillId="0" borderId="4" xfId="1" applyFont="1" applyBorder="1" applyAlignment="1">
      <alignment horizontal="left"/>
    </xf>
    <xf numFmtId="0" fontId="6" fillId="0" borderId="3" xfId="0" applyFont="1" applyBorder="1" applyAlignment="1">
      <alignment horizontal="left" wrapText="1"/>
    </xf>
    <xf numFmtId="2" fontId="11" fillId="0" borderId="1" xfId="1" applyNumberFormat="1" applyFont="1" applyBorder="1" applyAlignment="1">
      <alignment horizontal="center"/>
    </xf>
    <xf numFmtId="2" fontId="11" fillId="0" borderId="5" xfId="1" applyNumberFormat="1" applyFont="1" applyBorder="1" applyAlignment="1">
      <alignment horizontal="center"/>
    </xf>
    <xf numFmtId="2" fontId="11" fillId="0" borderId="2" xfId="1" applyNumberFormat="1" applyFont="1" applyBorder="1" applyAlignment="1">
      <alignment horizontal="center"/>
    </xf>
    <xf numFmtId="0" fontId="6" fillId="0" borderId="12" xfId="0" applyFont="1" applyBorder="1" applyAlignment="1">
      <alignment horizontal="left" wrapText="1"/>
    </xf>
    <xf numFmtId="0" fontId="6" fillId="0" borderId="0" xfId="0" applyFont="1" applyAlignment="1">
      <alignment horizontal="left" wrapText="1"/>
    </xf>
    <xf numFmtId="0" fontId="6" fillId="0" borderId="10"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11" fillId="0" borderId="12" xfId="3" applyFont="1" applyBorder="1" applyAlignment="1">
      <alignment horizontal="left" wrapText="1"/>
    </xf>
    <xf numFmtId="0" fontId="11" fillId="0" borderId="0" xfId="3" applyFont="1" applyAlignment="1">
      <alignment horizontal="left" wrapText="1"/>
    </xf>
    <xf numFmtId="2" fontId="6" fillId="0" borderId="1" xfId="0" applyNumberFormat="1" applyFont="1" applyBorder="1" applyAlignment="1">
      <alignment horizontal="center"/>
    </xf>
    <xf numFmtId="2" fontId="6" fillId="0" borderId="5" xfId="0" applyNumberFormat="1" applyFont="1" applyBorder="1" applyAlignment="1">
      <alignment horizontal="center"/>
    </xf>
    <xf numFmtId="2" fontId="6" fillId="0" borderId="2" xfId="0" applyNumberFormat="1" applyFont="1" applyBorder="1" applyAlignment="1">
      <alignment horizontal="center"/>
    </xf>
    <xf numFmtId="0" fontId="11" fillId="0" borderId="7" xfId="1" applyFont="1" applyBorder="1" applyAlignment="1">
      <alignment horizontal="left" wrapText="1"/>
    </xf>
    <xf numFmtId="0" fontId="11" fillId="0" borderId="8" xfId="1" applyFont="1" applyBorder="1" applyAlignment="1">
      <alignment horizontal="left" wrapText="1"/>
    </xf>
    <xf numFmtId="0" fontId="11" fillId="0" borderId="12" xfId="1" applyFont="1" applyBorder="1" applyAlignment="1">
      <alignment horizontal="left" vertical="top" wrapText="1"/>
    </xf>
    <xf numFmtId="0" fontId="11" fillId="0" borderId="0" xfId="1" applyFont="1" applyAlignment="1">
      <alignment horizontal="left" vertical="top"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112"/>
  <sheetViews>
    <sheetView tabSelected="1" zoomScale="80" zoomScaleNormal="80" workbookViewId="0">
      <selection activeCell="B1" sqref="B1"/>
    </sheetView>
  </sheetViews>
  <sheetFormatPr defaultColWidth="9.140625" defaultRowHeight="12.75" x14ac:dyDescent="0.2"/>
  <cols>
    <col min="1" max="1" width="19.85546875" style="11" customWidth="1"/>
    <col min="2" max="9" width="28.5703125" style="11" customWidth="1"/>
    <col min="10" max="10" width="27.42578125" style="11" bestFit="1" customWidth="1"/>
    <col min="11" max="11" width="20.7109375" style="11" customWidth="1"/>
    <col min="12" max="12" width="19.140625" style="11" bestFit="1" customWidth="1"/>
    <col min="13" max="14" width="17.7109375" style="11" bestFit="1" customWidth="1"/>
    <col min="15" max="16" width="10.28515625" style="11" customWidth="1"/>
    <col min="17" max="16384" width="9.140625" style="11"/>
  </cols>
  <sheetData>
    <row r="1" spans="1:26" x14ac:dyDescent="0.2">
      <c r="A1" s="339" t="s">
        <v>1144</v>
      </c>
      <c r="B1" s="135"/>
      <c r="C1" s="135"/>
      <c r="D1" s="135"/>
      <c r="E1" s="135"/>
      <c r="F1" s="339"/>
      <c r="G1" s="135"/>
    </row>
    <row r="2" spans="1:26" x14ac:dyDescent="0.2">
      <c r="A2" s="339"/>
      <c r="B2" s="135"/>
      <c r="C2" s="135"/>
      <c r="D2" s="135"/>
      <c r="E2" s="135"/>
      <c r="F2" s="339"/>
      <c r="G2" s="135"/>
    </row>
    <row r="3" spans="1:26" ht="12.75" customHeight="1" x14ac:dyDescent="0.2">
      <c r="A3" s="11" t="s">
        <v>949</v>
      </c>
      <c r="B3" s="141"/>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s="340" customFormat="1" x14ac:dyDescent="0.2"/>
    <row r="5" spans="1:26" x14ac:dyDescent="0.2">
      <c r="A5" s="288" t="s">
        <v>12</v>
      </c>
      <c r="B5" s="283" t="s">
        <v>760</v>
      </c>
      <c r="C5" s="35"/>
      <c r="F5" s="339"/>
      <c r="G5" s="135"/>
    </row>
    <row r="6" spans="1:26" x14ac:dyDescent="0.2">
      <c r="A6" s="43" t="s">
        <v>14</v>
      </c>
      <c r="B6" s="56" t="s">
        <v>643</v>
      </c>
      <c r="C6" s="45" t="s">
        <v>15</v>
      </c>
      <c r="F6" s="339"/>
      <c r="G6" s="135"/>
    </row>
    <row r="7" spans="1:26" x14ac:dyDescent="0.2">
      <c r="A7" s="46" t="s">
        <v>16</v>
      </c>
      <c r="B7" s="15"/>
      <c r="C7" s="15">
        <v>2021</v>
      </c>
      <c r="D7" s="15">
        <v>2022</v>
      </c>
      <c r="E7" s="15">
        <v>2023</v>
      </c>
      <c r="F7" s="339"/>
      <c r="G7" s="135"/>
    </row>
    <row r="8" spans="1:26" x14ac:dyDescent="0.2">
      <c r="A8" s="46" t="s">
        <v>17</v>
      </c>
      <c r="B8" s="5"/>
      <c r="C8" s="5">
        <v>170</v>
      </c>
      <c r="D8" s="5">
        <v>170</v>
      </c>
      <c r="E8" s="5">
        <v>264</v>
      </c>
      <c r="F8" s="339"/>
      <c r="G8" s="135"/>
    </row>
    <row r="9" spans="1:26" x14ac:dyDescent="0.2">
      <c r="A9" s="46" t="s">
        <v>18</v>
      </c>
      <c r="B9" s="5"/>
      <c r="C9" s="5"/>
      <c r="D9" s="5">
        <f>D8+0.05*C8</f>
        <v>178.5</v>
      </c>
      <c r="E9" s="5"/>
      <c r="F9" s="339"/>
      <c r="G9" s="135"/>
    </row>
    <row r="10" spans="1:26" x14ac:dyDescent="0.2">
      <c r="A10" s="46" t="s">
        <v>19</v>
      </c>
      <c r="B10" s="4"/>
      <c r="C10" s="293"/>
      <c r="D10" s="293" t="s">
        <v>761</v>
      </c>
      <c r="E10" s="293"/>
      <c r="F10" s="339"/>
      <c r="G10" s="135"/>
    </row>
    <row r="11" spans="1:26" x14ac:dyDescent="0.2">
      <c r="A11" s="46" t="s">
        <v>20</v>
      </c>
      <c r="B11" s="5"/>
      <c r="C11" s="5">
        <v>148.4</v>
      </c>
      <c r="D11" s="5">
        <v>177.5</v>
      </c>
      <c r="E11" s="5">
        <v>263.86921999999998</v>
      </c>
      <c r="F11" s="339"/>
      <c r="G11" s="135"/>
    </row>
    <row r="12" spans="1:26" x14ac:dyDescent="0.2">
      <c r="A12" s="46" t="s">
        <v>21</v>
      </c>
      <c r="B12" s="5"/>
      <c r="C12" s="5">
        <f>C8-C11</f>
        <v>21.599999999999994</v>
      </c>
      <c r="D12" s="5">
        <f>D9-D11</f>
        <v>1</v>
      </c>
      <c r="E12" s="5">
        <f>E8-E11</f>
        <v>0.13078000000001566</v>
      </c>
      <c r="F12" s="339"/>
      <c r="G12" s="135"/>
    </row>
    <row r="13" spans="1:26" x14ac:dyDescent="0.2">
      <c r="A13" s="8" t="s">
        <v>22</v>
      </c>
      <c r="B13" s="16"/>
      <c r="C13" s="16">
        <v>2022</v>
      </c>
      <c r="D13" s="16"/>
      <c r="E13" s="16"/>
      <c r="F13" s="339"/>
      <c r="G13" s="135"/>
    </row>
    <row r="14" spans="1:26" x14ac:dyDescent="0.2">
      <c r="A14" s="8" t="s">
        <v>23</v>
      </c>
      <c r="B14" s="9"/>
      <c r="C14" s="9"/>
      <c r="D14" s="9"/>
      <c r="E14" s="7"/>
      <c r="F14" s="339"/>
      <c r="G14" s="135"/>
    </row>
    <row r="15" spans="1:26" ht="31.9" customHeight="1" x14ac:dyDescent="0.2">
      <c r="A15" s="714" t="s">
        <v>762</v>
      </c>
      <c r="B15" s="715"/>
      <c r="C15" s="715"/>
      <c r="D15" s="715"/>
      <c r="E15" s="716"/>
      <c r="F15" s="339"/>
      <c r="G15" s="135"/>
    </row>
    <row r="16" spans="1:26" x14ac:dyDescent="0.2">
      <c r="A16" s="339"/>
      <c r="B16" s="135"/>
      <c r="C16" s="135"/>
      <c r="D16" s="135"/>
      <c r="E16" s="135"/>
      <c r="F16" s="339"/>
      <c r="G16" s="135"/>
    </row>
    <row r="17" spans="1:7" s="340" customFormat="1" x14ac:dyDescent="0.2"/>
    <row r="18" spans="1:7" x14ac:dyDescent="0.2">
      <c r="A18" s="404" t="s">
        <v>12</v>
      </c>
      <c r="B18" s="405" t="s">
        <v>995</v>
      </c>
      <c r="C18" s="442"/>
      <c r="D18" s="329"/>
      <c r="F18" s="339"/>
      <c r="G18" s="135"/>
    </row>
    <row r="19" spans="1:7" x14ac:dyDescent="0.2">
      <c r="A19" s="507" t="s">
        <v>14</v>
      </c>
      <c r="B19" s="508" t="s">
        <v>643</v>
      </c>
      <c r="C19" s="416" t="s">
        <v>15</v>
      </c>
      <c r="D19" s="329"/>
      <c r="F19" s="339"/>
      <c r="G19" s="135"/>
    </row>
    <row r="20" spans="1:7" x14ac:dyDescent="0.2">
      <c r="A20" s="509" t="s">
        <v>16</v>
      </c>
      <c r="B20" s="408"/>
      <c r="C20" s="408">
        <v>2023</v>
      </c>
      <c r="D20" s="408">
        <v>2024</v>
      </c>
      <c r="E20" s="339"/>
      <c r="F20" s="135"/>
    </row>
    <row r="21" spans="1:7" x14ac:dyDescent="0.2">
      <c r="A21" s="509" t="s">
        <v>17</v>
      </c>
      <c r="B21" s="409"/>
      <c r="C21" s="409">
        <v>2023</v>
      </c>
      <c r="D21" s="409">
        <v>2023</v>
      </c>
      <c r="E21" s="339"/>
      <c r="F21" s="135"/>
    </row>
    <row r="22" spans="1:7" x14ac:dyDescent="0.2">
      <c r="A22" s="509" t="s">
        <v>18</v>
      </c>
      <c r="B22" s="409"/>
      <c r="C22" s="409"/>
      <c r="D22" s="409">
        <f>D21+23</f>
        <v>2046</v>
      </c>
      <c r="E22" s="339"/>
      <c r="F22" s="135"/>
    </row>
    <row r="23" spans="1:7" x14ac:dyDescent="0.2">
      <c r="A23" s="509" t="s">
        <v>19</v>
      </c>
      <c r="B23" s="491"/>
      <c r="C23" s="510"/>
      <c r="D23" s="510" t="s">
        <v>996</v>
      </c>
      <c r="E23" s="339"/>
      <c r="F23" s="135"/>
    </row>
    <row r="24" spans="1:7" x14ac:dyDescent="0.2">
      <c r="A24" s="509" t="s">
        <v>20</v>
      </c>
      <c r="B24" s="409"/>
      <c r="C24" s="409">
        <v>1999.9290000000001</v>
      </c>
      <c r="D24" s="409"/>
      <c r="E24" s="339"/>
      <c r="F24" s="135"/>
    </row>
    <row r="25" spans="1:7" x14ac:dyDescent="0.2">
      <c r="A25" s="509" t="s">
        <v>21</v>
      </c>
      <c r="B25" s="409"/>
      <c r="C25" s="409">
        <f>C21-C24</f>
        <v>23.070999999999913</v>
      </c>
      <c r="D25" s="409"/>
      <c r="E25" s="339"/>
      <c r="F25" s="135"/>
    </row>
    <row r="26" spans="1:7" x14ac:dyDescent="0.2">
      <c r="A26" s="410" t="s">
        <v>22</v>
      </c>
      <c r="B26" s="421"/>
      <c r="C26" s="421">
        <v>2024</v>
      </c>
      <c r="D26" s="421">
        <v>2025</v>
      </c>
      <c r="E26" s="339"/>
      <c r="F26" s="135"/>
    </row>
    <row r="27" spans="1:7" x14ac:dyDescent="0.2">
      <c r="A27" s="410" t="s">
        <v>23</v>
      </c>
      <c r="B27" s="411"/>
      <c r="C27" s="411"/>
      <c r="D27" s="412"/>
      <c r="E27" s="339"/>
      <c r="F27" s="135"/>
    </row>
    <row r="28" spans="1:7" ht="31.9" customHeight="1" x14ac:dyDescent="0.2">
      <c r="A28" s="708" t="s">
        <v>997</v>
      </c>
      <c r="B28" s="709"/>
      <c r="C28" s="709"/>
      <c r="D28" s="721"/>
      <c r="E28" s="339"/>
      <c r="F28" s="135"/>
    </row>
    <row r="29" spans="1:7" x14ac:dyDescent="0.2">
      <c r="A29" s="511"/>
      <c r="B29" s="511"/>
      <c r="C29" s="511"/>
      <c r="D29" s="511"/>
      <c r="E29" s="339"/>
      <c r="F29" s="135"/>
    </row>
    <row r="30" spans="1:7" x14ac:dyDescent="0.2">
      <c r="A30" s="339"/>
      <c r="B30" s="135"/>
      <c r="C30" s="135"/>
      <c r="D30" s="135"/>
      <c r="E30" s="135"/>
      <c r="F30" s="339"/>
      <c r="G30" s="135"/>
    </row>
    <row r="31" spans="1:7" x14ac:dyDescent="0.2">
      <c r="A31" s="288" t="s">
        <v>12</v>
      </c>
      <c r="B31" s="283" t="s">
        <v>202</v>
      </c>
      <c r="C31" s="35"/>
    </row>
    <row r="32" spans="1:7" x14ac:dyDescent="0.2">
      <c r="A32" s="43" t="s">
        <v>14</v>
      </c>
      <c r="B32" s="56" t="s">
        <v>625</v>
      </c>
      <c r="C32" s="45" t="s">
        <v>15</v>
      </c>
    </row>
    <row r="33" spans="1:8" x14ac:dyDescent="0.2">
      <c r="A33" s="46" t="s">
        <v>16</v>
      </c>
      <c r="B33" s="15"/>
      <c r="C33" s="15">
        <v>2019</v>
      </c>
      <c r="D33" s="15">
        <v>2020</v>
      </c>
      <c r="E33" s="15">
        <v>2021</v>
      </c>
      <c r="F33" s="15">
        <v>2022</v>
      </c>
      <c r="G33" s="15">
        <v>2023</v>
      </c>
      <c r="H33" s="408">
        <v>2024</v>
      </c>
    </row>
    <row r="34" spans="1:8" x14ac:dyDescent="0.2">
      <c r="A34" s="46" t="s">
        <v>17</v>
      </c>
      <c r="B34" s="5"/>
      <c r="C34" s="5">
        <v>215</v>
      </c>
      <c r="D34" s="5">
        <v>215</v>
      </c>
      <c r="E34" s="5">
        <v>242</v>
      </c>
      <c r="F34" s="5">
        <v>242</v>
      </c>
      <c r="G34" s="5">
        <v>242</v>
      </c>
      <c r="H34" s="409">
        <v>302</v>
      </c>
    </row>
    <row r="35" spans="1:8" x14ac:dyDescent="0.2">
      <c r="A35" s="46" t="s">
        <v>18</v>
      </c>
      <c r="B35" s="5"/>
      <c r="C35" s="5">
        <v>265</v>
      </c>
      <c r="D35" s="5">
        <v>265</v>
      </c>
      <c r="E35" s="5">
        <f>E34+0.25*C34</f>
        <v>295.75</v>
      </c>
      <c r="F35" s="5">
        <f>F34+0.25*D34</f>
        <v>295.75</v>
      </c>
      <c r="G35" s="5">
        <f>G34+0.25*E34</f>
        <v>302.5</v>
      </c>
      <c r="H35" s="409">
        <f>H34+0.25*F34</f>
        <v>362.5</v>
      </c>
    </row>
    <row r="36" spans="1:8" x14ac:dyDescent="0.2">
      <c r="A36" s="46" t="s">
        <v>19</v>
      </c>
      <c r="B36" s="4"/>
      <c r="C36" s="293">
        <v>1</v>
      </c>
      <c r="D36" s="293">
        <v>2</v>
      </c>
      <c r="E36" s="293">
        <v>3</v>
      </c>
      <c r="F36" s="293">
        <v>4</v>
      </c>
      <c r="G36" s="293">
        <v>5</v>
      </c>
      <c r="H36" s="510">
        <v>6</v>
      </c>
    </row>
    <row r="37" spans="1:8" x14ac:dyDescent="0.2">
      <c r="A37" s="46" t="s">
        <v>20</v>
      </c>
      <c r="B37" s="5"/>
      <c r="C37" s="5">
        <v>7.12</v>
      </c>
      <c r="D37" s="5">
        <v>10.18</v>
      </c>
      <c r="E37" s="5">
        <v>12.5</v>
      </c>
      <c r="F37" s="5">
        <v>11.74</v>
      </c>
      <c r="G37" s="5">
        <v>13.9</v>
      </c>
      <c r="H37" s="409"/>
    </row>
    <row r="38" spans="1:8" x14ac:dyDescent="0.2">
      <c r="A38" s="46" t="s">
        <v>21</v>
      </c>
      <c r="B38" s="5"/>
      <c r="C38" s="5">
        <f>C35-C37</f>
        <v>257.88</v>
      </c>
      <c r="D38" s="5">
        <f>D35-D37</f>
        <v>254.82</v>
      </c>
      <c r="E38" s="5">
        <f>E35-E37</f>
        <v>283.25</v>
      </c>
      <c r="F38" s="5">
        <f>F35-F37</f>
        <v>284.01</v>
      </c>
      <c r="G38" s="5">
        <f>G35-G37</f>
        <v>288.60000000000002</v>
      </c>
      <c r="H38" s="409"/>
    </row>
    <row r="39" spans="1:8" x14ac:dyDescent="0.2">
      <c r="A39" s="8" t="s">
        <v>22</v>
      </c>
      <c r="B39" s="16"/>
      <c r="C39" s="16">
        <v>2021</v>
      </c>
      <c r="D39" s="16">
        <v>2022</v>
      </c>
      <c r="E39" s="16">
        <v>2023</v>
      </c>
      <c r="F39" s="16">
        <v>2024</v>
      </c>
      <c r="G39" s="16">
        <v>2025</v>
      </c>
      <c r="H39" s="421">
        <v>2026</v>
      </c>
    </row>
    <row r="40" spans="1:8" x14ac:dyDescent="0.2">
      <c r="A40" s="46" t="s">
        <v>23</v>
      </c>
      <c r="B40" s="254"/>
      <c r="C40" s="254"/>
      <c r="D40" s="254"/>
      <c r="E40" s="254"/>
      <c r="F40" s="254"/>
      <c r="G40" s="20"/>
      <c r="H40" s="512"/>
    </row>
    <row r="41" spans="1:8" x14ac:dyDescent="0.2">
      <c r="A41" s="509" t="s">
        <v>999</v>
      </c>
      <c r="B41" s="254"/>
      <c r="C41" s="254"/>
      <c r="D41" s="254"/>
      <c r="E41" s="254"/>
      <c r="F41" s="254"/>
      <c r="G41" s="20"/>
      <c r="H41" s="512"/>
    </row>
    <row r="42" spans="1:8" x14ac:dyDescent="0.2">
      <c r="A42" s="10">
        <v>1</v>
      </c>
      <c r="B42" s="11" t="s">
        <v>763</v>
      </c>
      <c r="H42" s="413"/>
    </row>
    <row r="43" spans="1:8" x14ac:dyDescent="0.2">
      <c r="A43" s="10">
        <v>2</v>
      </c>
      <c r="B43" s="11" t="s">
        <v>764</v>
      </c>
      <c r="H43" s="413"/>
    </row>
    <row r="44" spans="1:8" x14ac:dyDescent="0.2">
      <c r="A44" s="10">
        <v>3</v>
      </c>
      <c r="B44" s="11" t="s">
        <v>765</v>
      </c>
      <c r="H44" s="413"/>
    </row>
    <row r="45" spans="1:8" x14ac:dyDescent="0.2">
      <c r="A45" s="10">
        <v>4</v>
      </c>
      <c r="B45" s="11" t="s">
        <v>766</v>
      </c>
      <c r="H45" s="413"/>
    </row>
    <row r="46" spans="1:8" x14ac:dyDescent="0.2">
      <c r="A46" s="10">
        <v>5</v>
      </c>
      <c r="B46" s="11" t="s">
        <v>767</v>
      </c>
      <c r="H46" s="413"/>
    </row>
    <row r="47" spans="1:8" s="329" customFormat="1" x14ac:dyDescent="0.2">
      <c r="A47" s="415">
        <v>6</v>
      </c>
      <c r="B47" s="331" t="s">
        <v>998</v>
      </c>
      <c r="C47" s="331"/>
      <c r="D47" s="331"/>
      <c r="E47" s="331"/>
      <c r="F47" s="331"/>
      <c r="G47" s="331"/>
      <c r="H47" s="333"/>
    </row>
    <row r="49" spans="1:13" x14ac:dyDescent="0.2">
      <c r="A49" s="43" t="s">
        <v>14</v>
      </c>
      <c r="B49" s="56" t="s">
        <v>624</v>
      </c>
      <c r="C49" s="45" t="s">
        <v>15</v>
      </c>
    </row>
    <row r="50" spans="1:13" x14ac:dyDescent="0.2">
      <c r="A50" s="46" t="s">
        <v>16</v>
      </c>
      <c r="B50" s="15">
        <v>2018</v>
      </c>
      <c r="C50" s="15">
        <v>2019</v>
      </c>
      <c r="D50" s="15">
        <v>2020</v>
      </c>
      <c r="E50" s="15">
        <v>2021</v>
      </c>
      <c r="F50" s="15">
        <v>2022</v>
      </c>
      <c r="G50" s="15">
        <v>2023</v>
      </c>
      <c r="H50" s="408">
        <v>2024</v>
      </c>
    </row>
    <row r="51" spans="1:13" x14ac:dyDescent="0.2">
      <c r="A51" s="46" t="s">
        <v>17</v>
      </c>
      <c r="B51" s="5">
        <v>45</v>
      </c>
      <c r="C51" s="5">
        <v>45</v>
      </c>
      <c r="D51" s="5">
        <v>45</v>
      </c>
      <c r="E51" s="5">
        <v>45</v>
      </c>
      <c r="F51" s="5">
        <v>45</v>
      </c>
      <c r="G51" s="5">
        <v>45</v>
      </c>
      <c r="H51" s="409">
        <v>45</v>
      </c>
    </row>
    <row r="52" spans="1:13" x14ac:dyDescent="0.2">
      <c r="A52" s="46" t="s">
        <v>18</v>
      </c>
      <c r="B52" s="5">
        <v>63</v>
      </c>
      <c r="C52" s="5">
        <v>63</v>
      </c>
      <c r="D52" s="5">
        <v>63</v>
      </c>
      <c r="E52" s="5">
        <v>63</v>
      </c>
      <c r="F52" s="5">
        <v>63</v>
      </c>
      <c r="G52" s="5">
        <v>63</v>
      </c>
      <c r="H52" s="409">
        <v>63</v>
      </c>
    </row>
    <row r="53" spans="1:13" x14ac:dyDescent="0.2">
      <c r="A53" s="46" t="s">
        <v>19</v>
      </c>
      <c r="B53" s="15" t="s">
        <v>300</v>
      </c>
      <c r="C53" s="15" t="s">
        <v>300</v>
      </c>
      <c r="D53" s="15" t="s">
        <v>300</v>
      </c>
      <c r="E53" s="15" t="s">
        <v>300</v>
      </c>
      <c r="F53" s="15" t="s">
        <v>300</v>
      </c>
      <c r="G53" s="15" t="s">
        <v>300</v>
      </c>
      <c r="H53" s="408" t="s">
        <v>300</v>
      </c>
    </row>
    <row r="54" spans="1:13" x14ac:dyDescent="0.2">
      <c r="A54" s="46" t="s">
        <v>20</v>
      </c>
      <c r="B54" s="5">
        <v>18.100000000000001</v>
      </c>
      <c r="C54" s="5">
        <v>9.9499999999999993</v>
      </c>
      <c r="D54" s="5">
        <v>11.79</v>
      </c>
      <c r="E54" s="5">
        <v>13.29</v>
      </c>
      <c r="F54" s="5">
        <v>8.1999999999999993</v>
      </c>
      <c r="G54" s="5">
        <v>9.4700000000000006</v>
      </c>
      <c r="H54" s="409"/>
    </row>
    <row r="55" spans="1:13" x14ac:dyDescent="0.2">
      <c r="A55" s="46" t="s">
        <v>21</v>
      </c>
      <c r="B55" s="5">
        <f t="shared" ref="B55:G55" si="0">B52-B54</f>
        <v>44.9</v>
      </c>
      <c r="C55" s="5">
        <f t="shared" si="0"/>
        <v>53.05</v>
      </c>
      <c r="D55" s="5">
        <f t="shared" si="0"/>
        <v>51.21</v>
      </c>
      <c r="E55" s="5">
        <f t="shared" si="0"/>
        <v>49.71</v>
      </c>
      <c r="F55" s="5">
        <f t="shared" si="0"/>
        <v>54.8</v>
      </c>
      <c r="G55" s="5">
        <f t="shared" si="0"/>
        <v>53.53</v>
      </c>
      <c r="H55" s="409"/>
    </row>
    <row r="56" spans="1:13" x14ac:dyDescent="0.2">
      <c r="A56" s="8" t="s">
        <v>22</v>
      </c>
      <c r="B56" s="16">
        <v>2020</v>
      </c>
      <c r="C56" s="16">
        <v>2021</v>
      </c>
      <c r="D56" s="16">
        <v>2022</v>
      </c>
      <c r="E56" s="16">
        <v>2023</v>
      </c>
      <c r="F56" s="16">
        <v>2024</v>
      </c>
      <c r="G56" s="16">
        <v>2025</v>
      </c>
      <c r="H56" s="421">
        <v>2026</v>
      </c>
    </row>
    <row r="57" spans="1:13" x14ac:dyDescent="0.2">
      <c r="A57" s="8" t="s">
        <v>154</v>
      </c>
      <c r="B57" s="9"/>
      <c r="C57" s="9"/>
      <c r="D57" s="9"/>
      <c r="E57" s="7"/>
      <c r="F57" s="7"/>
      <c r="G57" s="7"/>
      <c r="H57" s="412"/>
    </row>
    <row r="58" spans="1:13" x14ac:dyDescent="0.2">
      <c r="A58" s="415" t="s">
        <v>1000</v>
      </c>
      <c r="B58" s="13"/>
      <c r="C58" s="13"/>
      <c r="D58" s="13"/>
      <c r="E58" s="14"/>
      <c r="F58" s="14"/>
      <c r="G58" s="14"/>
      <c r="H58" s="333"/>
    </row>
    <row r="60" spans="1:13" s="294" customFormat="1" ht="15" x14ac:dyDescent="0.25">
      <c r="A60" s="45" t="s">
        <v>14</v>
      </c>
      <c r="B60" s="45" t="s">
        <v>74</v>
      </c>
      <c r="C60" s="45" t="s">
        <v>15</v>
      </c>
      <c r="D60" s="513"/>
      <c r="E60" s="513"/>
      <c r="F60" s="513"/>
      <c r="G60" s="513"/>
      <c r="H60" s="513"/>
      <c r="I60" s="513"/>
      <c r="J60" s="513"/>
      <c r="K60" s="513"/>
      <c r="L60" s="513"/>
      <c r="M60" s="11"/>
    </row>
    <row r="61" spans="1:13" s="294" customFormat="1" ht="15" x14ac:dyDescent="0.25">
      <c r="A61" s="15" t="s">
        <v>16</v>
      </c>
      <c r="B61" s="15">
        <v>2013</v>
      </c>
      <c r="C61" s="15">
        <v>2014</v>
      </c>
      <c r="D61" s="514">
        <v>2015</v>
      </c>
      <c r="E61" s="15">
        <v>2016</v>
      </c>
      <c r="F61" s="514">
        <v>2017</v>
      </c>
      <c r="G61" s="15">
        <v>2018</v>
      </c>
      <c r="H61" s="514">
        <v>2019</v>
      </c>
      <c r="I61" s="15">
        <v>2020</v>
      </c>
      <c r="J61" s="514">
        <v>2021</v>
      </c>
      <c r="K61" s="514">
        <v>2022</v>
      </c>
      <c r="L61" s="514">
        <v>2023</v>
      </c>
      <c r="M61" s="418">
        <v>2024</v>
      </c>
    </row>
    <row r="62" spans="1:13" s="294" customFormat="1" ht="15" x14ac:dyDescent="0.25">
      <c r="A62" s="15" t="s">
        <v>17</v>
      </c>
      <c r="B62" s="15">
        <v>10</v>
      </c>
      <c r="C62" s="15">
        <v>10</v>
      </c>
      <c r="D62" s="15">
        <v>10</v>
      </c>
      <c r="E62" s="15">
        <v>10</v>
      </c>
      <c r="F62" s="15">
        <v>10</v>
      </c>
      <c r="G62" s="15">
        <v>10</v>
      </c>
      <c r="H62" s="15">
        <v>10</v>
      </c>
      <c r="I62" s="15">
        <v>10</v>
      </c>
      <c r="J62" s="15">
        <v>10</v>
      </c>
      <c r="K62" s="15">
        <v>10</v>
      </c>
      <c r="L62" s="15">
        <v>10</v>
      </c>
      <c r="M62" s="408">
        <v>10</v>
      </c>
    </row>
    <row r="63" spans="1:13" s="294" customFormat="1" ht="15" x14ac:dyDescent="0.25">
      <c r="A63" s="15" t="s">
        <v>18</v>
      </c>
      <c r="B63" s="15"/>
      <c r="C63" s="15"/>
      <c r="D63" s="15">
        <f>D62+B66</f>
        <v>8.98</v>
      </c>
      <c r="E63" s="5">
        <f>E62+C66</f>
        <v>8.41</v>
      </c>
      <c r="F63" s="5">
        <f t="shared" ref="F63:J63" si="1">F62+D66</f>
        <v>-14.739999999999998</v>
      </c>
      <c r="G63" s="5">
        <f t="shared" si="1"/>
        <v>7.2100000000000009</v>
      </c>
      <c r="H63" s="5">
        <f t="shared" si="1"/>
        <v>-28.769999999999996</v>
      </c>
      <c r="I63" s="5">
        <f t="shared" si="1"/>
        <v>3.66</v>
      </c>
      <c r="J63" s="5">
        <f t="shared" si="1"/>
        <v>-32.25</v>
      </c>
      <c r="K63" s="5">
        <f>K62+(1.25*I66)</f>
        <v>-12.337500000000002</v>
      </c>
      <c r="L63" s="5">
        <f>L62+(1.25*J66)</f>
        <v>-45.600000000000009</v>
      </c>
      <c r="M63" s="409">
        <f>M62+(1.25*K66)</f>
        <v>-17.296875000000004</v>
      </c>
    </row>
    <row r="64" spans="1:13" s="294" customFormat="1" ht="15" x14ac:dyDescent="0.25">
      <c r="A64" s="15" t="s">
        <v>19</v>
      </c>
      <c r="B64" s="15"/>
      <c r="C64" s="15"/>
      <c r="D64" s="15">
        <v>1</v>
      </c>
      <c r="E64" s="15">
        <v>2</v>
      </c>
      <c r="F64" s="15">
        <v>3</v>
      </c>
      <c r="G64" s="15">
        <v>4</v>
      </c>
      <c r="H64" s="15">
        <v>5</v>
      </c>
      <c r="I64" s="15">
        <v>6</v>
      </c>
      <c r="J64" s="15">
        <v>7</v>
      </c>
      <c r="K64" s="15">
        <v>8</v>
      </c>
      <c r="L64" s="15">
        <v>9</v>
      </c>
      <c r="M64" s="408">
        <v>10</v>
      </c>
    </row>
    <row r="65" spans="1:13" s="294" customFormat="1" ht="15" x14ac:dyDescent="0.25">
      <c r="A65" s="15" t="s">
        <v>20</v>
      </c>
      <c r="B65" s="15">
        <v>11.02</v>
      </c>
      <c r="C65" s="15">
        <v>11.59</v>
      </c>
      <c r="D65" s="515">
        <v>33.72</v>
      </c>
      <c r="E65" s="515">
        <v>11.2</v>
      </c>
      <c r="F65" s="515">
        <v>24.03</v>
      </c>
      <c r="G65" s="515">
        <v>13.55</v>
      </c>
      <c r="H65" s="515">
        <v>13.48</v>
      </c>
      <c r="I65" s="515">
        <v>21.53</v>
      </c>
      <c r="J65" s="515">
        <v>12.23</v>
      </c>
      <c r="K65" s="515">
        <v>9.5</v>
      </c>
      <c r="L65" s="514">
        <v>9.02</v>
      </c>
      <c r="M65" s="418"/>
    </row>
    <row r="66" spans="1:13" s="294" customFormat="1" ht="15" x14ac:dyDescent="0.25">
      <c r="A66" s="15" t="s">
        <v>21</v>
      </c>
      <c r="B66" s="15">
        <f>B62-B65</f>
        <v>-1.0199999999999996</v>
      </c>
      <c r="C66" s="15">
        <f>C62-C65</f>
        <v>-1.5899999999999999</v>
      </c>
      <c r="D66" s="15">
        <f>D63-D65</f>
        <v>-24.74</v>
      </c>
      <c r="E66" s="5">
        <f>E63-E65</f>
        <v>-2.7899999999999991</v>
      </c>
      <c r="F66" s="5">
        <f t="shared" ref="F66:K66" si="2">F63-F65</f>
        <v>-38.769999999999996</v>
      </c>
      <c r="G66" s="5">
        <f t="shared" si="2"/>
        <v>-6.34</v>
      </c>
      <c r="H66" s="5">
        <f t="shared" si="2"/>
        <v>-42.25</v>
      </c>
      <c r="I66" s="5">
        <f t="shared" si="2"/>
        <v>-17.87</v>
      </c>
      <c r="J66" s="5">
        <f t="shared" si="2"/>
        <v>-44.480000000000004</v>
      </c>
      <c r="K66" s="5">
        <f t="shared" si="2"/>
        <v>-21.837500000000002</v>
      </c>
      <c r="L66" s="5">
        <f>L63-L65</f>
        <v>-54.620000000000005</v>
      </c>
      <c r="M66" s="408"/>
    </row>
    <row r="67" spans="1:13" s="294" customFormat="1" ht="15" x14ac:dyDescent="0.25">
      <c r="A67" s="16" t="s">
        <v>22</v>
      </c>
      <c r="B67" s="16">
        <v>2015</v>
      </c>
      <c r="C67" s="16">
        <v>2016</v>
      </c>
      <c r="D67" s="16">
        <v>2017</v>
      </c>
      <c r="E67" s="16">
        <v>2018</v>
      </c>
      <c r="F67" s="16">
        <v>2019</v>
      </c>
      <c r="G67" s="16">
        <v>2020</v>
      </c>
      <c r="H67" s="16">
        <v>2021</v>
      </c>
      <c r="I67" s="16">
        <v>2022</v>
      </c>
      <c r="J67" s="16">
        <v>2023</v>
      </c>
      <c r="K67" s="16">
        <v>2024</v>
      </c>
      <c r="L67" s="16">
        <v>2025</v>
      </c>
      <c r="M67" s="421">
        <v>2026</v>
      </c>
    </row>
    <row r="68" spans="1:13" s="294" customFormat="1" ht="15" x14ac:dyDescent="0.25">
      <c r="A68" s="8">
        <v>1</v>
      </c>
      <c r="B68" s="52" t="s">
        <v>919</v>
      </c>
      <c r="C68" s="9"/>
      <c r="D68" s="9"/>
      <c r="E68" s="9"/>
      <c r="F68" s="9"/>
      <c r="G68" s="9"/>
      <c r="H68" s="9"/>
      <c r="I68" s="9"/>
      <c r="J68" s="9"/>
      <c r="K68" s="9"/>
      <c r="L68" s="9"/>
      <c r="M68" s="7"/>
    </row>
    <row r="69" spans="1:13" s="294" customFormat="1" ht="15" x14ac:dyDescent="0.25">
      <c r="A69" s="53">
        <v>2</v>
      </c>
      <c r="B69" s="54" t="s">
        <v>920</v>
      </c>
      <c r="C69" s="11"/>
      <c r="D69" s="11"/>
      <c r="E69" s="11"/>
      <c r="F69" s="11"/>
      <c r="G69" s="11"/>
      <c r="H69" s="11"/>
      <c r="I69" s="11"/>
      <c r="J69" s="11"/>
      <c r="K69" s="11"/>
      <c r="L69" s="11"/>
      <c r="M69" s="12"/>
    </row>
    <row r="70" spans="1:13" s="294" customFormat="1" ht="15" x14ac:dyDescent="0.25">
      <c r="A70" s="10">
        <v>3</v>
      </c>
      <c r="B70" s="54" t="s">
        <v>921</v>
      </c>
      <c r="C70" s="11"/>
      <c r="D70" s="11"/>
      <c r="E70" s="11"/>
      <c r="F70" s="11"/>
      <c r="G70" s="11"/>
      <c r="H70" s="11"/>
      <c r="I70" s="11"/>
      <c r="J70" s="11"/>
      <c r="K70" s="11"/>
      <c r="L70" s="11"/>
      <c r="M70" s="12"/>
    </row>
    <row r="71" spans="1:13" s="294" customFormat="1" ht="15" x14ac:dyDescent="0.25">
      <c r="A71" s="53">
        <v>4</v>
      </c>
      <c r="B71" s="54" t="s">
        <v>922</v>
      </c>
      <c r="C71" s="11"/>
      <c r="D71" s="11"/>
      <c r="E71" s="11"/>
      <c r="F71" s="11"/>
      <c r="G71" s="11"/>
      <c r="H71" s="11"/>
      <c r="I71" s="11"/>
      <c r="J71" s="11"/>
      <c r="K71" s="11"/>
      <c r="L71" s="11"/>
      <c r="M71" s="12"/>
    </row>
    <row r="72" spans="1:13" s="294" customFormat="1" ht="15" x14ac:dyDescent="0.25">
      <c r="A72" s="10">
        <v>5</v>
      </c>
      <c r="B72" s="54" t="s">
        <v>923</v>
      </c>
      <c r="C72" s="11"/>
      <c r="D72" s="11"/>
      <c r="E72" s="11"/>
      <c r="F72" s="11"/>
      <c r="G72" s="11"/>
      <c r="H72" s="11"/>
      <c r="I72" s="11"/>
      <c r="J72" s="11"/>
      <c r="K72" s="11"/>
      <c r="L72" s="11"/>
      <c r="M72" s="12"/>
    </row>
    <row r="73" spans="1:13" s="294" customFormat="1" ht="15" x14ac:dyDescent="0.25">
      <c r="A73" s="53">
        <v>6</v>
      </c>
      <c r="B73" s="54" t="s">
        <v>924</v>
      </c>
      <c r="C73" s="11"/>
      <c r="D73" s="11"/>
      <c r="E73" s="11"/>
      <c r="F73" s="11"/>
      <c r="G73" s="11"/>
      <c r="H73" s="11"/>
      <c r="I73" s="11"/>
      <c r="J73" s="11"/>
      <c r="K73" s="11"/>
      <c r="L73" s="11"/>
      <c r="M73" s="12"/>
    </row>
    <row r="74" spans="1:13" s="294" customFormat="1" ht="15" x14ac:dyDescent="0.25">
      <c r="A74" s="10">
        <v>7</v>
      </c>
      <c r="B74" s="54" t="s">
        <v>925</v>
      </c>
      <c r="C74" s="11"/>
      <c r="D74" s="11"/>
      <c r="E74" s="11"/>
      <c r="F74" s="11"/>
      <c r="G74" s="11"/>
      <c r="H74" s="11"/>
      <c r="I74" s="11"/>
      <c r="J74" s="11"/>
      <c r="K74" s="11"/>
      <c r="L74" s="11"/>
      <c r="M74" s="12"/>
    </row>
    <row r="75" spans="1:13" s="294" customFormat="1" ht="15" x14ac:dyDescent="0.25">
      <c r="A75" s="53">
        <v>8</v>
      </c>
      <c r="B75" s="54" t="s">
        <v>926</v>
      </c>
      <c r="C75" s="11"/>
      <c r="D75" s="11"/>
      <c r="E75" s="11"/>
      <c r="F75" s="11"/>
      <c r="G75" s="11"/>
      <c r="H75" s="11"/>
      <c r="I75" s="11"/>
      <c r="J75" s="11"/>
      <c r="K75" s="11"/>
      <c r="L75" s="11"/>
      <c r="M75" s="12"/>
    </row>
    <row r="76" spans="1:13" s="294" customFormat="1" ht="15" x14ac:dyDescent="0.25">
      <c r="A76" s="53">
        <v>9</v>
      </c>
      <c r="B76" s="54" t="s">
        <v>927</v>
      </c>
      <c r="C76" s="11"/>
      <c r="D76" s="11"/>
      <c r="E76" s="11"/>
      <c r="F76" s="11"/>
      <c r="G76" s="11"/>
      <c r="H76" s="11"/>
      <c r="I76" s="11"/>
      <c r="J76" s="11"/>
      <c r="K76" s="11"/>
      <c r="L76" s="11"/>
      <c r="M76" s="12"/>
    </row>
    <row r="77" spans="1:13" s="294" customFormat="1" ht="15" x14ac:dyDescent="0.25">
      <c r="A77" s="415">
        <v>10</v>
      </c>
      <c r="B77" s="420" t="s">
        <v>1001</v>
      </c>
      <c r="C77" s="13"/>
      <c r="D77" s="13"/>
      <c r="E77" s="13"/>
      <c r="F77" s="13"/>
      <c r="G77" s="13"/>
      <c r="H77" s="13"/>
      <c r="I77" s="13"/>
      <c r="J77" s="13"/>
      <c r="K77" s="13"/>
      <c r="L77" s="13"/>
      <c r="M77" s="14"/>
    </row>
    <row r="79" spans="1:13" x14ac:dyDescent="0.2">
      <c r="A79" s="45" t="s">
        <v>14</v>
      </c>
      <c r="B79" s="45" t="s">
        <v>79</v>
      </c>
      <c r="C79" s="45" t="s">
        <v>15</v>
      </c>
    </row>
    <row r="80" spans="1:13" x14ac:dyDescent="0.2">
      <c r="A80" s="15" t="s">
        <v>16</v>
      </c>
      <c r="B80" s="15">
        <v>2013</v>
      </c>
      <c r="C80" s="15">
        <v>2014</v>
      </c>
      <c r="D80" s="15">
        <v>2015</v>
      </c>
      <c r="E80" s="15">
        <v>2016</v>
      </c>
      <c r="F80" s="15">
        <v>2017</v>
      </c>
      <c r="G80" s="15">
        <v>2018</v>
      </c>
      <c r="H80" s="15">
        <v>2019</v>
      </c>
      <c r="I80" s="15">
        <v>2020</v>
      </c>
      <c r="J80" s="15">
        <v>2021</v>
      </c>
      <c r="K80" s="15">
        <v>2022</v>
      </c>
      <c r="L80" s="15">
        <v>2023</v>
      </c>
      <c r="M80" s="408">
        <v>2024</v>
      </c>
    </row>
    <row r="81" spans="1:13" x14ac:dyDescent="0.2">
      <c r="A81" s="15" t="s">
        <v>17</v>
      </c>
      <c r="B81" s="15">
        <v>10</v>
      </c>
      <c r="C81" s="15">
        <v>10</v>
      </c>
      <c r="D81" s="15">
        <v>10</v>
      </c>
      <c r="E81" s="15">
        <v>10</v>
      </c>
      <c r="F81" s="15">
        <v>10</v>
      </c>
      <c r="G81" s="15">
        <v>10</v>
      </c>
      <c r="H81" s="15">
        <v>10</v>
      </c>
      <c r="I81" s="15">
        <v>10</v>
      </c>
      <c r="J81" s="15">
        <v>10</v>
      </c>
      <c r="K81" s="15">
        <v>10</v>
      </c>
      <c r="L81" s="15">
        <v>10</v>
      </c>
      <c r="M81" s="408">
        <v>10</v>
      </c>
    </row>
    <row r="82" spans="1:13" x14ac:dyDescent="0.2">
      <c r="A82" s="15" t="s">
        <v>18</v>
      </c>
      <c r="B82" s="15"/>
      <c r="C82" s="15"/>
      <c r="D82" s="15">
        <f>D81+0.2*B81</f>
        <v>12</v>
      </c>
      <c r="E82" s="5">
        <f>E81+0.2*C81</f>
        <v>12</v>
      </c>
      <c r="F82" s="5">
        <f>F81+0.2*D81</f>
        <v>12</v>
      </c>
      <c r="G82" s="5">
        <f>G81+E85</f>
        <v>7.77</v>
      </c>
      <c r="H82" s="5">
        <f t="shared" ref="H82:I82" si="3">H81+F85</f>
        <v>4.6000000000000014</v>
      </c>
      <c r="I82" s="5">
        <f t="shared" si="3"/>
        <v>0.26999999999999957</v>
      </c>
      <c r="J82" s="5">
        <f>J81+H85</f>
        <v>3.0400000000000009</v>
      </c>
      <c r="K82" s="5">
        <f t="shared" ref="K82:M82" si="4">K81+(1.25*I85)</f>
        <v>-7.6125000000000007</v>
      </c>
      <c r="L82" s="5">
        <f t="shared" si="4"/>
        <v>1.3000000000000007</v>
      </c>
      <c r="M82" s="409">
        <f t="shared" si="4"/>
        <v>-11.640625</v>
      </c>
    </row>
    <row r="83" spans="1:13" x14ac:dyDescent="0.2">
      <c r="A83" s="15" t="s">
        <v>19</v>
      </c>
      <c r="B83" s="15"/>
      <c r="C83" s="15"/>
      <c r="D83" s="15">
        <v>1</v>
      </c>
      <c r="E83" s="15">
        <v>2</v>
      </c>
      <c r="F83" s="15">
        <v>3</v>
      </c>
      <c r="G83" s="15">
        <v>4</v>
      </c>
      <c r="H83" s="15">
        <v>5</v>
      </c>
      <c r="I83" s="15">
        <v>6</v>
      </c>
      <c r="J83" s="15">
        <v>7</v>
      </c>
      <c r="K83" s="15">
        <v>8</v>
      </c>
      <c r="L83" s="15">
        <v>9</v>
      </c>
      <c r="M83" s="408">
        <v>10</v>
      </c>
    </row>
    <row r="84" spans="1:13" x14ac:dyDescent="0.2">
      <c r="A84" s="15" t="s">
        <v>20</v>
      </c>
      <c r="B84" s="15">
        <v>5.51</v>
      </c>
      <c r="C84" s="15">
        <v>6.24</v>
      </c>
      <c r="D84" s="15">
        <v>9.6999999999999993</v>
      </c>
      <c r="E84" s="15">
        <v>14.23</v>
      </c>
      <c r="F84" s="15">
        <v>17.399999999999999</v>
      </c>
      <c r="G84" s="5">
        <v>17.5</v>
      </c>
      <c r="H84" s="5">
        <v>11.56</v>
      </c>
      <c r="I84" s="5">
        <v>14.36</v>
      </c>
      <c r="J84" s="5">
        <v>10</v>
      </c>
      <c r="K84" s="5">
        <v>9.6999999999999993</v>
      </c>
      <c r="L84" s="15">
        <v>7.38</v>
      </c>
      <c r="M84" s="408"/>
    </row>
    <row r="85" spans="1:13" x14ac:dyDescent="0.2">
      <c r="A85" s="15" t="s">
        <v>21</v>
      </c>
      <c r="B85" s="15">
        <f>B81-B84</f>
        <v>4.49</v>
      </c>
      <c r="C85" s="15">
        <f t="shared" ref="C85" si="5">C81-C84</f>
        <v>3.76</v>
      </c>
      <c r="D85" s="15">
        <f>D82-D84</f>
        <v>2.3000000000000007</v>
      </c>
      <c r="E85" s="15">
        <f t="shared" ref="E85:J85" si="6">E82-E84</f>
        <v>-2.2300000000000004</v>
      </c>
      <c r="F85" s="15">
        <f t="shared" si="6"/>
        <v>-5.3999999999999986</v>
      </c>
      <c r="G85" s="15">
        <f t="shared" si="6"/>
        <v>-9.73</v>
      </c>
      <c r="H85" s="15">
        <f t="shared" si="6"/>
        <v>-6.9599999999999991</v>
      </c>
      <c r="I85" s="15">
        <f t="shared" si="6"/>
        <v>-14.09</v>
      </c>
      <c r="J85" s="15">
        <f t="shared" si="6"/>
        <v>-6.9599999999999991</v>
      </c>
      <c r="K85" s="5">
        <f>K82-K84</f>
        <v>-17.3125</v>
      </c>
      <c r="L85" s="5">
        <f>L82-L84</f>
        <v>-6.0799999999999992</v>
      </c>
      <c r="M85" s="408"/>
    </row>
    <row r="86" spans="1:13" x14ac:dyDescent="0.2">
      <c r="A86" s="15" t="s">
        <v>22</v>
      </c>
      <c r="B86" s="15">
        <v>2015</v>
      </c>
      <c r="C86" s="15">
        <v>2016</v>
      </c>
      <c r="D86" s="15">
        <v>2017</v>
      </c>
      <c r="E86" s="15">
        <v>2018</v>
      </c>
      <c r="F86" s="15">
        <v>2019</v>
      </c>
      <c r="G86" s="15">
        <v>2020</v>
      </c>
      <c r="H86" s="15">
        <v>2021</v>
      </c>
      <c r="I86" s="15">
        <v>2022</v>
      </c>
      <c r="J86" s="15">
        <v>2023</v>
      </c>
      <c r="K86" s="15">
        <v>2024</v>
      </c>
      <c r="L86" s="15">
        <v>2025</v>
      </c>
      <c r="M86" s="408">
        <v>2026</v>
      </c>
    </row>
    <row r="87" spans="1:13" x14ac:dyDescent="0.2">
      <c r="A87" s="8">
        <v>1</v>
      </c>
      <c r="B87" s="52" t="s">
        <v>928</v>
      </c>
      <c r="C87" s="9"/>
      <c r="D87" s="9"/>
      <c r="E87" s="9"/>
      <c r="F87" s="9"/>
      <c r="G87" s="9"/>
      <c r="H87" s="9"/>
      <c r="I87" s="9"/>
      <c r="J87" s="9"/>
      <c r="K87" s="9"/>
      <c r="L87" s="7"/>
      <c r="M87" s="412"/>
    </row>
    <row r="88" spans="1:13" x14ac:dyDescent="0.2">
      <c r="A88" s="8">
        <v>2</v>
      </c>
      <c r="B88" s="52" t="s">
        <v>929</v>
      </c>
      <c r="C88" s="9"/>
      <c r="D88" s="9"/>
      <c r="E88" s="9"/>
      <c r="F88" s="9"/>
      <c r="G88" s="9"/>
      <c r="H88" s="9"/>
      <c r="I88" s="9"/>
      <c r="J88" s="9"/>
      <c r="K88" s="9"/>
      <c r="L88" s="9"/>
      <c r="M88" s="412"/>
    </row>
    <row r="89" spans="1:13" x14ac:dyDescent="0.2">
      <c r="A89" s="10">
        <v>3</v>
      </c>
      <c r="B89" s="54" t="s">
        <v>930</v>
      </c>
      <c r="M89" s="413"/>
    </row>
    <row r="90" spans="1:13" x14ac:dyDescent="0.2">
      <c r="A90" s="10">
        <v>4</v>
      </c>
      <c r="B90" s="54" t="s">
        <v>922</v>
      </c>
      <c r="M90" s="413"/>
    </row>
    <row r="91" spans="1:13" x14ac:dyDescent="0.2">
      <c r="A91" s="10">
        <v>5</v>
      </c>
      <c r="B91" s="54" t="s">
        <v>923</v>
      </c>
      <c r="M91" s="413"/>
    </row>
    <row r="92" spans="1:13" x14ac:dyDescent="0.2">
      <c r="A92" s="10">
        <v>6</v>
      </c>
      <c r="B92" s="54" t="s">
        <v>924</v>
      </c>
      <c r="M92" s="413"/>
    </row>
    <row r="93" spans="1:13" x14ac:dyDescent="0.2">
      <c r="A93" s="10">
        <v>7</v>
      </c>
      <c r="B93" s="54" t="s">
        <v>925</v>
      </c>
      <c r="M93" s="413"/>
    </row>
    <row r="94" spans="1:13" x14ac:dyDescent="0.2">
      <c r="A94" s="10">
        <v>8</v>
      </c>
      <c r="B94" s="54" t="s">
        <v>926</v>
      </c>
      <c r="M94" s="413"/>
    </row>
    <row r="95" spans="1:13" x14ac:dyDescent="0.2">
      <c r="A95" s="10">
        <v>9</v>
      </c>
      <c r="B95" s="54" t="s">
        <v>927</v>
      </c>
      <c r="M95" s="413"/>
    </row>
    <row r="96" spans="1:13" x14ac:dyDescent="0.2">
      <c r="A96" s="415">
        <v>10</v>
      </c>
      <c r="B96" s="420" t="s">
        <v>1001</v>
      </c>
      <c r="C96" s="13"/>
      <c r="D96" s="13"/>
      <c r="E96" s="13"/>
      <c r="F96" s="13"/>
      <c r="G96" s="13"/>
      <c r="H96" s="13"/>
      <c r="I96" s="13"/>
      <c r="J96" s="13"/>
      <c r="K96" s="13"/>
      <c r="L96" s="13"/>
      <c r="M96" s="333"/>
    </row>
    <row r="99" spans="1:11" x14ac:dyDescent="0.2">
      <c r="A99" s="295" t="s">
        <v>12</v>
      </c>
      <c r="B99" s="284" t="s">
        <v>166</v>
      </c>
      <c r="C99" s="35"/>
      <c r="D99" s="35"/>
      <c r="E99" s="35"/>
      <c r="F99" s="35"/>
    </row>
    <row r="100" spans="1:11" x14ac:dyDescent="0.2">
      <c r="A100" s="296" t="s">
        <v>14</v>
      </c>
      <c r="B100" s="33" t="s">
        <v>625</v>
      </c>
      <c r="C100" s="34" t="s">
        <v>15</v>
      </c>
      <c r="D100" s="35"/>
      <c r="E100" s="35"/>
      <c r="F100" s="35"/>
    </row>
    <row r="101" spans="1:11" x14ac:dyDescent="0.2">
      <c r="A101" s="36" t="s">
        <v>16</v>
      </c>
      <c r="B101" s="101"/>
      <c r="C101" s="37">
        <v>2017</v>
      </c>
      <c r="D101" s="34">
        <v>2018</v>
      </c>
      <c r="E101" s="34">
        <v>2019</v>
      </c>
      <c r="F101" s="34">
        <v>2020</v>
      </c>
      <c r="G101" s="34">
        <v>2021</v>
      </c>
      <c r="H101" s="34">
        <v>2022</v>
      </c>
      <c r="I101" s="34">
        <v>2023</v>
      </c>
      <c r="J101" s="34">
        <v>2024</v>
      </c>
      <c r="K101" s="518">
        <v>2025</v>
      </c>
    </row>
    <row r="102" spans="1:11" x14ac:dyDescent="0.2">
      <c r="A102" s="36" t="s">
        <v>17</v>
      </c>
      <c r="B102" s="101"/>
      <c r="C102" s="435">
        <v>200</v>
      </c>
      <c r="D102" s="102">
        <v>200</v>
      </c>
      <c r="E102" s="102">
        <v>215</v>
      </c>
      <c r="F102" s="102">
        <v>215</v>
      </c>
      <c r="G102" s="102">
        <v>242</v>
      </c>
      <c r="H102" s="102">
        <v>242</v>
      </c>
      <c r="I102" s="102">
        <v>242</v>
      </c>
      <c r="J102" s="102">
        <v>302</v>
      </c>
      <c r="K102" s="462">
        <v>302</v>
      </c>
    </row>
    <row r="103" spans="1:11" x14ac:dyDescent="0.2">
      <c r="A103" s="36" t="s">
        <v>18</v>
      </c>
      <c r="B103" s="101"/>
      <c r="C103" s="435">
        <v>450</v>
      </c>
      <c r="D103" s="102">
        <v>450</v>
      </c>
      <c r="E103" s="102">
        <f>E102+C106+200</f>
        <v>416.56</v>
      </c>
      <c r="F103" s="102">
        <v>465</v>
      </c>
      <c r="G103" s="102">
        <f>G102+0.25*E102+200</f>
        <v>495.75</v>
      </c>
      <c r="H103" s="102">
        <f>H102+0.25*F102+200</f>
        <v>495.75</v>
      </c>
      <c r="I103" s="102">
        <f>I102+0.25*G102+200</f>
        <v>502.5</v>
      </c>
      <c r="J103" s="102">
        <f>J102+0.25*H102</f>
        <v>362.5</v>
      </c>
      <c r="K103" s="462">
        <f>K102+0.25*I102</f>
        <v>362.5</v>
      </c>
    </row>
    <row r="104" spans="1:11" x14ac:dyDescent="0.2">
      <c r="A104" s="36" t="s">
        <v>19</v>
      </c>
      <c r="B104" s="101"/>
      <c r="C104" s="435"/>
      <c r="D104" s="102"/>
      <c r="E104" s="722" t="s">
        <v>167</v>
      </c>
      <c r="F104" s="723"/>
      <c r="G104" s="723"/>
      <c r="H104" s="723"/>
      <c r="I104" s="723"/>
      <c r="J104" s="723"/>
      <c r="K104" s="724"/>
    </row>
    <row r="105" spans="1:11" x14ac:dyDescent="0.2">
      <c r="A105" s="36" t="s">
        <v>20</v>
      </c>
      <c r="B105" s="101"/>
      <c r="C105" s="102">
        <v>448.44</v>
      </c>
      <c r="D105" s="102">
        <v>385.14</v>
      </c>
      <c r="E105" s="102">
        <v>216.09</v>
      </c>
      <c r="F105" s="102">
        <v>326.05</v>
      </c>
      <c r="G105" s="102">
        <v>200.65</v>
      </c>
      <c r="H105" s="102">
        <v>214.33</v>
      </c>
      <c r="I105" s="102">
        <v>380.65</v>
      </c>
      <c r="J105" s="102"/>
      <c r="K105" s="462"/>
    </row>
    <row r="106" spans="1:11" x14ac:dyDescent="0.2">
      <c r="A106" s="36" t="s">
        <v>21</v>
      </c>
      <c r="B106" s="101"/>
      <c r="C106" s="102">
        <f t="shared" ref="C106:I106" si="7">C103-C105</f>
        <v>1.5600000000000023</v>
      </c>
      <c r="D106" s="102">
        <f t="shared" si="7"/>
        <v>64.860000000000014</v>
      </c>
      <c r="E106" s="102">
        <f t="shared" si="7"/>
        <v>200.47</v>
      </c>
      <c r="F106" s="102">
        <f t="shared" si="7"/>
        <v>138.94999999999999</v>
      </c>
      <c r="G106" s="102">
        <f t="shared" si="7"/>
        <v>295.10000000000002</v>
      </c>
      <c r="H106" s="102">
        <f t="shared" si="7"/>
        <v>281.41999999999996</v>
      </c>
      <c r="I106" s="102">
        <f t="shared" si="7"/>
        <v>121.85000000000002</v>
      </c>
      <c r="J106" s="102"/>
      <c r="K106" s="462"/>
    </row>
    <row r="107" spans="1:11" x14ac:dyDescent="0.2">
      <c r="A107" s="39" t="s">
        <v>22</v>
      </c>
      <c r="B107" s="40"/>
      <c r="C107" s="41">
        <v>2019</v>
      </c>
      <c r="D107" s="40">
        <v>2020</v>
      </c>
      <c r="E107" s="40">
        <v>2021</v>
      </c>
      <c r="F107" s="40">
        <v>2022</v>
      </c>
      <c r="G107" s="40">
        <v>2023</v>
      </c>
      <c r="H107" s="40">
        <v>2024</v>
      </c>
      <c r="I107" s="40">
        <v>2025</v>
      </c>
      <c r="J107" s="40">
        <v>2026</v>
      </c>
      <c r="K107" s="464">
        <v>2027</v>
      </c>
    </row>
    <row r="108" spans="1:11" x14ac:dyDescent="0.2">
      <c r="A108" s="693" t="s">
        <v>206</v>
      </c>
      <c r="B108" s="694"/>
      <c r="C108" s="694"/>
      <c r="D108" s="694"/>
      <c r="E108" s="694"/>
      <c r="F108" s="694"/>
      <c r="G108" s="9"/>
      <c r="H108" s="9"/>
      <c r="I108" s="7"/>
      <c r="J108" s="7"/>
      <c r="K108" s="412"/>
    </row>
    <row r="109" spans="1:11" x14ac:dyDescent="0.2">
      <c r="A109" s="695" t="s">
        <v>370</v>
      </c>
      <c r="B109" s="696"/>
      <c r="C109" s="696"/>
      <c r="D109" s="696"/>
      <c r="E109" s="696"/>
      <c r="F109" s="696"/>
      <c r="G109" s="9"/>
      <c r="H109" s="9"/>
      <c r="I109" s="9"/>
      <c r="J109" s="9"/>
      <c r="K109" s="7"/>
    </row>
    <row r="110" spans="1:11" x14ac:dyDescent="0.2">
      <c r="A110" s="297" t="s">
        <v>250</v>
      </c>
      <c r="B110" s="520"/>
      <c r="C110" s="520"/>
      <c r="D110" s="298"/>
      <c r="E110" s="298"/>
      <c r="F110" s="298"/>
      <c r="K110" s="12"/>
    </row>
    <row r="111" spans="1:11" x14ac:dyDescent="0.2">
      <c r="A111" s="297" t="s">
        <v>568</v>
      </c>
      <c r="B111" s="520"/>
      <c r="C111" s="520"/>
      <c r="D111" s="298"/>
      <c r="E111" s="298"/>
      <c r="F111" s="298"/>
      <c r="K111" s="12"/>
    </row>
    <row r="112" spans="1:11" x14ac:dyDescent="0.2">
      <c r="A112" s="297" t="s">
        <v>412</v>
      </c>
      <c r="B112" s="520"/>
      <c r="C112" s="520"/>
      <c r="D112" s="298"/>
      <c r="E112" s="298"/>
      <c r="F112" s="298"/>
      <c r="K112" s="12"/>
    </row>
    <row r="113" spans="1:11" x14ac:dyDescent="0.2">
      <c r="A113" s="26" t="s">
        <v>573</v>
      </c>
      <c r="B113" s="520"/>
      <c r="C113" s="520"/>
      <c r="D113" s="298"/>
      <c r="E113" s="298"/>
      <c r="F113" s="298"/>
      <c r="K113" s="12"/>
    </row>
    <row r="114" spans="1:11" x14ac:dyDescent="0.2">
      <c r="A114" s="26" t="s">
        <v>674</v>
      </c>
      <c r="B114" s="520"/>
      <c r="C114" s="520"/>
      <c r="D114" s="298"/>
      <c r="E114" s="298"/>
      <c r="F114" s="298"/>
      <c r="K114" s="12"/>
    </row>
    <row r="115" spans="1:11" x14ac:dyDescent="0.2">
      <c r="A115" s="26" t="s">
        <v>673</v>
      </c>
      <c r="B115" s="21"/>
      <c r="C115" s="21"/>
      <c r="D115" s="21"/>
      <c r="E115" s="21"/>
      <c r="F115" s="21"/>
      <c r="K115" s="12"/>
    </row>
    <row r="116" spans="1:11" x14ac:dyDescent="0.2">
      <c r="A116" s="26" t="s">
        <v>768</v>
      </c>
      <c r="B116" s="21"/>
      <c r="C116" s="21"/>
      <c r="D116" s="21"/>
      <c r="E116" s="21"/>
      <c r="F116" s="21"/>
      <c r="K116" s="12"/>
    </row>
    <row r="117" spans="1:11" x14ac:dyDescent="0.2">
      <c r="A117" s="516" t="s">
        <v>1002</v>
      </c>
      <c r="B117" s="169"/>
      <c r="C117" s="169"/>
      <c r="D117" s="169"/>
      <c r="E117" s="169"/>
      <c r="F117" s="169"/>
      <c r="G117" s="13"/>
      <c r="H117" s="13"/>
      <c r="I117" s="13"/>
      <c r="J117" s="13"/>
      <c r="K117" s="14"/>
    </row>
    <row r="119" spans="1:11" x14ac:dyDescent="0.2">
      <c r="A119" s="296" t="s">
        <v>14</v>
      </c>
      <c r="B119" s="33" t="s">
        <v>639</v>
      </c>
      <c r="C119" s="34" t="s">
        <v>15</v>
      </c>
      <c r="D119" s="35"/>
      <c r="E119" s="35"/>
      <c r="F119" s="35"/>
    </row>
    <row r="120" spans="1:11" x14ac:dyDescent="0.2">
      <c r="A120" s="299" t="s">
        <v>16</v>
      </c>
      <c r="B120" s="101"/>
      <c r="C120" s="34">
        <v>2017</v>
      </c>
      <c r="D120" s="34">
        <v>2018</v>
      </c>
      <c r="E120" s="34">
        <v>2019</v>
      </c>
      <c r="F120" s="34">
        <v>2020</v>
      </c>
      <c r="G120" s="34">
        <v>2021</v>
      </c>
      <c r="H120" s="34">
        <v>2022</v>
      </c>
      <c r="I120" s="34">
        <v>2023</v>
      </c>
      <c r="J120" s="34">
        <v>2024</v>
      </c>
      <c r="K120" s="518">
        <v>2025</v>
      </c>
    </row>
    <row r="121" spans="1:11" x14ac:dyDescent="0.2">
      <c r="A121" s="299" t="s">
        <v>17</v>
      </c>
      <c r="B121" s="101"/>
      <c r="C121" s="102">
        <v>250</v>
      </c>
      <c r="D121" s="102">
        <v>250</v>
      </c>
      <c r="E121" s="102">
        <v>250</v>
      </c>
      <c r="F121" s="102">
        <v>250</v>
      </c>
      <c r="G121" s="102">
        <v>250</v>
      </c>
      <c r="H121" s="102">
        <v>250</v>
      </c>
      <c r="I121" s="102">
        <v>300</v>
      </c>
      <c r="J121" s="102">
        <v>300</v>
      </c>
      <c r="K121" s="462">
        <v>300</v>
      </c>
    </row>
    <row r="122" spans="1:11" x14ac:dyDescent="0.2">
      <c r="A122" s="299" t="s">
        <v>18</v>
      </c>
      <c r="B122" s="101"/>
      <c r="C122" s="102">
        <v>312.5</v>
      </c>
      <c r="D122" s="102">
        <v>312.5</v>
      </c>
      <c r="E122" s="102">
        <v>312.5</v>
      </c>
      <c r="F122" s="102">
        <f>F121+D125</f>
        <v>251.98000000000002</v>
      </c>
      <c r="G122" s="102">
        <f>G121+0.25*E121</f>
        <v>312.5</v>
      </c>
      <c r="H122" s="102">
        <f>H121+0.25*F121</f>
        <v>312.5</v>
      </c>
      <c r="I122" s="102">
        <f>I121+0.25*G121</f>
        <v>362.5</v>
      </c>
      <c r="J122" s="102">
        <f>J121+3.72</f>
        <v>303.72000000000003</v>
      </c>
      <c r="K122" s="462">
        <f>K121+0.25*I121</f>
        <v>375</v>
      </c>
    </row>
    <row r="123" spans="1:11" ht="15" customHeight="1" x14ac:dyDescent="0.2">
      <c r="A123" s="299" t="s">
        <v>19</v>
      </c>
      <c r="B123" s="101"/>
      <c r="C123" s="722" t="s">
        <v>675</v>
      </c>
      <c r="D123" s="723"/>
      <c r="E123" s="723"/>
      <c r="F123" s="723"/>
      <c r="G123" s="723"/>
      <c r="H123" s="723"/>
      <c r="I123" s="723"/>
      <c r="J123" s="723"/>
      <c r="K123" s="724"/>
    </row>
    <row r="124" spans="1:11" x14ac:dyDescent="0.2">
      <c r="A124" s="299" t="s">
        <v>20</v>
      </c>
      <c r="B124" s="101"/>
      <c r="C124" s="102">
        <v>219.03</v>
      </c>
      <c r="D124" s="102">
        <v>310.52</v>
      </c>
      <c r="E124" s="102">
        <v>158.13999999999999</v>
      </c>
      <c r="F124" s="102">
        <v>162.13</v>
      </c>
      <c r="G124" s="102">
        <v>30.84</v>
      </c>
      <c r="H124" s="102">
        <v>12.74</v>
      </c>
      <c r="I124" s="102">
        <v>0</v>
      </c>
      <c r="J124" s="102"/>
      <c r="K124" s="462"/>
    </row>
    <row r="125" spans="1:11" x14ac:dyDescent="0.2">
      <c r="A125" s="299" t="s">
        <v>21</v>
      </c>
      <c r="B125" s="101"/>
      <c r="C125" s="102">
        <f t="shared" ref="C125:I125" si="8">C122-C124</f>
        <v>93.47</v>
      </c>
      <c r="D125" s="102">
        <f t="shared" si="8"/>
        <v>1.9800000000000182</v>
      </c>
      <c r="E125" s="102">
        <f t="shared" si="8"/>
        <v>154.36000000000001</v>
      </c>
      <c r="F125" s="102">
        <f t="shared" si="8"/>
        <v>89.850000000000023</v>
      </c>
      <c r="G125" s="102">
        <f t="shared" si="8"/>
        <v>281.66000000000003</v>
      </c>
      <c r="H125" s="102">
        <f t="shared" si="8"/>
        <v>299.76</v>
      </c>
      <c r="I125" s="102">
        <f t="shared" si="8"/>
        <v>362.5</v>
      </c>
      <c r="J125" s="102"/>
      <c r="K125" s="462"/>
    </row>
    <row r="126" spans="1:11" x14ac:dyDescent="0.2">
      <c r="A126" s="300" t="s">
        <v>22</v>
      </c>
      <c r="B126" s="40"/>
      <c r="C126" s="40">
        <v>2019</v>
      </c>
      <c r="D126" s="40">
        <v>2020</v>
      </c>
      <c r="E126" s="40">
        <v>2021</v>
      </c>
      <c r="F126" s="40">
        <v>2022</v>
      </c>
      <c r="G126" s="40">
        <v>2023</v>
      </c>
      <c r="H126" s="40">
        <v>2024</v>
      </c>
      <c r="I126" s="40">
        <v>2025</v>
      </c>
      <c r="J126" s="40">
        <v>2026</v>
      </c>
      <c r="K126" s="464">
        <v>2027</v>
      </c>
    </row>
    <row r="127" spans="1:11" x14ac:dyDescent="0.2">
      <c r="A127" s="39" t="s">
        <v>207</v>
      </c>
      <c r="B127" s="41"/>
      <c r="C127" s="41"/>
      <c r="D127" s="41"/>
      <c r="E127" s="41"/>
      <c r="F127" s="41"/>
      <c r="G127" s="9"/>
      <c r="H127" s="9"/>
      <c r="I127" s="9"/>
      <c r="J127" s="9"/>
      <c r="K127" s="412"/>
    </row>
    <row r="128" spans="1:11" x14ac:dyDescent="0.2">
      <c r="A128" s="184" t="s">
        <v>252</v>
      </c>
      <c r="B128" s="35"/>
      <c r="C128" s="35"/>
      <c r="D128" s="35"/>
      <c r="E128" s="35"/>
      <c r="F128" s="35"/>
      <c r="K128" s="413"/>
    </row>
    <row r="129" spans="1:11" x14ac:dyDescent="0.2">
      <c r="A129" s="184" t="s">
        <v>413</v>
      </c>
      <c r="B129" s="35"/>
      <c r="C129" s="35"/>
      <c r="D129" s="35"/>
      <c r="E129" s="35"/>
      <c r="F129" s="35"/>
      <c r="K129" s="413"/>
    </row>
    <row r="130" spans="1:11" x14ac:dyDescent="0.2">
      <c r="A130" s="10" t="s">
        <v>574</v>
      </c>
      <c r="B130" s="35"/>
      <c r="C130" s="35"/>
      <c r="D130" s="35"/>
      <c r="E130" s="35"/>
      <c r="F130" s="35"/>
      <c r="K130" s="413"/>
    </row>
    <row r="131" spans="1:11" x14ac:dyDescent="0.2">
      <c r="A131" s="10" t="s">
        <v>769</v>
      </c>
      <c r="B131" s="35"/>
      <c r="C131" s="35"/>
      <c r="D131" s="35"/>
      <c r="E131" s="35"/>
      <c r="F131" s="35"/>
      <c r="K131" s="413"/>
    </row>
    <row r="132" spans="1:11" x14ac:dyDescent="0.2">
      <c r="A132" s="10" t="s">
        <v>931</v>
      </c>
      <c r="B132" s="35"/>
      <c r="C132" s="35"/>
      <c r="D132" s="35"/>
      <c r="E132" s="35"/>
      <c r="F132" s="35"/>
      <c r="K132" s="413"/>
    </row>
    <row r="133" spans="1:11" ht="12.75" customHeight="1" x14ac:dyDescent="0.2">
      <c r="A133" s="415" t="s">
        <v>1003</v>
      </c>
      <c r="B133" s="169"/>
      <c r="C133" s="169"/>
      <c r="D133" s="169"/>
      <c r="E133" s="169"/>
      <c r="F133" s="169"/>
      <c r="G133" s="13"/>
      <c r="H133" s="13"/>
      <c r="I133" s="13"/>
      <c r="J133" s="13"/>
      <c r="K133" s="333"/>
    </row>
    <row r="135" spans="1:11" x14ac:dyDescent="0.2">
      <c r="A135" s="296" t="s">
        <v>14</v>
      </c>
      <c r="B135" s="33" t="s">
        <v>624</v>
      </c>
      <c r="C135" s="34" t="s">
        <v>15</v>
      </c>
      <c r="D135" s="35"/>
      <c r="E135" s="35"/>
      <c r="F135" s="35"/>
    </row>
    <row r="136" spans="1:11" x14ac:dyDescent="0.2">
      <c r="A136" s="299" t="s">
        <v>16</v>
      </c>
      <c r="B136" s="101"/>
      <c r="C136" s="34">
        <v>2017</v>
      </c>
      <c r="D136" s="34">
        <v>2018</v>
      </c>
      <c r="E136" s="34">
        <v>2019</v>
      </c>
      <c r="F136" s="34">
        <v>2020</v>
      </c>
      <c r="G136" s="34">
        <v>2021</v>
      </c>
      <c r="H136" s="34">
        <v>2022</v>
      </c>
      <c r="I136" s="34">
        <v>2023</v>
      </c>
      <c r="J136" s="34">
        <v>2024</v>
      </c>
      <c r="K136" s="518">
        <v>2025</v>
      </c>
    </row>
    <row r="137" spans="1:11" x14ac:dyDescent="0.2">
      <c r="A137" s="299" t="s">
        <v>17</v>
      </c>
      <c r="B137" s="101"/>
      <c r="C137" s="102">
        <v>130</v>
      </c>
      <c r="D137" s="102">
        <v>130</v>
      </c>
      <c r="E137" s="102">
        <v>130</v>
      </c>
      <c r="F137" s="102">
        <v>130</v>
      </c>
      <c r="G137" s="102">
        <v>130</v>
      </c>
      <c r="H137" s="102">
        <v>130</v>
      </c>
      <c r="I137" s="102">
        <v>130</v>
      </c>
      <c r="J137" s="102">
        <v>130</v>
      </c>
      <c r="K137" s="462">
        <v>130</v>
      </c>
    </row>
    <row r="138" spans="1:11" x14ac:dyDescent="0.2">
      <c r="A138" s="299" t="s">
        <v>18</v>
      </c>
      <c r="B138" s="101"/>
      <c r="C138" s="102">
        <v>257</v>
      </c>
      <c r="D138" s="102">
        <v>257</v>
      </c>
      <c r="E138" s="102">
        <f>E137*1.4+75</f>
        <v>257</v>
      </c>
      <c r="F138" s="102">
        <f>F137*1.4+75</f>
        <v>257</v>
      </c>
      <c r="G138" s="102">
        <f>G137+0.4*E137+75</f>
        <v>257</v>
      </c>
      <c r="H138" s="102">
        <f>H137+0.4*F137+75</f>
        <v>257</v>
      </c>
      <c r="I138" s="102">
        <f>I137+0.4*G137+75</f>
        <v>257</v>
      </c>
      <c r="J138" s="102">
        <f>J137+0.4*H137+75</f>
        <v>257</v>
      </c>
      <c r="K138" s="462">
        <f>K137+0.4*I137+75</f>
        <v>257</v>
      </c>
    </row>
    <row r="139" spans="1:11" ht="14.45" customHeight="1" x14ac:dyDescent="0.2">
      <c r="A139" s="299" t="s">
        <v>19</v>
      </c>
      <c r="B139" s="101"/>
      <c r="C139" s="722" t="s">
        <v>167</v>
      </c>
      <c r="D139" s="723"/>
      <c r="E139" s="723"/>
      <c r="F139" s="723"/>
      <c r="G139" s="723"/>
      <c r="H139" s="723"/>
      <c r="I139" s="723"/>
      <c r="J139" s="723"/>
      <c r="K139" s="724"/>
    </row>
    <row r="140" spans="1:11" x14ac:dyDescent="0.2">
      <c r="A140" s="299" t="s">
        <v>20</v>
      </c>
      <c r="B140" s="101"/>
      <c r="C140" s="102">
        <v>59.08</v>
      </c>
      <c r="D140" s="102">
        <v>145.32</v>
      </c>
      <c r="E140" s="102">
        <v>116.8</v>
      </c>
      <c r="F140" s="102">
        <v>110.73</v>
      </c>
      <c r="G140" s="102">
        <v>94</v>
      </c>
      <c r="H140" s="102">
        <v>69.739999999999995</v>
      </c>
      <c r="I140" s="102">
        <v>76.75</v>
      </c>
      <c r="J140" s="102"/>
      <c r="K140" s="462"/>
    </row>
    <row r="141" spans="1:11" x14ac:dyDescent="0.2">
      <c r="A141" s="299" t="s">
        <v>21</v>
      </c>
      <c r="B141" s="101"/>
      <c r="C141" s="102">
        <f t="shared" ref="C141:I141" si="9">C138-C140</f>
        <v>197.92000000000002</v>
      </c>
      <c r="D141" s="102">
        <f t="shared" si="9"/>
        <v>111.68</v>
      </c>
      <c r="E141" s="102">
        <f t="shared" si="9"/>
        <v>140.19999999999999</v>
      </c>
      <c r="F141" s="102">
        <f t="shared" si="9"/>
        <v>146.26999999999998</v>
      </c>
      <c r="G141" s="102">
        <f t="shared" si="9"/>
        <v>163</v>
      </c>
      <c r="H141" s="102">
        <f t="shared" si="9"/>
        <v>187.26</v>
      </c>
      <c r="I141" s="102">
        <f t="shared" si="9"/>
        <v>180.25</v>
      </c>
      <c r="J141" s="102"/>
      <c r="K141" s="462"/>
    </row>
    <row r="142" spans="1:11" x14ac:dyDescent="0.2">
      <c r="A142" s="300" t="s">
        <v>22</v>
      </c>
      <c r="B142" s="40"/>
      <c r="C142" s="40">
        <v>2019</v>
      </c>
      <c r="D142" s="40">
        <v>2020</v>
      </c>
      <c r="E142" s="40">
        <v>2021</v>
      </c>
      <c r="F142" s="40">
        <v>2022</v>
      </c>
      <c r="G142" s="40">
        <v>2023</v>
      </c>
      <c r="H142" s="40">
        <v>2024</v>
      </c>
      <c r="I142" s="40">
        <v>2025</v>
      </c>
      <c r="J142" s="40">
        <v>2026</v>
      </c>
      <c r="K142" s="464">
        <v>2027</v>
      </c>
    </row>
    <row r="143" spans="1:11" x14ac:dyDescent="0.2">
      <c r="A143" s="39" t="s">
        <v>253</v>
      </c>
      <c r="B143" s="41"/>
      <c r="C143" s="41"/>
      <c r="D143" s="41"/>
      <c r="E143" s="41"/>
      <c r="F143" s="41"/>
      <c r="G143" s="41"/>
      <c r="H143" s="9"/>
      <c r="I143" s="9"/>
      <c r="J143" s="9"/>
      <c r="K143" s="7"/>
    </row>
    <row r="144" spans="1:11" x14ac:dyDescent="0.2">
      <c r="A144" s="184" t="s">
        <v>208</v>
      </c>
      <c r="B144" s="35"/>
      <c r="C144" s="35"/>
      <c r="D144" s="35"/>
      <c r="E144" s="35"/>
      <c r="F144" s="35"/>
      <c r="G144" s="35"/>
      <c r="K144" s="12"/>
    </row>
    <row r="145" spans="1:11" x14ac:dyDescent="0.2">
      <c r="A145" s="184" t="s">
        <v>254</v>
      </c>
      <c r="B145" s="35"/>
      <c r="C145" s="35"/>
      <c r="D145" s="35"/>
      <c r="E145" s="35"/>
      <c r="F145" s="35"/>
      <c r="G145" s="35"/>
      <c r="K145" s="12"/>
    </row>
    <row r="146" spans="1:11" x14ac:dyDescent="0.2">
      <c r="A146" s="184" t="s">
        <v>414</v>
      </c>
      <c r="B146" s="35"/>
      <c r="C146" s="35"/>
      <c r="D146" s="35"/>
      <c r="E146" s="35"/>
      <c r="F146" s="35"/>
      <c r="G146" s="35"/>
      <c r="K146" s="12"/>
    </row>
    <row r="147" spans="1:11" x14ac:dyDescent="0.2">
      <c r="A147" s="184" t="s">
        <v>575</v>
      </c>
      <c r="B147" s="35"/>
      <c r="C147" s="35"/>
      <c r="D147" s="35"/>
      <c r="E147" s="35"/>
      <c r="F147" s="35"/>
      <c r="G147" s="35"/>
      <c r="K147" s="12"/>
    </row>
    <row r="148" spans="1:11" x14ac:dyDescent="0.2">
      <c r="A148" s="184" t="s">
        <v>770</v>
      </c>
      <c r="B148" s="35"/>
      <c r="C148" s="35"/>
      <c r="D148" s="35"/>
      <c r="E148" s="35"/>
      <c r="F148" s="35"/>
      <c r="G148" s="35"/>
      <c r="K148" s="12"/>
    </row>
    <row r="149" spans="1:11" x14ac:dyDescent="0.2">
      <c r="A149" s="184" t="s">
        <v>771</v>
      </c>
      <c r="B149" s="35"/>
      <c r="C149" s="35"/>
      <c r="D149" s="35"/>
      <c r="E149" s="35"/>
      <c r="F149" s="35"/>
      <c r="G149" s="35"/>
      <c r="K149" s="12"/>
    </row>
    <row r="150" spans="1:11" x14ac:dyDescent="0.2">
      <c r="A150" s="521" t="s">
        <v>1004</v>
      </c>
      <c r="B150" s="169"/>
      <c r="C150" s="169"/>
      <c r="D150" s="169"/>
      <c r="E150" s="169"/>
      <c r="F150" s="169"/>
      <c r="G150" s="169"/>
      <c r="H150" s="13"/>
      <c r="I150" s="13"/>
      <c r="J150" s="13"/>
      <c r="K150" s="14"/>
    </row>
    <row r="152" spans="1:11" x14ac:dyDescent="0.2">
      <c r="A152" s="296" t="s">
        <v>14</v>
      </c>
      <c r="B152" s="33" t="s">
        <v>642</v>
      </c>
      <c r="C152" s="34" t="s">
        <v>15</v>
      </c>
      <c r="D152" s="35"/>
      <c r="E152" s="35"/>
      <c r="F152" s="35"/>
    </row>
    <row r="153" spans="1:11" x14ac:dyDescent="0.2">
      <c r="A153" s="101" t="s">
        <v>16</v>
      </c>
      <c r="B153" s="101"/>
      <c r="C153" s="34">
        <v>2017</v>
      </c>
      <c r="D153" s="34">
        <v>2018</v>
      </c>
      <c r="E153" s="34">
        <v>2019</v>
      </c>
      <c r="F153" s="34">
        <v>2020</v>
      </c>
      <c r="G153" s="34">
        <v>2021</v>
      </c>
      <c r="H153" s="34">
        <v>2022</v>
      </c>
      <c r="I153" s="34">
        <v>2023</v>
      </c>
      <c r="J153" s="34">
        <v>2024</v>
      </c>
      <c r="K153" s="518">
        <v>2025</v>
      </c>
    </row>
    <row r="154" spans="1:11" x14ac:dyDescent="0.2">
      <c r="A154" s="101" t="s">
        <v>17</v>
      </c>
      <c r="B154" s="101"/>
      <c r="C154" s="102">
        <v>125</v>
      </c>
      <c r="D154" s="102">
        <v>125</v>
      </c>
      <c r="E154" s="102">
        <v>125</v>
      </c>
      <c r="F154" s="102">
        <v>125</v>
      </c>
      <c r="G154" s="102">
        <v>125</v>
      </c>
      <c r="H154" s="102">
        <v>125</v>
      </c>
      <c r="I154" s="102">
        <v>125</v>
      </c>
      <c r="J154" s="102">
        <v>125</v>
      </c>
      <c r="K154" s="462">
        <v>125</v>
      </c>
    </row>
    <row r="155" spans="1:11" x14ac:dyDescent="0.2">
      <c r="A155" s="101" t="s">
        <v>18</v>
      </c>
      <c r="B155" s="101"/>
      <c r="C155" s="102">
        <v>275</v>
      </c>
      <c r="D155" s="102">
        <v>287.5</v>
      </c>
      <c r="E155" s="102">
        <f>E154*1.2+25+50+50</f>
        <v>275</v>
      </c>
      <c r="F155" s="102">
        <f>F154*1.2+25+50+50</f>
        <v>275</v>
      </c>
      <c r="G155" s="102">
        <f>G154+0.2*E154+25+50+50</f>
        <v>275</v>
      </c>
      <c r="H155" s="102">
        <f>H154+0.2*F154+24.94+50+50</f>
        <v>274.94</v>
      </c>
      <c r="I155" s="462">
        <f>I154+0.1*G154+25+50+50</f>
        <v>262.5</v>
      </c>
      <c r="J155" s="462">
        <f>J154+0.1*H154+25+50+50</f>
        <v>262.5</v>
      </c>
      <c r="K155" s="462">
        <f>K154+0.1*I154+25+50+50</f>
        <v>262.5</v>
      </c>
    </row>
    <row r="156" spans="1:11" ht="14.45" customHeight="1" x14ac:dyDescent="0.2">
      <c r="A156" s="101" t="s">
        <v>19</v>
      </c>
      <c r="B156" s="101"/>
      <c r="C156" s="517" t="s">
        <v>167</v>
      </c>
      <c r="D156" s="435"/>
      <c r="E156" s="435"/>
      <c r="F156" s="435"/>
      <c r="G156" s="435"/>
      <c r="H156" s="435"/>
      <c r="I156" s="435"/>
      <c r="J156" s="192"/>
      <c r="K156" s="519"/>
    </row>
    <row r="157" spans="1:11" x14ac:dyDescent="0.2">
      <c r="A157" s="101" t="s">
        <v>20</v>
      </c>
      <c r="B157" s="101"/>
      <c r="C157" s="102">
        <v>166.01</v>
      </c>
      <c r="D157" s="102">
        <v>115.22</v>
      </c>
      <c r="E157" s="102">
        <v>55.33</v>
      </c>
      <c r="F157" s="102">
        <v>2.12</v>
      </c>
      <c r="G157" s="102">
        <v>29.08</v>
      </c>
      <c r="H157" s="102">
        <v>0</v>
      </c>
      <c r="I157" s="102">
        <v>0</v>
      </c>
      <c r="J157" s="102"/>
      <c r="K157" s="462"/>
    </row>
    <row r="158" spans="1:11" x14ac:dyDescent="0.2">
      <c r="A158" s="101" t="s">
        <v>21</v>
      </c>
      <c r="B158" s="101"/>
      <c r="C158" s="102">
        <f t="shared" ref="C158:I158" si="10">C155-C157</f>
        <v>108.99000000000001</v>
      </c>
      <c r="D158" s="102">
        <f t="shared" si="10"/>
        <v>172.28</v>
      </c>
      <c r="E158" s="102">
        <f t="shared" si="10"/>
        <v>219.67000000000002</v>
      </c>
      <c r="F158" s="102">
        <f t="shared" si="10"/>
        <v>272.88</v>
      </c>
      <c r="G158" s="102">
        <f t="shared" si="10"/>
        <v>245.92000000000002</v>
      </c>
      <c r="H158" s="102">
        <f t="shared" si="10"/>
        <v>274.94</v>
      </c>
      <c r="I158" s="102">
        <f t="shared" si="10"/>
        <v>262.5</v>
      </c>
      <c r="J158" s="102"/>
      <c r="K158" s="462"/>
    </row>
    <row r="159" spans="1:11" x14ac:dyDescent="0.2">
      <c r="A159" s="40" t="s">
        <v>22</v>
      </c>
      <c r="B159" s="40"/>
      <c r="C159" s="40">
        <v>2019</v>
      </c>
      <c r="D159" s="40">
        <v>2020</v>
      </c>
      <c r="E159" s="40">
        <v>2021</v>
      </c>
      <c r="F159" s="40">
        <v>2022</v>
      </c>
      <c r="G159" s="40">
        <v>2023</v>
      </c>
      <c r="H159" s="40">
        <v>2024</v>
      </c>
      <c r="I159" s="40">
        <v>2025</v>
      </c>
      <c r="J159" s="40">
        <v>2026</v>
      </c>
      <c r="K159" s="464">
        <v>2027</v>
      </c>
    </row>
    <row r="160" spans="1:11" x14ac:dyDescent="0.2">
      <c r="A160" s="39" t="s">
        <v>256</v>
      </c>
      <c r="B160" s="41"/>
      <c r="C160" s="41"/>
      <c r="D160" s="41"/>
      <c r="E160" s="41"/>
      <c r="F160" s="41"/>
      <c r="G160" s="9"/>
      <c r="H160" s="9"/>
      <c r="I160" s="9"/>
      <c r="J160" s="7"/>
      <c r="K160" s="412"/>
    </row>
    <row r="161" spans="1:12" x14ac:dyDescent="0.2">
      <c r="A161" s="184" t="s">
        <v>257</v>
      </c>
      <c r="B161" s="35"/>
      <c r="C161" s="35"/>
      <c r="D161" s="35"/>
      <c r="E161" s="35"/>
      <c r="F161" s="35"/>
      <c r="J161" s="12"/>
      <c r="K161" s="413"/>
    </row>
    <row r="162" spans="1:12" x14ac:dyDescent="0.2">
      <c r="A162" s="184" t="s">
        <v>258</v>
      </c>
      <c r="B162" s="35"/>
      <c r="C162" s="35"/>
      <c r="D162" s="35"/>
      <c r="E162" s="35"/>
      <c r="F162" s="35"/>
      <c r="J162" s="12"/>
      <c r="K162" s="413"/>
    </row>
    <row r="163" spans="1:12" x14ac:dyDescent="0.2">
      <c r="A163" s="184" t="s">
        <v>209</v>
      </c>
      <c r="B163" s="35"/>
      <c r="C163" s="35"/>
      <c r="D163" s="35"/>
      <c r="E163" s="35"/>
      <c r="F163" s="35"/>
      <c r="J163" s="12"/>
      <c r="K163" s="413"/>
    </row>
    <row r="164" spans="1:12" x14ac:dyDescent="0.2">
      <c r="A164" s="184" t="s">
        <v>255</v>
      </c>
      <c r="B164" s="35"/>
      <c r="C164" s="35"/>
      <c r="D164" s="35"/>
      <c r="E164" s="35"/>
      <c r="F164" s="35"/>
      <c r="J164" s="12"/>
      <c r="K164" s="413"/>
    </row>
    <row r="165" spans="1:12" x14ac:dyDescent="0.2">
      <c r="A165" s="184" t="s">
        <v>415</v>
      </c>
      <c r="B165" s="35"/>
      <c r="C165" s="35"/>
      <c r="D165" s="35"/>
      <c r="E165" s="35"/>
      <c r="F165" s="35"/>
      <c r="J165" s="12"/>
      <c r="K165" s="413"/>
    </row>
    <row r="166" spans="1:12" x14ac:dyDescent="0.2">
      <c r="A166" s="10" t="s">
        <v>576</v>
      </c>
      <c r="B166" s="35"/>
      <c r="C166" s="35"/>
      <c r="D166" s="35"/>
      <c r="E166" s="35"/>
      <c r="F166" s="35"/>
      <c r="J166" s="12"/>
      <c r="K166" s="413"/>
    </row>
    <row r="167" spans="1:12" x14ac:dyDescent="0.2">
      <c r="A167" s="414" t="s">
        <v>1006</v>
      </c>
      <c r="B167" s="35"/>
      <c r="C167" s="35"/>
      <c r="D167" s="35"/>
      <c r="E167" s="35"/>
      <c r="F167" s="35"/>
      <c r="J167" s="12"/>
      <c r="K167" s="413"/>
    </row>
    <row r="168" spans="1:12" x14ac:dyDescent="0.2">
      <c r="A168" s="414" t="s">
        <v>1005</v>
      </c>
      <c r="B168" s="35"/>
      <c r="C168" s="35"/>
      <c r="D168" s="35"/>
      <c r="E168" s="35"/>
      <c r="F168" s="35"/>
      <c r="J168" s="12"/>
      <c r="K168" s="413"/>
    </row>
    <row r="169" spans="1:12" x14ac:dyDescent="0.2">
      <c r="A169" s="415" t="s">
        <v>1007</v>
      </c>
      <c r="B169" s="13"/>
      <c r="C169" s="13"/>
      <c r="D169" s="13"/>
      <c r="E169" s="13"/>
      <c r="F169" s="13"/>
      <c r="G169" s="13"/>
      <c r="H169" s="13"/>
      <c r="I169" s="13"/>
      <c r="J169" s="14"/>
      <c r="K169" s="333"/>
    </row>
    <row r="172" spans="1:12" x14ac:dyDescent="0.2">
      <c r="A172" s="164" t="s">
        <v>12</v>
      </c>
      <c r="B172" s="284" t="s">
        <v>165</v>
      </c>
      <c r="C172" s="35"/>
      <c r="D172" s="35"/>
      <c r="E172" s="35"/>
      <c r="F172" s="35"/>
      <c r="G172" s="35"/>
    </row>
    <row r="173" spans="1:12" x14ac:dyDescent="0.2">
      <c r="A173" s="32" t="s">
        <v>14</v>
      </c>
      <c r="B173" s="33" t="s">
        <v>625</v>
      </c>
      <c r="C173" s="34" t="s">
        <v>15</v>
      </c>
      <c r="D173" s="35"/>
      <c r="E173" s="35"/>
      <c r="F173" s="35"/>
      <c r="G173" s="35"/>
    </row>
    <row r="174" spans="1:12" x14ac:dyDescent="0.2">
      <c r="A174" s="36" t="s">
        <v>16</v>
      </c>
      <c r="B174" s="34">
        <v>2014</v>
      </c>
      <c r="C174" s="34">
        <v>2015</v>
      </c>
      <c r="D174" s="37">
        <v>2016</v>
      </c>
      <c r="E174" s="34">
        <v>2017</v>
      </c>
      <c r="F174" s="33">
        <v>2018</v>
      </c>
      <c r="G174" s="33">
        <v>2019</v>
      </c>
      <c r="H174" s="33">
        <v>2020</v>
      </c>
      <c r="I174" s="33">
        <v>2021</v>
      </c>
      <c r="J174" s="33">
        <v>2022</v>
      </c>
      <c r="K174" s="33">
        <v>2023</v>
      </c>
      <c r="L174" s="556">
        <v>2024</v>
      </c>
    </row>
    <row r="175" spans="1:12" x14ac:dyDescent="0.2">
      <c r="A175" s="36" t="s">
        <v>17</v>
      </c>
      <c r="B175" s="301">
        <v>200</v>
      </c>
      <c r="C175" s="301">
        <v>200</v>
      </c>
      <c r="D175" s="301">
        <v>200</v>
      </c>
      <c r="E175" s="301">
        <v>200</v>
      </c>
      <c r="F175" s="302">
        <v>200</v>
      </c>
      <c r="G175" s="302">
        <v>215</v>
      </c>
      <c r="H175" s="302">
        <v>215</v>
      </c>
      <c r="I175" s="302">
        <v>242</v>
      </c>
      <c r="J175" s="302">
        <v>242</v>
      </c>
      <c r="K175" s="302">
        <v>242</v>
      </c>
      <c r="L175" s="585">
        <v>302</v>
      </c>
    </row>
    <row r="176" spans="1:12" x14ac:dyDescent="0.2">
      <c r="A176" s="36" t="s">
        <v>18</v>
      </c>
      <c r="B176" s="301">
        <v>250</v>
      </c>
      <c r="C176" s="301">
        <v>250</v>
      </c>
      <c r="D176" s="301">
        <v>250</v>
      </c>
      <c r="E176" s="301">
        <v>250</v>
      </c>
      <c r="F176" s="302">
        <v>250</v>
      </c>
      <c r="G176" s="302">
        <f>E175*0.25+G175</f>
        <v>265</v>
      </c>
      <c r="H176" s="302">
        <f>H175+0.25*G175</f>
        <v>268.75</v>
      </c>
      <c r="I176" s="302">
        <f>I175+0.25*H175</f>
        <v>295.75</v>
      </c>
      <c r="J176" s="302">
        <f>J175+0.25*I175</f>
        <v>302.5</v>
      </c>
      <c r="K176" s="302">
        <f>K175+0.25*J175</f>
        <v>302.5</v>
      </c>
      <c r="L176" s="585">
        <f>L175+0.25*K175</f>
        <v>362.5</v>
      </c>
    </row>
    <row r="177" spans="1:14" x14ac:dyDescent="0.2">
      <c r="A177" s="36" t="s">
        <v>19</v>
      </c>
      <c r="B177" s="203" t="s">
        <v>316</v>
      </c>
      <c r="C177" s="203" t="s">
        <v>316</v>
      </c>
      <c r="D177" s="203" t="s">
        <v>316</v>
      </c>
      <c r="E177" s="203" t="s">
        <v>316</v>
      </c>
      <c r="F177" s="203" t="s">
        <v>316</v>
      </c>
      <c r="G177" s="203" t="s">
        <v>371</v>
      </c>
      <c r="H177" s="203" t="s">
        <v>426</v>
      </c>
      <c r="I177" s="203" t="s">
        <v>653</v>
      </c>
      <c r="J177" s="203" t="s">
        <v>654</v>
      </c>
      <c r="K177" s="203" t="s">
        <v>654</v>
      </c>
      <c r="L177" s="586" t="s">
        <v>1050</v>
      </c>
    </row>
    <row r="178" spans="1:14" x14ac:dyDescent="0.2">
      <c r="A178" s="36" t="s">
        <v>20</v>
      </c>
      <c r="B178" s="301">
        <v>0</v>
      </c>
      <c r="C178" s="301">
        <v>0</v>
      </c>
      <c r="D178" s="301">
        <v>0</v>
      </c>
      <c r="E178" s="301">
        <v>0</v>
      </c>
      <c r="F178" s="302">
        <v>0</v>
      </c>
      <c r="G178" s="302">
        <v>0</v>
      </c>
      <c r="H178" s="302">
        <v>0</v>
      </c>
      <c r="I178" s="302">
        <v>0</v>
      </c>
      <c r="J178" s="302">
        <v>0</v>
      </c>
      <c r="K178" s="585">
        <v>41</v>
      </c>
      <c r="L178" s="585"/>
    </row>
    <row r="179" spans="1:14" x14ac:dyDescent="0.2">
      <c r="A179" s="36" t="s">
        <v>21</v>
      </c>
      <c r="B179" s="301">
        <v>250</v>
      </c>
      <c r="C179" s="301">
        <v>250</v>
      </c>
      <c r="D179" s="301">
        <v>250</v>
      </c>
      <c r="E179" s="301">
        <v>250</v>
      </c>
      <c r="F179" s="302">
        <v>250</v>
      </c>
      <c r="G179" s="302">
        <f>G176</f>
        <v>265</v>
      </c>
      <c r="H179" s="302">
        <f>H176</f>
        <v>268.75</v>
      </c>
      <c r="I179" s="302">
        <f>I176</f>
        <v>295.75</v>
      </c>
      <c r="J179" s="302">
        <f>J176-J178</f>
        <v>302.5</v>
      </c>
      <c r="K179" s="585">
        <f>K176-K178</f>
        <v>261.5</v>
      </c>
      <c r="L179" s="585"/>
    </row>
    <row r="180" spans="1:14" x14ac:dyDescent="0.2">
      <c r="A180" s="39" t="s">
        <v>22</v>
      </c>
      <c r="B180" s="204">
        <v>2015</v>
      </c>
      <c r="C180" s="204">
        <v>2016</v>
      </c>
      <c r="D180" s="204">
        <v>2017</v>
      </c>
      <c r="E180" s="204">
        <v>2018</v>
      </c>
      <c r="F180" s="204">
        <v>2019</v>
      </c>
      <c r="G180" s="204">
        <v>2020</v>
      </c>
      <c r="H180" s="204">
        <v>2021</v>
      </c>
      <c r="I180" s="204">
        <v>2022</v>
      </c>
      <c r="J180" s="204">
        <v>2023</v>
      </c>
      <c r="K180" s="204">
        <v>2024</v>
      </c>
      <c r="L180" s="587">
        <v>2025</v>
      </c>
    </row>
    <row r="181" spans="1:14" x14ac:dyDescent="0.2">
      <c r="A181" s="558" t="s">
        <v>1134</v>
      </c>
      <c r="B181" s="41"/>
      <c r="C181" s="41"/>
      <c r="D181" s="41"/>
      <c r="E181" s="41"/>
      <c r="F181" s="41"/>
      <c r="G181" s="41"/>
      <c r="H181" s="41"/>
      <c r="I181" s="41"/>
      <c r="J181" s="9"/>
      <c r="K181" s="9"/>
      <c r="L181" s="412"/>
    </row>
    <row r="182" spans="1:14" x14ac:dyDescent="0.2">
      <c r="A182" s="516" t="s">
        <v>1135</v>
      </c>
      <c r="B182" s="13"/>
      <c r="C182" s="13"/>
      <c r="D182" s="13"/>
      <c r="E182" s="13"/>
      <c r="F182" s="13"/>
      <c r="G182" s="13"/>
      <c r="H182" s="13"/>
      <c r="I182" s="13"/>
      <c r="J182" s="13"/>
      <c r="K182" s="13"/>
      <c r="L182" s="333"/>
    </row>
    <row r="183" spans="1:14" x14ac:dyDescent="0.2">
      <c r="A183" s="516"/>
      <c r="B183" s="13"/>
      <c r="C183" s="13"/>
      <c r="L183" s="329"/>
    </row>
    <row r="184" spans="1:14" x14ac:dyDescent="0.2">
      <c r="A184" s="286" t="s">
        <v>14</v>
      </c>
      <c r="B184" s="287" t="s">
        <v>639</v>
      </c>
      <c r="C184" s="691" t="s">
        <v>15</v>
      </c>
      <c r="D184" s="35"/>
      <c r="E184" s="35"/>
      <c r="F184" s="35"/>
      <c r="G184" s="35"/>
      <c r="L184" s="329"/>
    </row>
    <row r="185" spans="1:14" x14ac:dyDescent="0.2">
      <c r="A185" s="36" t="s">
        <v>16</v>
      </c>
      <c r="B185" s="34">
        <v>2014</v>
      </c>
      <c r="C185" s="34">
        <v>2015</v>
      </c>
      <c r="D185" s="37">
        <v>2016</v>
      </c>
      <c r="E185" s="34">
        <v>2017</v>
      </c>
      <c r="F185" s="33">
        <v>2018</v>
      </c>
      <c r="G185" s="33">
        <v>2019</v>
      </c>
      <c r="H185" s="33">
        <v>2020</v>
      </c>
      <c r="I185" s="33">
        <v>2021</v>
      </c>
      <c r="J185" s="33">
        <v>2022</v>
      </c>
      <c r="K185" s="33">
        <v>2023</v>
      </c>
      <c r="L185" s="556">
        <v>2024</v>
      </c>
      <c r="M185" s="556">
        <v>2025</v>
      </c>
      <c r="N185" s="556">
        <v>2026</v>
      </c>
    </row>
    <row r="186" spans="1:14" x14ac:dyDescent="0.2">
      <c r="A186" s="36" t="s">
        <v>17</v>
      </c>
      <c r="B186" s="38">
        <v>2160</v>
      </c>
      <c r="C186" s="38">
        <v>2160</v>
      </c>
      <c r="D186" s="38">
        <v>2160</v>
      </c>
      <c r="E186" s="38">
        <v>2160</v>
      </c>
      <c r="F186" s="304">
        <v>2160</v>
      </c>
      <c r="G186" s="304">
        <v>2160</v>
      </c>
      <c r="H186" s="304">
        <v>2160</v>
      </c>
      <c r="I186" s="304">
        <v>2160</v>
      </c>
      <c r="J186" s="304">
        <v>2160</v>
      </c>
      <c r="K186" s="304">
        <v>2600</v>
      </c>
      <c r="L186" s="588">
        <v>2600</v>
      </c>
      <c r="M186" s="588">
        <v>2600</v>
      </c>
      <c r="N186" s="588">
        <v>2600</v>
      </c>
    </row>
    <row r="187" spans="1:14" x14ac:dyDescent="0.2">
      <c r="A187" s="36" t="s">
        <v>18</v>
      </c>
      <c r="B187" s="38">
        <v>2700</v>
      </c>
      <c r="C187" s="38">
        <v>2700</v>
      </c>
      <c r="D187" s="38">
        <v>2700</v>
      </c>
      <c r="E187" s="38">
        <v>2600</v>
      </c>
      <c r="F187" s="38">
        <v>2600</v>
      </c>
      <c r="G187" s="38">
        <v>2600</v>
      </c>
      <c r="H187" s="38">
        <f>H186+0.25*G186-200</f>
        <v>2500</v>
      </c>
      <c r="I187" s="38">
        <f>I186+0.25*H186</f>
        <v>2700</v>
      </c>
      <c r="J187" s="38">
        <f>J186*(1+0.25)-259.96</f>
        <v>2440.04</v>
      </c>
      <c r="K187" s="38">
        <f>K186+0.25*I186-100</f>
        <v>3040</v>
      </c>
      <c r="L187" s="589">
        <f>L186-100</f>
        <v>2500</v>
      </c>
      <c r="M187" s="589">
        <f>M186+0.25*K186-100</f>
        <v>3150</v>
      </c>
      <c r="N187" s="589">
        <f t="shared" ref="N187" si="11">N186+0.25*L186-100</f>
        <v>3150</v>
      </c>
    </row>
    <row r="188" spans="1:14" ht="27.6" customHeight="1" x14ac:dyDescent="0.2">
      <c r="A188" s="36" t="s">
        <v>19</v>
      </c>
      <c r="B188" s="305" t="s">
        <v>317</v>
      </c>
      <c r="C188" s="305" t="s">
        <v>317</v>
      </c>
      <c r="D188" s="305" t="s">
        <v>317</v>
      </c>
      <c r="E188" s="305" t="s">
        <v>318</v>
      </c>
      <c r="F188" s="305" t="s">
        <v>318</v>
      </c>
      <c r="G188" s="305" t="s">
        <v>318</v>
      </c>
      <c r="H188" s="305" t="s">
        <v>428</v>
      </c>
      <c r="I188" s="305" t="s">
        <v>317</v>
      </c>
      <c r="J188" s="305" t="s">
        <v>918</v>
      </c>
      <c r="K188" s="305" t="s">
        <v>829</v>
      </c>
      <c r="L188" s="590" t="s">
        <v>1046</v>
      </c>
      <c r="M188" s="590" t="s">
        <v>1047</v>
      </c>
      <c r="N188" s="590" t="s">
        <v>829</v>
      </c>
    </row>
    <row r="189" spans="1:14" x14ac:dyDescent="0.2">
      <c r="A189" s="36" t="s">
        <v>20</v>
      </c>
      <c r="B189" s="38">
        <v>462.36</v>
      </c>
      <c r="C189" s="38">
        <v>490.22</v>
      </c>
      <c r="D189" s="38">
        <v>657.59</v>
      </c>
      <c r="E189" s="38">
        <v>496.85</v>
      </c>
      <c r="F189" s="304">
        <v>396</v>
      </c>
      <c r="G189" s="304">
        <v>1002.664409132517</v>
      </c>
      <c r="H189" s="304">
        <v>617</v>
      </c>
      <c r="I189" s="304">
        <v>516</v>
      </c>
      <c r="J189" s="304">
        <v>543</v>
      </c>
      <c r="K189" s="588">
        <v>524</v>
      </c>
      <c r="L189" s="588"/>
      <c r="M189" s="588"/>
      <c r="N189" s="588"/>
    </row>
    <row r="190" spans="1:14" x14ac:dyDescent="0.2">
      <c r="A190" s="36" t="s">
        <v>21</v>
      </c>
      <c r="B190" s="38">
        <f t="shared" ref="B190:G190" si="12">B187-B189</f>
        <v>2237.64</v>
      </c>
      <c r="C190" s="38">
        <f t="shared" si="12"/>
        <v>2209.7799999999997</v>
      </c>
      <c r="D190" s="38">
        <f t="shared" si="12"/>
        <v>2042.4099999999999</v>
      </c>
      <c r="E190" s="38">
        <f t="shared" si="12"/>
        <v>2103.15</v>
      </c>
      <c r="F190" s="38">
        <f t="shared" si="12"/>
        <v>2204</v>
      </c>
      <c r="G190" s="38">
        <f t="shared" si="12"/>
        <v>1597.335590867483</v>
      </c>
      <c r="H190" s="38">
        <f>H187-H189</f>
        <v>1883</v>
      </c>
      <c r="I190" s="38">
        <f>I187-I189</f>
        <v>2184</v>
      </c>
      <c r="J190" s="38">
        <f>J187-J189</f>
        <v>1897.04</v>
      </c>
      <c r="K190" s="589">
        <f>K187-K189</f>
        <v>2516</v>
      </c>
      <c r="L190" s="589"/>
      <c r="M190" s="589"/>
      <c r="N190" s="589"/>
    </row>
    <row r="191" spans="1:14" x14ac:dyDescent="0.2">
      <c r="A191" s="39" t="s">
        <v>22</v>
      </c>
      <c r="B191" s="204">
        <v>2016</v>
      </c>
      <c r="C191" s="204">
        <v>2017</v>
      </c>
      <c r="D191" s="204">
        <v>2018</v>
      </c>
      <c r="E191" s="204">
        <v>2019</v>
      </c>
      <c r="F191" s="204">
        <v>2020</v>
      </c>
      <c r="G191" s="204">
        <v>2021</v>
      </c>
      <c r="H191" s="204">
        <v>2022</v>
      </c>
      <c r="I191" s="204">
        <v>2023</v>
      </c>
      <c r="J191" s="204">
        <v>2024</v>
      </c>
      <c r="K191" s="204">
        <v>2025</v>
      </c>
      <c r="L191" s="587">
        <v>2026</v>
      </c>
      <c r="M191" s="587">
        <v>2027</v>
      </c>
      <c r="N191" s="587">
        <v>2028</v>
      </c>
    </row>
    <row r="192" spans="1:14" x14ac:dyDescent="0.2">
      <c r="A192" s="693" t="s">
        <v>799</v>
      </c>
      <c r="B192" s="694"/>
      <c r="C192" s="694"/>
      <c r="D192" s="694"/>
      <c r="E192" s="694"/>
      <c r="F192" s="694"/>
      <c r="G192" s="694"/>
      <c r="H192" s="9"/>
      <c r="I192" s="9"/>
      <c r="J192" s="9"/>
      <c r="K192" s="7"/>
      <c r="L192" s="412"/>
      <c r="M192" s="412"/>
      <c r="N192" s="412"/>
    </row>
    <row r="193" spans="1:14" x14ac:dyDescent="0.2">
      <c r="A193" s="195" t="s">
        <v>319</v>
      </c>
      <c r="B193" s="196"/>
      <c r="C193" s="196"/>
      <c r="D193" s="196"/>
      <c r="E193" s="196"/>
      <c r="F193" s="196"/>
      <c r="G193" s="196"/>
      <c r="H193" s="9"/>
      <c r="I193" s="9"/>
      <c r="J193" s="9"/>
      <c r="K193" s="9"/>
      <c r="L193" s="411"/>
      <c r="M193" s="411"/>
      <c r="N193" s="412"/>
    </row>
    <row r="194" spans="1:14" x14ac:dyDescent="0.2">
      <c r="A194" s="593" t="s">
        <v>1043</v>
      </c>
      <c r="B194" s="688"/>
      <c r="C194" s="688"/>
      <c r="D194" s="688"/>
      <c r="E194" s="688"/>
      <c r="F194" s="688"/>
      <c r="G194" s="688"/>
      <c r="H194" s="329"/>
      <c r="I194" s="329"/>
      <c r="J194" s="329"/>
      <c r="K194" s="329"/>
      <c r="L194" s="329"/>
      <c r="M194" s="329"/>
      <c r="N194" s="413"/>
    </row>
    <row r="195" spans="1:14" x14ac:dyDescent="0.2">
      <c r="A195" s="110" t="s">
        <v>427</v>
      </c>
      <c r="B195" s="298"/>
      <c r="C195" s="298"/>
      <c r="D195" s="298"/>
      <c r="E195" s="298"/>
      <c r="F195" s="298"/>
      <c r="G195" s="298"/>
      <c r="L195" s="329"/>
      <c r="M195" s="329"/>
      <c r="N195" s="413"/>
    </row>
    <row r="196" spans="1:14" x14ac:dyDescent="0.2">
      <c r="A196" s="110" t="s">
        <v>917</v>
      </c>
      <c r="B196" s="298"/>
      <c r="C196" s="298"/>
      <c r="D196" s="298"/>
      <c r="E196" s="298"/>
      <c r="F196" s="298"/>
      <c r="G196" s="298"/>
      <c r="L196" s="329"/>
      <c r="M196" s="329"/>
      <c r="N196" s="413"/>
    </row>
    <row r="197" spans="1:14" x14ac:dyDescent="0.2">
      <c r="A197" s="110" t="s">
        <v>828</v>
      </c>
      <c r="B197" s="298"/>
      <c r="C197" s="298"/>
      <c r="D197" s="298"/>
      <c r="E197" s="298"/>
      <c r="F197" s="298"/>
      <c r="G197" s="298"/>
      <c r="L197" s="329"/>
      <c r="M197" s="329"/>
      <c r="N197" s="413"/>
    </row>
    <row r="198" spans="1:14" x14ac:dyDescent="0.2">
      <c r="A198" s="593" t="s">
        <v>1045</v>
      </c>
      <c r="B198" s="298"/>
      <c r="C198" s="298"/>
      <c r="D198" s="298"/>
      <c r="E198" s="298"/>
      <c r="F198" s="298"/>
      <c r="G198" s="298"/>
      <c r="L198" s="329"/>
      <c r="M198" s="329"/>
      <c r="N198" s="413"/>
    </row>
    <row r="199" spans="1:14" x14ac:dyDescent="0.2">
      <c r="A199" s="466" t="s">
        <v>1125</v>
      </c>
      <c r="B199" s="31"/>
      <c r="C199" s="31"/>
      <c r="D199" s="31"/>
      <c r="E199" s="31"/>
      <c r="F199" s="31"/>
      <c r="G199" s="31"/>
      <c r="H199" s="13"/>
      <c r="I199" s="13"/>
      <c r="J199" s="13"/>
      <c r="K199" s="13"/>
      <c r="L199" s="331"/>
      <c r="M199" s="331"/>
      <c r="N199" s="333"/>
    </row>
    <row r="200" spans="1:14" x14ac:dyDescent="0.2">
      <c r="L200" s="329"/>
    </row>
    <row r="201" spans="1:14" x14ac:dyDescent="0.2">
      <c r="A201" s="32" t="s">
        <v>14</v>
      </c>
      <c r="B201" s="33" t="s">
        <v>624</v>
      </c>
      <c r="C201" s="34" t="s">
        <v>15</v>
      </c>
      <c r="D201" s="35"/>
      <c r="E201" s="35"/>
      <c r="F201" s="35"/>
      <c r="L201" s="329"/>
    </row>
    <row r="202" spans="1:14" x14ac:dyDescent="0.2">
      <c r="A202" s="36" t="s">
        <v>16</v>
      </c>
      <c r="B202" s="34">
        <v>2014</v>
      </c>
      <c r="C202" s="34">
        <v>2015</v>
      </c>
      <c r="D202" s="37">
        <v>2016</v>
      </c>
      <c r="E202" s="34">
        <v>2017</v>
      </c>
      <c r="F202" s="33">
        <v>2018</v>
      </c>
      <c r="G202" s="33">
        <v>2019</v>
      </c>
      <c r="H202" s="33">
        <v>2020</v>
      </c>
      <c r="I202" s="33">
        <v>2021</v>
      </c>
      <c r="J202" s="33">
        <v>2022</v>
      </c>
      <c r="K202" s="33">
        <v>2023</v>
      </c>
      <c r="L202" s="33">
        <v>2024</v>
      </c>
    </row>
    <row r="203" spans="1:14" x14ac:dyDescent="0.2">
      <c r="A203" s="36" t="s">
        <v>17</v>
      </c>
      <c r="B203" s="301">
        <v>50</v>
      </c>
      <c r="C203" s="301">
        <v>50</v>
      </c>
      <c r="D203" s="301">
        <v>50</v>
      </c>
      <c r="E203" s="301">
        <v>50</v>
      </c>
      <c r="F203" s="301">
        <v>50</v>
      </c>
      <c r="G203" s="301">
        <v>50</v>
      </c>
      <c r="H203" s="301">
        <v>50</v>
      </c>
      <c r="I203" s="301">
        <v>50</v>
      </c>
      <c r="J203" s="301">
        <v>50</v>
      </c>
      <c r="K203" s="301">
        <v>50</v>
      </c>
      <c r="L203" s="301">
        <v>50</v>
      </c>
    </row>
    <row r="204" spans="1:14" x14ac:dyDescent="0.2">
      <c r="A204" s="36" t="s">
        <v>18</v>
      </c>
      <c r="B204" s="301">
        <v>75</v>
      </c>
      <c r="C204" s="301">
        <v>50</v>
      </c>
      <c r="D204" s="301">
        <v>50</v>
      </c>
      <c r="E204" s="301">
        <f>E203*1.5-25</f>
        <v>50</v>
      </c>
      <c r="F204" s="301">
        <f>F203*1.4-25</f>
        <v>45</v>
      </c>
      <c r="G204" s="301">
        <f>G203*1.4-25</f>
        <v>45</v>
      </c>
      <c r="H204" s="301">
        <f>H203*1.4-25</f>
        <v>45</v>
      </c>
      <c r="I204" s="301">
        <f>I203*1.4-25</f>
        <v>45</v>
      </c>
      <c r="J204" s="301">
        <f>J203*1.4-25</f>
        <v>45</v>
      </c>
      <c r="K204" s="692">
        <f>50+0.4*50-25</f>
        <v>45</v>
      </c>
      <c r="L204" s="692">
        <f>50+0.4*50-25</f>
        <v>45</v>
      </c>
    </row>
    <row r="205" spans="1:14" x14ac:dyDescent="0.2">
      <c r="A205" s="36" t="s">
        <v>19</v>
      </c>
      <c r="B205" s="301" t="s">
        <v>320</v>
      </c>
      <c r="C205" s="301" t="s">
        <v>321</v>
      </c>
      <c r="D205" s="301" t="s">
        <v>321</v>
      </c>
      <c r="E205" s="301" t="s">
        <v>321</v>
      </c>
      <c r="F205" s="301" t="s">
        <v>322</v>
      </c>
      <c r="G205" s="301" t="s">
        <v>322</v>
      </c>
      <c r="H205" s="301" t="s">
        <v>322</v>
      </c>
      <c r="I205" s="301" t="s">
        <v>322</v>
      </c>
      <c r="J205" s="301" t="s">
        <v>322</v>
      </c>
      <c r="K205" s="692" t="s">
        <v>1139</v>
      </c>
      <c r="L205" s="692" t="s">
        <v>1139</v>
      </c>
    </row>
    <row r="206" spans="1:14" x14ac:dyDescent="0.2">
      <c r="A206" s="36" t="s">
        <v>20</v>
      </c>
      <c r="B206" s="301">
        <v>0</v>
      </c>
      <c r="C206" s="301">
        <v>0</v>
      </c>
      <c r="D206" s="301">
        <v>0</v>
      </c>
      <c r="E206" s="301">
        <v>0</v>
      </c>
      <c r="F206" s="301">
        <v>0</v>
      </c>
      <c r="G206" s="301">
        <v>0</v>
      </c>
      <c r="H206" s="301">
        <v>0</v>
      </c>
      <c r="I206" s="301">
        <v>0</v>
      </c>
      <c r="J206" s="301">
        <v>0</v>
      </c>
      <c r="K206" s="692">
        <v>0</v>
      </c>
      <c r="L206" s="692"/>
    </row>
    <row r="207" spans="1:14" x14ac:dyDescent="0.2">
      <c r="A207" s="36" t="s">
        <v>21</v>
      </c>
      <c r="B207" s="301">
        <f t="shared" ref="B207:I207" si="13">B204</f>
        <v>75</v>
      </c>
      <c r="C207" s="301">
        <f t="shared" si="13"/>
        <v>50</v>
      </c>
      <c r="D207" s="301">
        <f t="shared" si="13"/>
        <v>50</v>
      </c>
      <c r="E207" s="301">
        <f t="shared" si="13"/>
        <v>50</v>
      </c>
      <c r="F207" s="301">
        <f t="shared" si="13"/>
        <v>45</v>
      </c>
      <c r="G207" s="301">
        <f t="shared" si="13"/>
        <v>45</v>
      </c>
      <c r="H207" s="301">
        <f t="shared" si="13"/>
        <v>45</v>
      </c>
      <c r="I207" s="301">
        <f t="shared" si="13"/>
        <v>45</v>
      </c>
      <c r="J207" s="301">
        <f>J204-J206</f>
        <v>45</v>
      </c>
      <c r="K207" s="692">
        <f>K204-K206</f>
        <v>45</v>
      </c>
      <c r="L207" s="692"/>
    </row>
    <row r="208" spans="1:14" x14ac:dyDescent="0.2">
      <c r="A208" s="39" t="s">
        <v>22</v>
      </c>
      <c r="B208" s="587">
        <v>2016</v>
      </c>
      <c r="C208" s="587">
        <v>2017</v>
      </c>
      <c r="D208" s="587">
        <v>2018</v>
      </c>
      <c r="E208" s="587">
        <v>2019</v>
      </c>
      <c r="F208" s="587">
        <v>2020</v>
      </c>
      <c r="G208" s="587">
        <v>2021</v>
      </c>
      <c r="H208" s="587">
        <v>2022</v>
      </c>
      <c r="I208" s="587">
        <v>2023</v>
      </c>
      <c r="J208" s="587">
        <v>2024</v>
      </c>
      <c r="K208" s="587">
        <v>2025</v>
      </c>
      <c r="L208" s="587">
        <v>2026</v>
      </c>
    </row>
    <row r="209" spans="1:14" x14ac:dyDescent="0.2">
      <c r="A209" s="693" t="s">
        <v>800</v>
      </c>
      <c r="B209" s="694"/>
      <c r="C209" s="694"/>
      <c r="D209" s="694"/>
      <c r="E209" s="694"/>
      <c r="F209" s="694"/>
      <c r="G209" s="694"/>
      <c r="H209" s="9"/>
      <c r="I209" s="9"/>
      <c r="J209" s="9"/>
      <c r="K209" s="9"/>
      <c r="L209" s="7"/>
    </row>
    <row r="210" spans="1:14" x14ac:dyDescent="0.2">
      <c r="A210" s="593" t="s">
        <v>1136</v>
      </c>
      <c r="B210" s="688"/>
      <c r="C210" s="688"/>
      <c r="D210" s="688"/>
      <c r="E210" s="688"/>
      <c r="F210" s="688"/>
      <c r="G210" s="688"/>
      <c r="L210" s="12"/>
    </row>
    <row r="211" spans="1:14" x14ac:dyDescent="0.2">
      <c r="A211" s="699" t="s">
        <v>1137</v>
      </c>
      <c r="B211" s="700"/>
      <c r="C211" s="700"/>
      <c r="D211" s="700"/>
      <c r="E211" s="700"/>
      <c r="F211" s="700"/>
      <c r="G211" s="700"/>
      <c r="L211" s="12"/>
    </row>
    <row r="212" spans="1:14" x14ac:dyDescent="0.2">
      <c r="A212" s="516" t="s">
        <v>1138</v>
      </c>
      <c r="B212" s="83"/>
      <c r="C212" s="83"/>
      <c r="D212" s="83"/>
      <c r="E212" s="83"/>
      <c r="F212" s="83"/>
      <c r="G212" s="83"/>
      <c r="H212" s="13"/>
      <c r="I212" s="13"/>
      <c r="J212" s="13"/>
      <c r="K212" s="13"/>
      <c r="L212" s="14"/>
    </row>
    <row r="213" spans="1:14" x14ac:dyDescent="0.2">
      <c r="A213" s="298"/>
      <c r="B213" s="298"/>
      <c r="C213" s="298"/>
      <c r="D213" s="298"/>
      <c r="E213" s="298"/>
      <c r="F213" s="298"/>
      <c r="G213" s="298"/>
    </row>
    <row r="214" spans="1:14" x14ac:dyDescent="0.2">
      <c r="L214" s="329"/>
    </row>
    <row r="215" spans="1:14" x14ac:dyDescent="0.2">
      <c r="A215" s="32" t="s">
        <v>14</v>
      </c>
      <c r="B215" s="33" t="s">
        <v>642</v>
      </c>
      <c r="C215" s="34" t="s">
        <v>15</v>
      </c>
      <c r="D215" s="35"/>
      <c r="E215" s="35"/>
      <c r="F215" s="35"/>
      <c r="G215" s="35"/>
      <c r="L215" s="329"/>
    </row>
    <row r="216" spans="1:14" x14ac:dyDescent="0.2">
      <c r="A216" s="36" t="s">
        <v>16</v>
      </c>
      <c r="B216" s="34">
        <v>2014</v>
      </c>
      <c r="C216" s="34">
        <v>2015</v>
      </c>
      <c r="D216" s="37">
        <v>2016</v>
      </c>
      <c r="E216" s="34">
        <v>2017</v>
      </c>
      <c r="F216" s="33">
        <v>2018</v>
      </c>
      <c r="G216" s="33">
        <v>2019</v>
      </c>
      <c r="H216" s="33">
        <v>2020</v>
      </c>
      <c r="I216" s="33">
        <v>2021</v>
      </c>
      <c r="J216" s="33">
        <v>2022</v>
      </c>
      <c r="K216" s="33">
        <v>2023</v>
      </c>
      <c r="L216" s="556">
        <v>2024</v>
      </c>
      <c r="M216" s="556">
        <v>2025</v>
      </c>
      <c r="N216" s="556">
        <v>2026</v>
      </c>
    </row>
    <row r="217" spans="1:14" x14ac:dyDescent="0.2">
      <c r="A217" s="36" t="s">
        <v>17</v>
      </c>
      <c r="B217" s="38">
        <v>3940</v>
      </c>
      <c r="C217" s="38">
        <v>3940</v>
      </c>
      <c r="D217" s="38">
        <v>3940</v>
      </c>
      <c r="E217" s="38">
        <v>3940</v>
      </c>
      <c r="F217" s="38">
        <v>3940</v>
      </c>
      <c r="G217" s="38">
        <v>3940</v>
      </c>
      <c r="H217" s="38">
        <v>3940</v>
      </c>
      <c r="I217" s="38">
        <v>3940</v>
      </c>
      <c r="J217" s="38">
        <v>3940</v>
      </c>
      <c r="K217" s="38">
        <v>3940</v>
      </c>
      <c r="L217" s="589">
        <v>3940</v>
      </c>
      <c r="M217" s="589">
        <v>3940</v>
      </c>
      <c r="N217" s="589">
        <v>3940</v>
      </c>
    </row>
    <row r="218" spans="1:14" x14ac:dyDescent="0.2">
      <c r="A218" s="36" t="s">
        <v>18</v>
      </c>
      <c r="B218" s="38">
        <f>B217*1.3-50</f>
        <v>5072</v>
      </c>
      <c r="C218" s="38">
        <f>C217*1.3-50</f>
        <v>5072</v>
      </c>
      <c r="D218" s="38">
        <f>D217*1.3-50</f>
        <v>5072</v>
      </c>
      <c r="E218" s="38">
        <f>E217*1.3-50</f>
        <v>5072</v>
      </c>
      <c r="F218" s="38">
        <f t="shared" ref="F218:J218" si="14">F217*1.2-50</f>
        <v>4678</v>
      </c>
      <c r="G218" s="38">
        <f t="shared" si="14"/>
        <v>4678</v>
      </c>
      <c r="H218" s="38">
        <f t="shared" si="14"/>
        <v>4678</v>
      </c>
      <c r="I218" s="38">
        <f t="shared" si="14"/>
        <v>4678</v>
      </c>
      <c r="J218" s="38">
        <f t="shared" si="14"/>
        <v>4678</v>
      </c>
      <c r="K218" s="589">
        <f>K217*1.1-50</f>
        <v>4284</v>
      </c>
      <c r="L218" s="589">
        <f>L217*1.1-50</f>
        <v>4284</v>
      </c>
      <c r="M218" s="589">
        <f t="shared" ref="M218:N218" si="15">M217*1.1-50</f>
        <v>4284</v>
      </c>
      <c r="N218" s="589">
        <f t="shared" si="15"/>
        <v>4284</v>
      </c>
    </row>
    <row r="219" spans="1:14" x14ac:dyDescent="0.2">
      <c r="A219" s="36" t="s">
        <v>19</v>
      </c>
      <c r="B219" s="38" t="s">
        <v>324</v>
      </c>
      <c r="C219" s="38" t="s">
        <v>324</v>
      </c>
      <c r="D219" s="38" t="s">
        <v>324</v>
      </c>
      <c r="E219" s="38" t="s">
        <v>324</v>
      </c>
      <c r="F219" s="38" t="s">
        <v>325</v>
      </c>
      <c r="G219" s="38" t="s">
        <v>325</v>
      </c>
      <c r="H219" s="38" t="s">
        <v>325</v>
      </c>
      <c r="I219" s="38" t="s">
        <v>325</v>
      </c>
      <c r="J219" s="38" t="s">
        <v>325</v>
      </c>
      <c r="K219" s="589" t="s">
        <v>1140</v>
      </c>
      <c r="L219" s="589" t="s">
        <v>1140</v>
      </c>
      <c r="M219" s="589" t="s">
        <v>1141</v>
      </c>
      <c r="N219" s="589" t="s">
        <v>1142</v>
      </c>
    </row>
    <row r="220" spans="1:14" x14ac:dyDescent="0.2">
      <c r="A220" s="36" t="s">
        <v>20</v>
      </c>
      <c r="B220" s="38">
        <v>2892.02</v>
      </c>
      <c r="C220" s="38">
        <v>2599.0703200000003</v>
      </c>
      <c r="D220" s="38">
        <v>2934.78017</v>
      </c>
      <c r="E220" s="38">
        <v>2406.0276984999996</v>
      </c>
      <c r="F220" s="38">
        <v>2798</v>
      </c>
      <c r="G220" s="38">
        <v>2858.8298242939013</v>
      </c>
      <c r="H220" s="38">
        <v>2105</v>
      </c>
      <c r="I220" s="38">
        <v>2823</v>
      </c>
      <c r="J220" s="38">
        <v>2197</v>
      </c>
      <c r="K220" s="38">
        <v>1984</v>
      </c>
      <c r="L220" s="589"/>
      <c r="M220" s="589"/>
      <c r="N220" s="589"/>
    </row>
    <row r="221" spans="1:14" x14ac:dyDescent="0.2">
      <c r="A221" s="36" t="s">
        <v>21</v>
      </c>
      <c r="B221" s="38">
        <f t="shared" ref="B221:K221" si="16">B218-B220</f>
        <v>2179.98</v>
      </c>
      <c r="C221" s="38">
        <f t="shared" si="16"/>
        <v>2472.9296799999997</v>
      </c>
      <c r="D221" s="38">
        <f t="shared" si="16"/>
        <v>2137.21983</v>
      </c>
      <c r="E221" s="38">
        <f t="shared" si="16"/>
        <v>2665.9723015000004</v>
      </c>
      <c r="F221" s="38">
        <f t="shared" si="16"/>
        <v>1880</v>
      </c>
      <c r="G221" s="38">
        <f t="shared" si="16"/>
        <v>1819.1701757060987</v>
      </c>
      <c r="H221" s="38">
        <f t="shared" si="16"/>
        <v>2573</v>
      </c>
      <c r="I221" s="38">
        <f t="shared" si="16"/>
        <v>1855</v>
      </c>
      <c r="J221" s="38">
        <f t="shared" si="16"/>
        <v>2481</v>
      </c>
      <c r="K221" s="589">
        <f t="shared" si="16"/>
        <v>2300</v>
      </c>
      <c r="L221" s="589"/>
      <c r="M221" s="589"/>
      <c r="N221" s="589"/>
    </row>
    <row r="222" spans="1:14" x14ac:dyDescent="0.2">
      <c r="A222" s="39" t="s">
        <v>22</v>
      </c>
      <c r="B222" s="40">
        <v>2015</v>
      </c>
      <c r="C222" s="40">
        <v>2016</v>
      </c>
      <c r="D222" s="41">
        <v>2017</v>
      </c>
      <c r="E222" s="40">
        <v>2018</v>
      </c>
      <c r="F222" s="42">
        <v>2019</v>
      </c>
      <c r="G222" s="42">
        <v>2020</v>
      </c>
      <c r="H222" s="42">
        <v>2021</v>
      </c>
      <c r="I222" s="42">
        <v>2022</v>
      </c>
      <c r="J222" s="42">
        <v>2023</v>
      </c>
      <c r="K222" s="42">
        <v>2024</v>
      </c>
      <c r="L222" s="591">
        <v>2025</v>
      </c>
      <c r="M222" s="591">
        <v>2026</v>
      </c>
      <c r="N222" s="591">
        <v>2027</v>
      </c>
    </row>
    <row r="223" spans="1:14" x14ac:dyDescent="0.2">
      <c r="A223" s="697" t="s">
        <v>1048</v>
      </c>
      <c r="B223" s="698"/>
      <c r="C223" s="698"/>
      <c r="D223" s="698"/>
      <c r="E223" s="698"/>
      <c r="F223" s="698"/>
      <c r="G223" s="698"/>
      <c r="H223" s="9"/>
      <c r="I223" s="9"/>
      <c r="J223" s="9"/>
      <c r="K223" s="9"/>
      <c r="L223" s="411"/>
      <c r="M223" s="411"/>
      <c r="N223" s="412"/>
    </row>
    <row r="224" spans="1:14" x14ac:dyDescent="0.2">
      <c r="A224" s="466" t="s">
        <v>1049</v>
      </c>
      <c r="B224" s="31"/>
      <c r="C224" s="31"/>
      <c r="D224" s="31"/>
      <c r="E224" s="31"/>
      <c r="F224" s="31"/>
      <c r="G224" s="31"/>
      <c r="H224" s="13"/>
      <c r="I224" s="13"/>
      <c r="J224" s="13"/>
      <c r="K224" s="13"/>
      <c r="L224" s="331"/>
      <c r="M224" s="331"/>
      <c r="N224" s="333"/>
    </row>
    <row r="225" spans="1:12" x14ac:dyDescent="0.2">
      <c r="L225" s="329"/>
    </row>
    <row r="226" spans="1:12" x14ac:dyDescent="0.2">
      <c r="A226" s="32" t="s">
        <v>14</v>
      </c>
      <c r="B226" s="33" t="s">
        <v>66</v>
      </c>
      <c r="C226" s="34" t="s">
        <v>15</v>
      </c>
      <c r="D226" s="35"/>
      <c r="E226" s="35"/>
      <c r="F226" s="35"/>
      <c r="L226" s="329"/>
    </row>
    <row r="227" spans="1:12" x14ac:dyDescent="0.2">
      <c r="A227" s="36" t="s">
        <v>16</v>
      </c>
      <c r="B227" s="101"/>
      <c r="C227" s="45">
        <v>2020</v>
      </c>
      <c r="D227" s="45">
        <v>2021</v>
      </c>
      <c r="E227" s="45">
        <v>2022</v>
      </c>
      <c r="F227" s="45">
        <v>2023</v>
      </c>
      <c r="G227" s="45">
        <v>2024</v>
      </c>
      <c r="H227" s="45">
        <v>2025</v>
      </c>
      <c r="I227" s="45">
        <v>2026</v>
      </c>
      <c r="J227" s="45">
        <v>2027</v>
      </c>
      <c r="K227" s="45">
        <v>2028</v>
      </c>
      <c r="L227" s="416">
        <v>2028</v>
      </c>
    </row>
    <row r="228" spans="1:12" x14ac:dyDescent="0.2">
      <c r="A228" s="36" t="s">
        <v>17</v>
      </c>
      <c r="B228" s="102"/>
      <c r="C228" s="5">
        <v>6043</v>
      </c>
      <c r="D228" s="5">
        <v>5946.3120000000008</v>
      </c>
      <c r="E228" s="5">
        <v>5994.6559999999999</v>
      </c>
      <c r="F228" s="5">
        <v>5994.6559999999999</v>
      </c>
      <c r="G228" s="5">
        <v>5994.6559999999999</v>
      </c>
      <c r="H228" s="5">
        <v>5994.6559999999999</v>
      </c>
      <c r="I228" s="5">
        <v>5994.6559999999999</v>
      </c>
      <c r="J228" s="5">
        <v>5994.6559999999999</v>
      </c>
      <c r="K228" s="5">
        <v>5994.6559999999999</v>
      </c>
      <c r="L228" s="409">
        <v>5994.6559999999999</v>
      </c>
    </row>
    <row r="229" spans="1:12" x14ac:dyDescent="0.2">
      <c r="A229" s="36" t="s">
        <v>18</v>
      </c>
      <c r="B229" s="102"/>
      <c r="C229" s="5"/>
      <c r="D229" s="5"/>
      <c r="E229" s="5">
        <f>E228+C232</f>
        <v>5753.6559999999999</v>
      </c>
      <c r="F229" s="5">
        <f>F228+D232</f>
        <v>5441.9680000000008</v>
      </c>
      <c r="G229" s="5">
        <f>G228-355.34</f>
        <v>5639.3159999999998</v>
      </c>
      <c r="H229" s="409">
        <f>H228-308+F232</f>
        <v>4764.6240000000007</v>
      </c>
      <c r="I229" s="5">
        <f t="shared" ref="I229:L229" si="17">I228+G232</f>
        <v>5994.6559999999999</v>
      </c>
      <c r="J229" s="5">
        <f t="shared" si="17"/>
        <v>5994.6559999999999</v>
      </c>
      <c r="K229" s="5">
        <f t="shared" si="17"/>
        <v>5994.6559999999999</v>
      </c>
      <c r="L229" s="409">
        <f t="shared" si="17"/>
        <v>5994.6559999999999</v>
      </c>
    </row>
    <row r="230" spans="1:12" x14ac:dyDescent="0.2">
      <c r="A230" s="36" t="s">
        <v>19</v>
      </c>
      <c r="B230" s="102"/>
      <c r="C230" s="5"/>
      <c r="D230" s="5"/>
      <c r="E230" s="5" t="s">
        <v>718</v>
      </c>
      <c r="F230" s="5" t="s">
        <v>719</v>
      </c>
      <c r="G230" s="5" t="s">
        <v>945</v>
      </c>
      <c r="H230" s="409" t="s">
        <v>1051</v>
      </c>
      <c r="I230" s="5" t="s">
        <v>946</v>
      </c>
      <c r="J230" s="5" t="s">
        <v>947</v>
      </c>
      <c r="K230" s="5" t="s">
        <v>948</v>
      </c>
      <c r="L230" s="409" t="s">
        <v>948</v>
      </c>
    </row>
    <row r="231" spans="1:12" x14ac:dyDescent="0.2">
      <c r="A231" s="36" t="s">
        <v>20</v>
      </c>
      <c r="B231" s="102"/>
      <c r="C231" s="5">
        <v>6284</v>
      </c>
      <c r="D231" s="5">
        <v>6499</v>
      </c>
      <c r="E231" s="5">
        <v>7341</v>
      </c>
      <c r="F231" s="5">
        <v>6364</v>
      </c>
      <c r="G231" s="5"/>
      <c r="H231" s="5"/>
      <c r="I231" s="5"/>
      <c r="J231" s="5"/>
      <c r="K231" s="5"/>
      <c r="L231" s="409"/>
    </row>
    <row r="232" spans="1:12" x14ac:dyDescent="0.2">
      <c r="A232" s="36" t="s">
        <v>21</v>
      </c>
      <c r="B232" s="203"/>
      <c r="C232" s="5">
        <f>C228-C231</f>
        <v>-241</v>
      </c>
      <c r="D232" s="5">
        <f>D228-D231</f>
        <v>-552.68799999999919</v>
      </c>
      <c r="E232" s="5">
        <f>E229-E231</f>
        <v>-1587.3440000000001</v>
      </c>
      <c r="F232" s="5">
        <f>F229-F231</f>
        <v>-922.03199999999924</v>
      </c>
      <c r="G232" s="5"/>
      <c r="H232" s="5"/>
      <c r="I232" s="5"/>
      <c r="J232" s="5"/>
      <c r="K232" s="5"/>
      <c r="L232" s="409"/>
    </row>
    <row r="233" spans="1:12" x14ac:dyDescent="0.2">
      <c r="A233" s="39" t="s">
        <v>22</v>
      </c>
      <c r="B233" s="204"/>
      <c r="C233" s="16">
        <v>2022</v>
      </c>
      <c r="D233" s="16">
        <v>2023</v>
      </c>
      <c r="E233" s="16">
        <v>2024</v>
      </c>
      <c r="F233" s="16">
        <v>2025</v>
      </c>
      <c r="G233" s="16">
        <v>2026</v>
      </c>
      <c r="H233" s="16">
        <v>2027</v>
      </c>
      <c r="I233" s="16">
        <v>2028</v>
      </c>
      <c r="J233" s="16">
        <v>2029</v>
      </c>
      <c r="K233" s="16">
        <v>2030</v>
      </c>
      <c r="L233" s="421">
        <v>2030</v>
      </c>
    </row>
    <row r="234" spans="1:12" ht="12.75" customHeight="1" x14ac:dyDescent="0.2">
      <c r="A234" s="338" t="s">
        <v>23</v>
      </c>
      <c r="B234" s="306"/>
      <c r="C234" s="306"/>
      <c r="D234" s="306"/>
      <c r="E234" s="306"/>
      <c r="F234" s="306"/>
      <c r="G234" s="306"/>
      <c r="H234" s="306"/>
      <c r="I234" s="306"/>
      <c r="J234" s="306"/>
      <c r="K234" s="341"/>
      <c r="L234" s="592"/>
    </row>
    <row r="235" spans="1:12" ht="12.75" customHeight="1" x14ac:dyDescent="0.2">
      <c r="A235" s="336" t="s">
        <v>655</v>
      </c>
      <c r="B235" s="335"/>
      <c r="C235" s="335"/>
      <c r="D235" s="335"/>
      <c r="E235" s="335"/>
      <c r="F235" s="335"/>
      <c r="G235" s="115"/>
      <c r="H235" s="115"/>
      <c r="K235" s="12"/>
      <c r="L235" s="413"/>
    </row>
    <row r="236" spans="1:12" ht="12.75" customHeight="1" x14ac:dyDescent="0.2">
      <c r="A236" s="342" t="s">
        <v>944</v>
      </c>
      <c r="B236" s="337"/>
      <c r="C236" s="337"/>
      <c r="D236" s="337"/>
      <c r="E236" s="337"/>
      <c r="F236" s="263"/>
      <c r="G236" s="263"/>
      <c r="H236" s="263"/>
      <c r="I236" s="13"/>
      <c r="J236" s="13"/>
      <c r="K236" s="14"/>
      <c r="L236" s="333"/>
    </row>
    <row r="237" spans="1:12" x14ac:dyDescent="0.2">
      <c r="C237" s="208"/>
    </row>
    <row r="238" spans="1:12" x14ac:dyDescent="0.2">
      <c r="A238" s="32" t="s">
        <v>14</v>
      </c>
      <c r="B238" s="33" t="s">
        <v>74</v>
      </c>
      <c r="C238" s="34" t="s">
        <v>15</v>
      </c>
      <c r="D238" s="35"/>
      <c r="E238" s="35"/>
      <c r="F238" s="35"/>
    </row>
    <row r="239" spans="1:12" x14ac:dyDescent="0.2">
      <c r="A239" s="36" t="s">
        <v>16</v>
      </c>
      <c r="B239" s="34">
        <v>2014</v>
      </c>
      <c r="C239" s="34">
        <v>2015</v>
      </c>
      <c r="D239" s="37">
        <v>2016</v>
      </c>
      <c r="E239" s="34">
        <v>2017</v>
      </c>
      <c r="F239" s="33">
        <v>2018</v>
      </c>
      <c r="G239" s="45">
        <v>2019</v>
      </c>
      <c r="H239" s="45">
        <v>2020</v>
      </c>
      <c r="I239" s="45">
        <v>2021</v>
      </c>
      <c r="J239" s="45">
        <v>2022</v>
      </c>
    </row>
    <row r="240" spans="1:12" x14ac:dyDescent="0.2">
      <c r="A240" s="36" t="s">
        <v>17</v>
      </c>
      <c r="B240" s="102">
        <v>190</v>
      </c>
      <c r="C240" s="102">
        <v>190</v>
      </c>
      <c r="D240" s="102">
        <v>190</v>
      </c>
      <c r="E240" s="102">
        <v>190</v>
      </c>
      <c r="F240" s="192">
        <v>190</v>
      </c>
      <c r="G240" s="5">
        <v>190</v>
      </c>
      <c r="H240" s="5">
        <v>159.80000000000001</v>
      </c>
      <c r="I240" s="5">
        <v>159.80000000000001</v>
      </c>
      <c r="J240" s="5">
        <v>159.80000000000001</v>
      </c>
    </row>
    <row r="241" spans="1:10" x14ac:dyDescent="0.2">
      <c r="A241" s="36" t="s">
        <v>18</v>
      </c>
      <c r="B241" s="102"/>
      <c r="C241" s="102"/>
      <c r="D241" s="102"/>
      <c r="E241" s="102"/>
      <c r="F241" s="192"/>
      <c r="G241" s="5"/>
      <c r="H241" s="5"/>
      <c r="I241" s="5"/>
      <c r="J241" s="5"/>
    </row>
    <row r="242" spans="1:10" x14ac:dyDescent="0.2">
      <c r="A242" s="36" t="s">
        <v>19</v>
      </c>
      <c r="B242" s="102"/>
      <c r="C242" s="102"/>
      <c r="D242" s="102"/>
      <c r="E242" s="102"/>
      <c r="F242" s="192"/>
      <c r="G242" s="5"/>
      <c r="H242" s="5"/>
      <c r="I242" s="5"/>
      <c r="J242" s="5"/>
    </row>
    <row r="243" spans="1:10" x14ac:dyDescent="0.2">
      <c r="A243" s="36" t="s">
        <v>20</v>
      </c>
      <c r="B243" s="102">
        <v>104.95522</v>
      </c>
      <c r="C243" s="102">
        <v>89.182190000000006</v>
      </c>
      <c r="D243" s="102">
        <v>79.192750000000004</v>
      </c>
      <c r="E243" s="114">
        <v>64.003107999999997</v>
      </c>
      <c r="F243" s="102">
        <v>37</v>
      </c>
      <c r="G243" s="5">
        <v>19.91</v>
      </c>
      <c r="H243" s="5">
        <v>13</v>
      </c>
      <c r="I243" s="5">
        <v>2</v>
      </c>
      <c r="J243" s="5">
        <v>3</v>
      </c>
    </row>
    <row r="244" spans="1:10" x14ac:dyDescent="0.2">
      <c r="A244" s="36" t="s">
        <v>21</v>
      </c>
      <c r="B244" s="203"/>
      <c r="C244" s="203"/>
      <c r="D244" s="203"/>
      <c r="E244" s="203"/>
      <c r="F244" s="307"/>
      <c r="G244" s="15"/>
      <c r="H244" s="15"/>
      <c r="I244" s="15"/>
      <c r="J244" s="15"/>
    </row>
    <row r="245" spans="1:10" x14ac:dyDescent="0.2">
      <c r="A245" s="39" t="s">
        <v>22</v>
      </c>
      <c r="B245" s="204"/>
      <c r="C245" s="204"/>
      <c r="D245" s="308"/>
      <c r="E245" s="204"/>
      <c r="F245" s="309"/>
      <c r="G245" s="16"/>
      <c r="H245" s="16"/>
      <c r="I245" s="16"/>
      <c r="J245" s="16"/>
    </row>
    <row r="246" spans="1:10" ht="36" customHeight="1" x14ac:dyDescent="0.2">
      <c r="A246" s="717" t="s">
        <v>323</v>
      </c>
      <c r="B246" s="718"/>
      <c r="C246" s="718"/>
      <c r="D246" s="718"/>
      <c r="E246" s="718"/>
      <c r="F246" s="718"/>
      <c r="G246" s="718"/>
      <c r="H246" s="718"/>
      <c r="I246" s="718"/>
      <c r="J246" s="719"/>
    </row>
    <row r="247" spans="1:10" x14ac:dyDescent="0.2">
      <c r="C247" s="208"/>
    </row>
    <row r="248" spans="1:10" x14ac:dyDescent="0.2">
      <c r="A248" s="32" t="s">
        <v>14</v>
      </c>
      <c r="B248" s="33" t="s">
        <v>79</v>
      </c>
      <c r="C248" s="34" t="s">
        <v>15</v>
      </c>
      <c r="D248" s="35"/>
      <c r="E248" s="35"/>
      <c r="F248" s="35"/>
    </row>
    <row r="249" spans="1:10" x14ac:dyDescent="0.2">
      <c r="A249" s="36" t="s">
        <v>16</v>
      </c>
      <c r="B249" s="34">
        <v>2014</v>
      </c>
      <c r="C249" s="34">
        <v>2015</v>
      </c>
      <c r="D249" s="37">
        <v>2016</v>
      </c>
      <c r="E249" s="34">
        <v>2017</v>
      </c>
      <c r="F249" s="33">
        <v>2018</v>
      </c>
      <c r="G249" s="45">
        <v>2019</v>
      </c>
      <c r="H249" s="45">
        <v>2020</v>
      </c>
      <c r="I249" s="45">
        <v>2021</v>
      </c>
      <c r="J249" s="45">
        <v>2022</v>
      </c>
    </row>
    <row r="250" spans="1:10" x14ac:dyDescent="0.2">
      <c r="A250" s="36" t="s">
        <v>17</v>
      </c>
      <c r="B250" s="203">
        <v>50</v>
      </c>
      <c r="C250" s="203">
        <v>50</v>
      </c>
      <c r="D250" s="203">
        <v>50</v>
      </c>
      <c r="E250" s="203">
        <v>50</v>
      </c>
      <c r="F250" s="307">
        <v>50</v>
      </c>
      <c r="G250" s="5">
        <v>50</v>
      </c>
      <c r="H250" s="5">
        <v>50</v>
      </c>
      <c r="I250" s="5">
        <v>50</v>
      </c>
      <c r="J250" s="5">
        <v>50</v>
      </c>
    </row>
    <row r="251" spans="1:10" x14ac:dyDescent="0.2">
      <c r="A251" s="36" t="s">
        <v>18</v>
      </c>
      <c r="B251" s="203"/>
      <c r="C251" s="203"/>
      <c r="D251" s="203"/>
      <c r="E251" s="203"/>
      <c r="F251" s="307"/>
      <c r="G251" s="15"/>
      <c r="H251" s="5"/>
      <c r="I251" s="5"/>
      <c r="J251" s="5"/>
    </row>
    <row r="252" spans="1:10" x14ac:dyDescent="0.2">
      <c r="A252" s="36" t="s">
        <v>19</v>
      </c>
      <c r="B252" s="203"/>
      <c r="C252" s="203"/>
      <c r="D252" s="203"/>
      <c r="E252" s="203"/>
      <c r="F252" s="307"/>
      <c r="G252" s="15"/>
      <c r="H252" s="5"/>
      <c r="I252" s="5"/>
      <c r="J252" s="5"/>
    </row>
    <row r="253" spans="1:10" x14ac:dyDescent="0.2">
      <c r="A253" s="36" t="s">
        <v>20</v>
      </c>
      <c r="B253" s="203">
        <v>102.32362999999999</v>
      </c>
      <c r="C253" s="203">
        <v>121.20529999999999</v>
      </c>
      <c r="D253" s="203">
        <v>66.934179999999998</v>
      </c>
      <c r="E253" s="203">
        <v>46.581100000000006</v>
      </c>
      <c r="F253" s="203">
        <v>62</v>
      </c>
      <c r="G253" s="15">
        <v>76.31</v>
      </c>
      <c r="H253" s="5">
        <v>46</v>
      </c>
      <c r="I253" s="5">
        <v>0</v>
      </c>
      <c r="J253" s="5">
        <v>0</v>
      </c>
    </row>
    <row r="254" spans="1:10" x14ac:dyDescent="0.2">
      <c r="A254" s="36" t="s">
        <v>21</v>
      </c>
      <c r="B254" s="203"/>
      <c r="C254" s="203"/>
      <c r="D254" s="203"/>
      <c r="E254" s="203"/>
      <c r="F254" s="307"/>
      <c r="G254" s="15"/>
      <c r="H254" s="5"/>
      <c r="I254" s="5"/>
      <c r="J254" s="5"/>
    </row>
    <row r="255" spans="1:10" x14ac:dyDescent="0.2">
      <c r="A255" s="36" t="s">
        <v>22</v>
      </c>
      <c r="B255" s="101"/>
      <c r="C255" s="101"/>
      <c r="D255" s="303"/>
      <c r="E255" s="101"/>
      <c r="F255" s="310"/>
      <c r="G255" s="15"/>
      <c r="H255" s="5"/>
      <c r="I255" s="5"/>
      <c r="J255" s="5"/>
    </row>
    <row r="256" spans="1:10" x14ac:dyDescent="0.2">
      <c r="A256" s="720" t="s">
        <v>23</v>
      </c>
      <c r="B256" s="720"/>
      <c r="C256" s="720"/>
      <c r="D256" s="720"/>
      <c r="E256" s="720"/>
      <c r="F256" s="720"/>
      <c r="G256" s="15"/>
      <c r="H256" s="5"/>
      <c r="I256" s="5"/>
      <c r="J256" s="5"/>
    </row>
    <row r="257" spans="1:14" ht="38.25" customHeight="1" x14ac:dyDescent="0.2">
      <c r="A257" s="717" t="s">
        <v>323</v>
      </c>
      <c r="B257" s="718"/>
      <c r="C257" s="718"/>
      <c r="D257" s="718"/>
      <c r="E257" s="718"/>
      <c r="F257" s="718"/>
      <c r="G257" s="718"/>
      <c r="H257" s="718"/>
      <c r="I257" s="718"/>
      <c r="J257" s="719"/>
    </row>
    <row r="258" spans="1:14" x14ac:dyDescent="0.2">
      <c r="A258" s="35"/>
      <c r="B258" s="35"/>
      <c r="C258" s="35"/>
      <c r="D258" s="35"/>
      <c r="E258" s="35"/>
      <c r="F258" s="35"/>
    </row>
    <row r="259" spans="1:14" x14ac:dyDescent="0.2">
      <c r="A259" s="35"/>
      <c r="B259" s="35"/>
      <c r="C259" s="35"/>
      <c r="D259" s="35"/>
      <c r="E259" s="35"/>
      <c r="F259" s="35"/>
    </row>
    <row r="260" spans="1:14" x14ac:dyDescent="0.2">
      <c r="A260" s="311" t="s">
        <v>12</v>
      </c>
      <c r="B260" s="283" t="s">
        <v>171</v>
      </c>
    </row>
    <row r="261" spans="1:14" x14ac:dyDescent="0.2">
      <c r="A261" s="1" t="s">
        <v>14</v>
      </c>
      <c r="B261" s="137" t="s">
        <v>624</v>
      </c>
      <c r="C261" s="45" t="s">
        <v>15</v>
      </c>
    </row>
    <row r="262" spans="1:14" x14ac:dyDescent="0.2">
      <c r="A262" s="45" t="s">
        <v>16</v>
      </c>
      <c r="B262" s="45"/>
      <c r="C262" s="45">
        <v>2016</v>
      </c>
      <c r="D262" s="45">
        <v>2017</v>
      </c>
      <c r="E262" s="45">
        <v>2018</v>
      </c>
      <c r="F262" s="45">
        <v>2019</v>
      </c>
      <c r="G262" s="45">
        <v>2020</v>
      </c>
      <c r="H262" s="45">
        <v>2021</v>
      </c>
      <c r="I262" s="45">
        <v>2022</v>
      </c>
      <c r="J262" s="45">
        <v>2023</v>
      </c>
      <c r="K262" s="416">
        <v>2024</v>
      </c>
    </row>
    <row r="263" spans="1:14" x14ac:dyDescent="0.2">
      <c r="A263" s="15" t="s">
        <v>17</v>
      </c>
      <c r="B263" s="15"/>
      <c r="C263" s="5">
        <v>1348</v>
      </c>
      <c r="D263" s="5">
        <v>1348</v>
      </c>
      <c r="E263" s="5">
        <v>1348</v>
      </c>
      <c r="F263" s="5">
        <v>1348</v>
      </c>
      <c r="G263" s="5">
        <v>1348</v>
      </c>
      <c r="H263" s="5">
        <v>1348</v>
      </c>
      <c r="I263" s="5">
        <v>1348</v>
      </c>
      <c r="J263" s="5">
        <v>1348</v>
      </c>
      <c r="K263" s="409">
        <v>1348</v>
      </c>
    </row>
    <row r="264" spans="1:14" x14ac:dyDescent="0.2">
      <c r="A264" s="15" t="s">
        <v>18</v>
      </c>
      <c r="B264" s="15"/>
      <c r="C264" s="5">
        <v>2040.2</v>
      </c>
      <c r="D264" s="5">
        <v>2070.1999999999998</v>
      </c>
      <c r="E264" s="5">
        <v>2070.1999999999998</v>
      </c>
      <c r="F264" s="5">
        <v>2045.1999999999998</v>
      </c>
      <c r="G264" s="5">
        <f>G263*1.15+125+35+35+100</f>
        <v>1845.1999999999998</v>
      </c>
      <c r="H264" s="5">
        <f>H263+0.15*F263+150+35+35+200</f>
        <v>1970.2</v>
      </c>
      <c r="I264" s="5">
        <f>I263+150+35+35+250+202.2</f>
        <v>2020.2</v>
      </c>
      <c r="J264" s="5">
        <f>J263+125+35+35+327+202.2</f>
        <v>2072.1999999999998</v>
      </c>
      <c r="K264" s="409">
        <f>K263+125+35+35+280+202.2</f>
        <v>2025.2</v>
      </c>
    </row>
    <row r="265" spans="1:14" x14ac:dyDescent="0.2">
      <c r="A265" s="15" t="s">
        <v>19</v>
      </c>
      <c r="B265" s="15"/>
      <c r="C265" s="5"/>
      <c r="D265" s="5"/>
      <c r="E265" s="5"/>
      <c r="F265" s="5"/>
      <c r="G265" s="5"/>
      <c r="H265" s="5"/>
      <c r="I265" s="5"/>
      <c r="J265" s="5"/>
      <c r="K265" s="409"/>
    </row>
    <row r="266" spans="1:14" x14ac:dyDescent="0.2">
      <c r="A266" s="15" t="s">
        <v>20</v>
      </c>
      <c r="B266" s="15"/>
      <c r="C266" s="5">
        <v>1558.88</v>
      </c>
      <c r="D266" s="5">
        <v>1209.21</v>
      </c>
      <c r="E266" s="5">
        <v>786.81</v>
      </c>
      <c r="F266" s="5">
        <v>997.23400000000004</v>
      </c>
      <c r="G266" s="409">
        <v>1335.83</v>
      </c>
      <c r="H266" s="5">
        <v>1380.2959000000001</v>
      </c>
      <c r="I266" s="409">
        <v>1343.9679999999998</v>
      </c>
      <c r="J266" s="5">
        <v>1925.9659999999999</v>
      </c>
      <c r="K266" s="409"/>
    </row>
    <row r="267" spans="1:14" x14ac:dyDescent="0.2">
      <c r="A267" s="15" t="s">
        <v>21</v>
      </c>
      <c r="B267" s="15"/>
      <c r="C267" s="5">
        <v>481.32</v>
      </c>
      <c r="D267" s="5">
        <v>860.99</v>
      </c>
      <c r="E267" s="5">
        <v>1283.3900000000001</v>
      </c>
      <c r="F267" s="5">
        <v>1047.9659999999999</v>
      </c>
      <c r="G267" s="409">
        <f>G264-G266</f>
        <v>509.36999999999989</v>
      </c>
      <c r="H267" s="5">
        <f>H264-H266</f>
        <v>589.90409999999997</v>
      </c>
      <c r="I267" s="409">
        <f>I264-I266</f>
        <v>676.2320000000002</v>
      </c>
      <c r="J267" s="5">
        <f>J264-J266</f>
        <v>146.23399999999992</v>
      </c>
      <c r="K267" s="409"/>
    </row>
    <row r="268" spans="1:14" x14ac:dyDescent="0.2">
      <c r="A268" s="16" t="s">
        <v>22</v>
      </c>
      <c r="B268" s="16"/>
      <c r="C268" s="16">
        <v>2018</v>
      </c>
      <c r="D268" s="16">
        <v>2019</v>
      </c>
      <c r="E268" s="16">
        <v>2020</v>
      </c>
      <c r="F268" s="16">
        <v>2021</v>
      </c>
      <c r="G268" s="16">
        <v>2022</v>
      </c>
      <c r="H268" s="16">
        <v>2023</v>
      </c>
      <c r="I268" s="16">
        <v>2024</v>
      </c>
      <c r="J268" s="16">
        <v>2025</v>
      </c>
      <c r="K268" s="421">
        <v>2026</v>
      </c>
    </row>
    <row r="269" spans="1:14" x14ac:dyDescent="0.2">
      <c r="A269" s="51" t="s">
        <v>168</v>
      </c>
      <c r="B269" s="52"/>
      <c r="C269" s="52"/>
      <c r="D269" s="52"/>
      <c r="E269" s="52"/>
      <c r="F269" s="52"/>
      <c r="G269" s="52"/>
      <c r="H269" s="52"/>
      <c r="I269" s="52"/>
      <c r="J269" s="52"/>
      <c r="K269" s="503"/>
      <c r="L269" s="54"/>
      <c r="M269" s="54"/>
      <c r="N269" s="54"/>
    </row>
    <row r="270" spans="1:14" x14ac:dyDescent="0.2">
      <c r="A270" s="53" t="s">
        <v>169</v>
      </c>
      <c r="B270" s="54"/>
      <c r="C270" s="54"/>
      <c r="D270" s="54"/>
      <c r="E270" s="54"/>
      <c r="F270" s="54"/>
      <c r="G270" s="54"/>
      <c r="H270" s="54"/>
      <c r="I270" s="54"/>
      <c r="J270" s="54"/>
      <c r="K270" s="504"/>
      <c r="L270" s="54"/>
      <c r="M270" s="54"/>
      <c r="N270" s="54"/>
    </row>
    <row r="271" spans="1:14" x14ac:dyDescent="0.2">
      <c r="A271" s="53" t="s">
        <v>170</v>
      </c>
      <c r="B271" s="54"/>
      <c r="C271" s="54"/>
      <c r="D271" s="54"/>
      <c r="E271" s="54"/>
      <c r="F271" s="54"/>
      <c r="G271" s="54"/>
      <c r="H271" s="54"/>
      <c r="I271" s="54"/>
      <c r="J271" s="54"/>
      <c r="K271" s="504"/>
      <c r="L271" s="54"/>
      <c r="M271" s="54"/>
      <c r="N271" s="54"/>
    </row>
    <row r="272" spans="1:14" x14ac:dyDescent="0.2">
      <c r="A272" s="53" t="s">
        <v>390</v>
      </c>
      <c r="K272" s="413"/>
    </row>
    <row r="273" spans="1:12" x14ac:dyDescent="0.2">
      <c r="A273" s="53" t="s">
        <v>511</v>
      </c>
      <c r="K273" s="413"/>
    </row>
    <row r="274" spans="1:12" x14ac:dyDescent="0.2">
      <c r="A274" s="53" t="s">
        <v>512</v>
      </c>
      <c r="K274" s="413"/>
    </row>
    <row r="275" spans="1:12" x14ac:dyDescent="0.2">
      <c r="A275" s="53" t="s">
        <v>607</v>
      </c>
      <c r="K275" s="413"/>
    </row>
    <row r="276" spans="1:12" x14ac:dyDescent="0.2">
      <c r="A276" s="53" t="s">
        <v>772</v>
      </c>
      <c r="K276" s="413"/>
    </row>
    <row r="277" spans="1:12" x14ac:dyDescent="0.2">
      <c r="A277" s="502" t="s">
        <v>993</v>
      </c>
      <c r="B277" s="13"/>
      <c r="C277" s="13"/>
      <c r="D277" s="13"/>
      <c r="E277" s="13"/>
      <c r="F277" s="13"/>
      <c r="G277" s="13"/>
      <c r="H277" s="13"/>
      <c r="I277" s="13"/>
      <c r="J277" s="13"/>
      <c r="K277" s="333"/>
    </row>
    <row r="279" spans="1:12" x14ac:dyDescent="0.2">
      <c r="A279" s="43" t="s">
        <v>14</v>
      </c>
      <c r="B279" s="44" t="s">
        <v>646</v>
      </c>
      <c r="C279" s="45" t="s">
        <v>15</v>
      </c>
      <c r="E279" s="484"/>
    </row>
    <row r="280" spans="1:12" x14ac:dyDescent="0.2">
      <c r="A280" s="46" t="s">
        <v>16</v>
      </c>
      <c r="B280" s="46"/>
      <c r="C280" s="471">
        <v>2015</v>
      </c>
      <c r="D280" s="47">
        <v>2016</v>
      </c>
      <c r="E280" s="47">
        <v>2017</v>
      </c>
      <c r="F280" s="47">
        <v>2018</v>
      </c>
      <c r="G280" s="47">
        <v>2019</v>
      </c>
      <c r="H280" s="47">
        <v>2020</v>
      </c>
      <c r="I280" s="47">
        <v>2021</v>
      </c>
      <c r="J280" s="47">
        <v>2022</v>
      </c>
      <c r="K280" s="47">
        <v>2023</v>
      </c>
      <c r="L280" s="471">
        <v>2024</v>
      </c>
    </row>
    <row r="281" spans="1:12" x14ac:dyDescent="0.2">
      <c r="A281" s="46" t="s">
        <v>17</v>
      </c>
      <c r="B281" s="46"/>
      <c r="C281" s="472">
        <v>452.47</v>
      </c>
      <c r="D281" s="48">
        <v>452.47</v>
      </c>
      <c r="E281" s="48">
        <v>452.47</v>
      </c>
      <c r="F281" s="48">
        <v>530.59</v>
      </c>
      <c r="G281" s="48">
        <v>530.59</v>
      </c>
      <c r="H281" s="48">
        <v>530.59</v>
      </c>
      <c r="I281" s="48">
        <v>530.59</v>
      </c>
      <c r="J281" s="48">
        <v>558.65</v>
      </c>
      <c r="K281" s="48">
        <v>558.65</v>
      </c>
      <c r="L281" s="472">
        <v>558.65</v>
      </c>
    </row>
    <row r="282" spans="1:12" x14ac:dyDescent="0.2">
      <c r="A282" s="46" t="s">
        <v>18</v>
      </c>
      <c r="B282" s="46"/>
      <c r="C282" s="472">
        <f>C281+24.4+86.5</f>
        <v>563.37</v>
      </c>
      <c r="D282" s="472">
        <f>D281+C285+51.98</f>
        <v>534.48</v>
      </c>
      <c r="E282" s="472">
        <f>E281+0.1*D281+55.98</f>
        <v>553.697</v>
      </c>
      <c r="F282" s="48">
        <f>F281+0.1*E281+73.98</f>
        <v>649.81700000000001</v>
      </c>
      <c r="G282" s="48">
        <f>G281+0.1*F281+9.62+60.44</f>
        <v>653.70900000000006</v>
      </c>
      <c r="H282" s="48">
        <f>H281+G285+79.44+4.78</f>
        <v>635.64900000000011</v>
      </c>
      <c r="I282" s="48">
        <f>I281+H285+100.44+4.78</f>
        <v>679.85600000000022</v>
      </c>
      <c r="J282" s="48">
        <f>J281+I285+60+4.78</f>
        <v>674.7560000000002</v>
      </c>
      <c r="K282" s="48">
        <f>K281+J285+5.18+60</f>
        <v>663.41600000000017</v>
      </c>
      <c r="L282" s="472">
        <f>L281+60+K285</f>
        <v>671.75200000000018</v>
      </c>
    </row>
    <row r="283" spans="1:12" x14ac:dyDescent="0.2">
      <c r="A283" s="46" t="s">
        <v>19</v>
      </c>
      <c r="B283" s="46"/>
      <c r="C283" s="480"/>
      <c r="D283" s="49"/>
      <c r="E283" s="49"/>
      <c r="F283" s="5"/>
      <c r="G283" s="5"/>
      <c r="H283" s="5"/>
      <c r="I283" s="5"/>
      <c r="J283" s="5"/>
      <c r="K283" s="5"/>
      <c r="L283" s="409"/>
    </row>
    <row r="284" spans="1:12" x14ac:dyDescent="0.2">
      <c r="A284" s="46" t="s">
        <v>20</v>
      </c>
      <c r="B284" s="46"/>
      <c r="C284" s="472">
        <v>533.34</v>
      </c>
      <c r="D284" s="472">
        <v>473.69</v>
      </c>
      <c r="E284" s="480">
        <v>473.03</v>
      </c>
      <c r="F284" s="5">
        <v>553.98</v>
      </c>
      <c r="G284" s="5">
        <v>632.86999999999989</v>
      </c>
      <c r="H284" s="5">
        <v>591.60299999999995</v>
      </c>
      <c r="I284" s="5">
        <v>628.53</v>
      </c>
      <c r="J284" s="5">
        <v>635.16999999999996</v>
      </c>
      <c r="K284" s="5">
        <v>610.31399999999996</v>
      </c>
      <c r="L284" s="409"/>
    </row>
    <row r="285" spans="1:12" x14ac:dyDescent="0.2">
      <c r="A285" s="46" t="s">
        <v>21</v>
      </c>
      <c r="B285" s="46"/>
      <c r="C285" s="409">
        <f t="shared" ref="C285" si="18">C282-C284</f>
        <v>30.029999999999973</v>
      </c>
      <c r="D285" s="409">
        <f t="shared" ref="D285:K285" si="19">D282-D284</f>
        <v>60.79000000000002</v>
      </c>
      <c r="E285" s="409">
        <f t="shared" si="19"/>
        <v>80.66700000000003</v>
      </c>
      <c r="F285" s="5">
        <f t="shared" si="19"/>
        <v>95.836999999999989</v>
      </c>
      <c r="G285" s="5">
        <f t="shared" si="19"/>
        <v>20.839000000000169</v>
      </c>
      <c r="H285" s="5">
        <f t="shared" si="19"/>
        <v>44.046000000000163</v>
      </c>
      <c r="I285" s="5">
        <f t="shared" si="19"/>
        <v>51.326000000000249</v>
      </c>
      <c r="J285" s="5">
        <f t="shared" si="19"/>
        <v>39.58600000000024</v>
      </c>
      <c r="K285" s="5">
        <f t="shared" si="19"/>
        <v>53.102000000000203</v>
      </c>
      <c r="L285" s="409"/>
    </row>
    <row r="286" spans="1:12" x14ac:dyDescent="0.2">
      <c r="A286" s="8" t="s">
        <v>22</v>
      </c>
      <c r="B286" s="8"/>
      <c r="C286" s="482">
        <v>2016</v>
      </c>
      <c r="D286" s="436">
        <v>2017</v>
      </c>
      <c r="E286" s="50">
        <v>2018</v>
      </c>
      <c r="F286" s="16">
        <v>2019</v>
      </c>
      <c r="G286" s="16">
        <v>2020</v>
      </c>
      <c r="H286" s="16">
        <v>2021</v>
      </c>
      <c r="I286" s="16">
        <v>2022</v>
      </c>
      <c r="J286" s="16">
        <v>2023</v>
      </c>
      <c r="K286" s="16">
        <v>2024</v>
      </c>
      <c r="L286" s="421">
        <v>2025</v>
      </c>
    </row>
    <row r="287" spans="1:12" x14ac:dyDescent="0.2">
      <c r="A287" s="410" t="s">
        <v>974</v>
      </c>
      <c r="B287" s="9"/>
      <c r="C287" s="481"/>
      <c r="D287" s="481"/>
      <c r="E287" s="52"/>
      <c r="F287" s="9"/>
      <c r="G287" s="9"/>
      <c r="H287" s="9"/>
      <c r="I287" s="9"/>
      <c r="J287" s="9"/>
      <c r="K287" s="9"/>
      <c r="L287" s="412"/>
    </row>
    <row r="288" spans="1:12" x14ac:dyDescent="0.2">
      <c r="A288" s="483" t="s">
        <v>975</v>
      </c>
      <c r="B288" s="54"/>
      <c r="C288" s="54"/>
      <c r="D288" s="54"/>
      <c r="E288" s="54"/>
      <c r="F288" s="54"/>
      <c r="G288" s="54"/>
      <c r="K288" s="329"/>
      <c r="L288" s="12"/>
    </row>
    <row r="289" spans="1:16" x14ac:dyDescent="0.2">
      <c r="A289" s="483" t="s">
        <v>976</v>
      </c>
      <c r="B289" s="54"/>
      <c r="C289" s="54"/>
      <c r="D289" s="54"/>
      <c r="E289" s="54"/>
      <c r="F289" s="54"/>
      <c r="G289" s="54"/>
      <c r="K289" s="329"/>
      <c r="L289" s="12"/>
    </row>
    <row r="290" spans="1:16" x14ac:dyDescent="0.2">
      <c r="A290" s="53" t="s">
        <v>732</v>
      </c>
      <c r="B290" s="54"/>
      <c r="C290" s="54"/>
      <c r="D290" s="54"/>
      <c r="E290" s="54"/>
      <c r="F290" s="54"/>
      <c r="G290" s="54"/>
      <c r="K290" s="329"/>
      <c r="L290" s="12"/>
    </row>
    <row r="291" spans="1:16" x14ac:dyDescent="0.2">
      <c r="A291" s="10" t="s">
        <v>733</v>
      </c>
      <c r="K291" s="329"/>
      <c r="L291" s="12"/>
    </row>
    <row r="292" spans="1:16" x14ac:dyDescent="0.2">
      <c r="A292" s="10" t="s">
        <v>734</v>
      </c>
      <c r="K292" s="329"/>
      <c r="L292" s="12"/>
    </row>
    <row r="293" spans="1:16" x14ac:dyDescent="0.2">
      <c r="A293" s="10" t="s">
        <v>735</v>
      </c>
      <c r="K293" s="329"/>
      <c r="L293" s="12"/>
    </row>
    <row r="294" spans="1:16" x14ac:dyDescent="0.2">
      <c r="A294" s="10" t="s">
        <v>773</v>
      </c>
      <c r="K294" s="329"/>
      <c r="L294" s="12"/>
    </row>
    <row r="295" spans="1:16" x14ac:dyDescent="0.2">
      <c r="A295" s="10" t="s">
        <v>894</v>
      </c>
      <c r="K295" s="329"/>
      <c r="L295" s="12"/>
    </row>
    <row r="296" spans="1:16" s="329" customFormat="1" x14ac:dyDescent="0.2">
      <c r="A296" s="414" t="s">
        <v>992</v>
      </c>
      <c r="L296" s="413"/>
    </row>
    <row r="297" spans="1:16" x14ac:dyDescent="0.2">
      <c r="A297" s="1" t="s">
        <v>608</v>
      </c>
      <c r="B297" s="13"/>
      <c r="C297" s="13"/>
      <c r="D297" s="13"/>
      <c r="E297" s="13"/>
      <c r="F297" s="13"/>
      <c r="G297" s="13"/>
      <c r="H297" s="13"/>
      <c r="I297" s="13"/>
      <c r="J297" s="13"/>
      <c r="K297" s="331"/>
      <c r="L297" s="14"/>
    </row>
    <row r="300" spans="1:16" x14ac:dyDescent="0.2">
      <c r="A300" s="288" t="s">
        <v>12</v>
      </c>
      <c r="B300" s="283" t="s">
        <v>153</v>
      </c>
    </row>
    <row r="301" spans="1:16" x14ac:dyDescent="0.2">
      <c r="A301" s="136" t="s">
        <v>14</v>
      </c>
      <c r="B301" s="56" t="s">
        <v>625</v>
      </c>
      <c r="C301" s="45" t="s">
        <v>15</v>
      </c>
    </row>
    <row r="302" spans="1:16" x14ac:dyDescent="0.2">
      <c r="A302" s="343" t="s">
        <v>16</v>
      </c>
      <c r="B302" s="344">
        <v>2010</v>
      </c>
      <c r="C302" s="344">
        <v>2011</v>
      </c>
      <c r="D302" s="344">
        <v>2012</v>
      </c>
      <c r="E302" s="344">
        <v>2013</v>
      </c>
      <c r="F302" s="344">
        <v>2014</v>
      </c>
      <c r="G302" s="344">
        <v>2015</v>
      </c>
      <c r="H302" s="344">
        <v>2016</v>
      </c>
      <c r="I302" s="344">
        <v>2017</v>
      </c>
      <c r="J302" s="344">
        <v>2018</v>
      </c>
      <c r="K302" s="344">
        <v>2019</v>
      </c>
      <c r="L302" s="2">
        <v>2020</v>
      </c>
      <c r="M302" s="2">
        <v>2021</v>
      </c>
      <c r="N302" s="2">
        <v>2022</v>
      </c>
      <c r="O302" s="2">
        <v>2023</v>
      </c>
      <c r="P302" s="468">
        <v>2024</v>
      </c>
    </row>
    <row r="303" spans="1:16" x14ac:dyDescent="0.2">
      <c r="A303" s="343" t="s">
        <v>17</v>
      </c>
      <c r="B303" s="188">
        <v>200</v>
      </c>
      <c r="C303" s="188">
        <v>200</v>
      </c>
      <c r="D303" s="188">
        <v>200</v>
      </c>
      <c r="E303" s="188">
        <v>200</v>
      </c>
      <c r="F303" s="188">
        <v>200</v>
      </c>
      <c r="G303" s="188">
        <v>200</v>
      </c>
      <c r="H303" s="19">
        <v>200</v>
      </c>
      <c r="I303" s="188">
        <v>200</v>
      </c>
      <c r="J303" s="188">
        <v>200</v>
      </c>
      <c r="K303" s="188">
        <v>215</v>
      </c>
      <c r="L303" s="5">
        <v>215</v>
      </c>
      <c r="M303" s="5">
        <v>242</v>
      </c>
      <c r="N303" s="5">
        <v>242</v>
      </c>
      <c r="O303" s="5">
        <v>242</v>
      </c>
      <c r="P303" s="409">
        <v>302</v>
      </c>
    </row>
    <row r="304" spans="1:16" x14ac:dyDescent="0.2">
      <c r="A304" s="343" t="s">
        <v>18</v>
      </c>
      <c r="B304" s="188">
        <v>250</v>
      </c>
      <c r="C304" s="188">
        <v>250</v>
      </c>
      <c r="D304" s="188">
        <v>250</v>
      </c>
      <c r="E304" s="188">
        <v>250</v>
      </c>
      <c r="F304" s="188">
        <v>200</v>
      </c>
      <c r="G304" s="188">
        <v>250</v>
      </c>
      <c r="H304" s="19">
        <v>250</v>
      </c>
      <c r="I304" s="188">
        <v>250</v>
      </c>
      <c r="J304" s="188">
        <v>250</v>
      </c>
      <c r="K304" s="188">
        <v>265</v>
      </c>
      <c r="L304" s="188">
        <v>265</v>
      </c>
      <c r="M304" s="188">
        <f>M303+0.25*K303</f>
        <v>295.75</v>
      </c>
      <c r="N304" s="188">
        <f>N303+0.25*L303</f>
        <v>295.75</v>
      </c>
      <c r="O304" s="188">
        <f>O303+M307</f>
        <v>246.43</v>
      </c>
      <c r="P304" s="470">
        <f>P303+N307</f>
        <v>357.88</v>
      </c>
    </row>
    <row r="305" spans="1:17" x14ac:dyDescent="0.2">
      <c r="A305" s="343" t="s">
        <v>19</v>
      </c>
      <c r="B305" s="188"/>
      <c r="C305" s="188"/>
      <c r="D305" s="188"/>
      <c r="E305" s="188"/>
      <c r="F305" s="188"/>
      <c r="G305" s="188"/>
      <c r="H305" s="19"/>
      <c r="I305" s="19"/>
      <c r="J305" s="19"/>
      <c r="K305" s="19"/>
      <c r="L305" s="19"/>
      <c r="M305" s="5"/>
      <c r="N305" s="5"/>
      <c r="O305" s="5"/>
      <c r="P305" s="409"/>
    </row>
    <row r="306" spans="1:17" x14ac:dyDescent="0.2">
      <c r="A306" s="343" t="s">
        <v>20</v>
      </c>
      <c r="B306" s="188">
        <v>150</v>
      </c>
      <c r="C306" s="188">
        <v>101</v>
      </c>
      <c r="D306" s="188">
        <v>21</v>
      </c>
      <c r="E306" s="188">
        <v>81.085999999999999</v>
      </c>
      <c r="F306" s="188">
        <v>34.866999999999997</v>
      </c>
      <c r="G306" s="188">
        <v>20.963999999999999</v>
      </c>
      <c r="H306" s="19">
        <v>103.196</v>
      </c>
      <c r="I306" s="19">
        <v>123.654</v>
      </c>
      <c r="J306" s="19">
        <v>123.839</v>
      </c>
      <c r="K306" s="19">
        <v>129.16</v>
      </c>
      <c r="L306" s="19">
        <v>207.66</v>
      </c>
      <c r="M306" s="5">
        <v>291.32</v>
      </c>
      <c r="N306" s="5">
        <v>239.87</v>
      </c>
      <c r="O306" s="5">
        <v>190.5</v>
      </c>
      <c r="P306" s="409"/>
    </row>
    <row r="307" spans="1:17" x14ac:dyDescent="0.2">
      <c r="A307" s="343" t="s">
        <v>21</v>
      </c>
      <c r="B307" s="188">
        <v>100</v>
      </c>
      <c r="C307" s="188">
        <v>149</v>
      </c>
      <c r="D307" s="188">
        <v>229</v>
      </c>
      <c r="E307" s="188">
        <v>168.91399999999999</v>
      </c>
      <c r="F307" s="188">
        <v>165.13300000000001</v>
      </c>
      <c r="G307" s="188">
        <v>229.036</v>
      </c>
      <c r="H307" s="19">
        <v>146.804</v>
      </c>
      <c r="I307" s="19">
        <v>126.364</v>
      </c>
      <c r="J307" s="19">
        <v>126.161</v>
      </c>
      <c r="K307" s="19">
        <v>135.84</v>
      </c>
      <c r="L307" s="19">
        <f>L304-L306</f>
        <v>57.34</v>
      </c>
      <c r="M307" s="19">
        <f>M304-M306</f>
        <v>4.4300000000000068</v>
      </c>
      <c r="N307" s="19">
        <f>N304-N306</f>
        <v>55.879999999999995</v>
      </c>
      <c r="O307" s="19">
        <f>O304-O306</f>
        <v>55.930000000000007</v>
      </c>
      <c r="P307" s="409"/>
    </row>
    <row r="308" spans="1:17" x14ac:dyDescent="0.2">
      <c r="A308" s="347" t="s">
        <v>22</v>
      </c>
      <c r="B308" s="348">
        <v>2012</v>
      </c>
      <c r="C308" s="348">
        <v>2013</v>
      </c>
      <c r="D308" s="348">
        <v>2014</v>
      </c>
      <c r="E308" s="348">
        <v>2015</v>
      </c>
      <c r="F308" s="348">
        <v>2016</v>
      </c>
      <c r="G308" s="348">
        <v>2017</v>
      </c>
      <c r="H308" s="28">
        <v>2018</v>
      </c>
      <c r="I308" s="28">
        <v>2019</v>
      </c>
      <c r="J308" s="28">
        <v>2020</v>
      </c>
      <c r="K308" s="28">
        <v>2021</v>
      </c>
      <c r="L308" s="28">
        <v>2022</v>
      </c>
      <c r="M308" s="28">
        <v>2023</v>
      </c>
      <c r="N308" s="28">
        <v>2024</v>
      </c>
      <c r="O308" s="28">
        <v>2025</v>
      </c>
      <c r="P308" s="467">
        <v>2026</v>
      </c>
    </row>
    <row r="309" spans="1:17" x14ac:dyDescent="0.2">
      <c r="A309" s="712" t="s">
        <v>154</v>
      </c>
      <c r="B309" s="713"/>
      <c r="C309" s="713"/>
      <c r="D309" s="713"/>
      <c r="E309" s="713"/>
      <c r="F309" s="713"/>
      <c r="G309" s="713"/>
      <c r="H309" s="713"/>
      <c r="I309" s="713"/>
      <c r="J309" s="713"/>
      <c r="K309" s="713"/>
      <c r="L309" s="713"/>
      <c r="M309" s="713"/>
      <c r="N309" s="713"/>
      <c r="O309" s="713"/>
      <c r="P309" s="20"/>
    </row>
    <row r="310" spans="1:17" x14ac:dyDescent="0.2">
      <c r="A310" s="55" t="s">
        <v>328</v>
      </c>
      <c r="P310" s="12"/>
    </row>
    <row r="311" spans="1:17" x14ac:dyDescent="0.2">
      <c r="A311" s="55" t="s">
        <v>372</v>
      </c>
      <c r="P311" s="12"/>
    </row>
    <row r="312" spans="1:17" x14ac:dyDescent="0.2">
      <c r="A312" s="55" t="s">
        <v>373</v>
      </c>
      <c r="P312" s="12"/>
    </row>
    <row r="313" spans="1:17" x14ac:dyDescent="0.2">
      <c r="A313" s="55" t="s">
        <v>431</v>
      </c>
      <c r="P313" s="12"/>
    </row>
    <row r="314" spans="1:17" x14ac:dyDescent="0.2">
      <c r="A314" s="55" t="s">
        <v>609</v>
      </c>
      <c r="P314" s="12"/>
    </row>
    <row r="315" spans="1:17" x14ac:dyDescent="0.2">
      <c r="A315" s="55" t="s">
        <v>774</v>
      </c>
      <c r="P315" s="12"/>
    </row>
    <row r="316" spans="1:17" x14ac:dyDescent="0.2">
      <c r="A316" s="478" t="s">
        <v>1009</v>
      </c>
      <c r="B316" s="13"/>
      <c r="C316" s="13"/>
      <c r="D316" s="13"/>
      <c r="E316" s="13"/>
      <c r="F316" s="13"/>
      <c r="G316" s="13"/>
      <c r="H316" s="13"/>
      <c r="I316" s="13"/>
      <c r="J316" s="13"/>
      <c r="K316" s="13"/>
      <c r="L316" s="13"/>
      <c r="M316" s="13"/>
      <c r="N316" s="13"/>
      <c r="O316" s="13"/>
      <c r="P316" s="14"/>
    </row>
    <row r="318" spans="1:17" x14ac:dyDescent="0.2">
      <c r="A318" s="45" t="s">
        <v>14</v>
      </c>
      <c r="B318" s="45" t="s">
        <v>639</v>
      </c>
      <c r="C318" s="45" t="s">
        <v>15</v>
      </c>
      <c r="Q318" s="329"/>
    </row>
    <row r="319" spans="1:17" x14ac:dyDescent="0.2">
      <c r="A319" s="343" t="s">
        <v>16</v>
      </c>
      <c r="B319" s="344">
        <v>2010</v>
      </c>
      <c r="C319" s="344">
        <v>2011</v>
      </c>
      <c r="D319" s="344">
        <v>2012</v>
      </c>
      <c r="E319" s="344">
        <v>2013</v>
      </c>
      <c r="F319" s="344">
        <v>2014</v>
      </c>
      <c r="G319" s="344">
        <v>2015</v>
      </c>
      <c r="H319" s="344">
        <v>2016</v>
      </c>
      <c r="I319" s="344">
        <v>2017</v>
      </c>
      <c r="J319" s="344">
        <v>2018</v>
      </c>
      <c r="K319" s="344">
        <v>2019</v>
      </c>
      <c r="L319" s="344">
        <v>2020</v>
      </c>
      <c r="M319" s="2">
        <v>2021</v>
      </c>
      <c r="N319" s="2">
        <v>2022</v>
      </c>
      <c r="O319" s="2">
        <v>2023</v>
      </c>
      <c r="P319" s="2">
        <v>2024</v>
      </c>
      <c r="Q319" s="468">
        <v>2025</v>
      </c>
    </row>
    <row r="320" spans="1:17" x14ac:dyDescent="0.2">
      <c r="A320" s="343" t="s">
        <v>17</v>
      </c>
      <c r="B320" s="188">
        <v>100</v>
      </c>
      <c r="C320" s="188">
        <v>100</v>
      </c>
      <c r="D320" s="188">
        <v>100</v>
      </c>
      <c r="E320" s="188">
        <v>100</v>
      </c>
      <c r="F320" s="188">
        <v>100</v>
      </c>
      <c r="G320" s="188">
        <v>100</v>
      </c>
      <c r="H320" s="19">
        <v>100</v>
      </c>
      <c r="I320" s="188">
        <v>200</v>
      </c>
      <c r="J320" s="19">
        <v>200</v>
      </c>
      <c r="K320" s="188">
        <v>200</v>
      </c>
      <c r="L320" s="188">
        <v>200</v>
      </c>
      <c r="M320" s="19">
        <v>200</v>
      </c>
      <c r="N320" s="19">
        <v>200</v>
      </c>
      <c r="O320" s="19">
        <v>240</v>
      </c>
      <c r="P320" s="19">
        <v>240</v>
      </c>
      <c r="Q320" s="485">
        <v>240</v>
      </c>
    </row>
    <row r="321" spans="1:17" x14ac:dyDescent="0.2">
      <c r="A321" s="343" t="s">
        <v>18</v>
      </c>
      <c r="B321" s="188">
        <v>100</v>
      </c>
      <c r="C321" s="188">
        <v>100</v>
      </c>
      <c r="D321" s="188">
        <v>100</v>
      </c>
      <c r="E321" s="188">
        <v>100</v>
      </c>
      <c r="F321" s="188">
        <v>100</v>
      </c>
      <c r="G321" s="188">
        <v>125</v>
      </c>
      <c r="H321" s="19">
        <v>125</v>
      </c>
      <c r="I321" s="188">
        <f>200+G324</f>
        <v>204.595</v>
      </c>
      <c r="J321" s="188">
        <v>250</v>
      </c>
      <c r="K321" s="188">
        <f>K320+I324</f>
        <v>220.04499999999999</v>
      </c>
      <c r="L321" s="188">
        <v>250</v>
      </c>
      <c r="M321" s="19">
        <f>M320*1.25</f>
        <v>250</v>
      </c>
      <c r="N321" s="19">
        <f>N320*1.25</f>
        <v>250</v>
      </c>
      <c r="O321" s="19">
        <f>O320+0.25*M320</f>
        <v>290</v>
      </c>
      <c r="P321" s="19">
        <f>P320+2.98</f>
        <v>242.98</v>
      </c>
      <c r="Q321" s="485">
        <f>Q320+O320*0.25</f>
        <v>300</v>
      </c>
    </row>
    <row r="322" spans="1:17" x14ac:dyDescent="0.2">
      <c r="A322" s="343" t="s">
        <v>19</v>
      </c>
      <c r="B322" s="346"/>
      <c r="C322" s="346"/>
      <c r="D322" s="346"/>
      <c r="E322" s="346"/>
      <c r="F322" s="346"/>
      <c r="G322" s="346"/>
      <c r="H322" s="5"/>
      <c r="I322" s="5"/>
      <c r="J322" s="5"/>
      <c r="K322" s="5"/>
      <c r="L322" s="5"/>
      <c r="M322" s="5"/>
      <c r="N322" s="5"/>
      <c r="O322" s="5"/>
      <c r="P322" s="5"/>
      <c r="Q322" s="409"/>
    </row>
    <row r="323" spans="1:17" x14ac:dyDescent="0.2">
      <c r="A323" s="343" t="s">
        <v>20</v>
      </c>
      <c r="B323" s="188">
        <v>100</v>
      </c>
      <c r="C323" s="188">
        <v>80.05</v>
      </c>
      <c r="D323" s="188">
        <v>61.02</v>
      </c>
      <c r="E323" s="188">
        <v>65.126999999999995</v>
      </c>
      <c r="F323" s="188">
        <v>33.822000000000003</v>
      </c>
      <c r="G323" s="188">
        <v>120.405</v>
      </c>
      <c r="H323" s="19">
        <v>94.369</v>
      </c>
      <c r="I323" s="19">
        <v>184.55</v>
      </c>
      <c r="J323" s="19">
        <v>116.455</v>
      </c>
      <c r="K323" s="19">
        <v>132.07</v>
      </c>
      <c r="L323" s="19">
        <v>183.94</v>
      </c>
      <c r="M323" s="19">
        <v>9.66</v>
      </c>
      <c r="N323" s="19">
        <v>31.19</v>
      </c>
      <c r="O323" s="19">
        <v>91.44</v>
      </c>
      <c r="P323" s="19"/>
      <c r="Q323" s="485"/>
    </row>
    <row r="324" spans="1:17" x14ac:dyDescent="0.2">
      <c r="A324" s="343" t="s">
        <v>21</v>
      </c>
      <c r="B324" s="188">
        <f>B321-B323</f>
        <v>0</v>
      </c>
      <c r="C324" s="188">
        <f t="shared" ref="C324:O324" si="20">C321-C323</f>
        <v>19.950000000000003</v>
      </c>
      <c r="D324" s="188">
        <f t="shared" si="20"/>
        <v>38.979999999999997</v>
      </c>
      <c r="E324" s="188">
        <f t="shared" si="20"/>
        <v>34.873000000000005</v>
      </c>
      <c r="F324" s="188">
        <f t="shared" si="20"/>
        <v>66.177999999999997</v>
      </c>
      <c r="G324" s="188">
        <f t="shared" si="20"/>
        <v>4.5949999999999989</v>
      </c>
      <c r="H324" s="188">
        <f t="shared" si="20"/>
        <v>30.631</v>
      </c>
      <c r="I324" s="188">
        <f t="shared" si="20"/>
        <v>20.044999999999987</v>
      </c>
      <c r="J324" s="188">
        <f t="shared" si="20"/>
        <v>133.54500000000002</v>
      </c>
      <c r="K324" s="188">
        <f t="shared" si="20"/>
        <v>87.974999999999994</v>
      </c>
      <c r="L324" s="188">
        <f t="shared" si="20"/>
        <v>66.06</v>
      </c>
      <c r="M324" s="188">
        <f t="shared" si="20"/>
        <v>240.34</v>
      </c>
      <c r="N324" s="188">
        <f t="shared" si="20"/>
        <v>218.81</v>
      </c>
      <c r="O324" s="188">
        <f t="shared" si="20"/>
        <v>198.56</v>
      </c>
      <c r="P324" s="19"/>
      <c r="Q324" s="485"/>
    </row>
    <row r="325" spans="1:17" x14ac:dyDescent="0.2">
      <c r="A325" s="347" t="s">
        <v>22</v>
      </c>
      <c r="B325" s="348">
        <v>2012</v>
      </c>
      <c r="C325" s="348">
        <v>2013</v>
      </c>
      <c r="D325" s="348">
        <v>2014</v>
      </c>
      <c r="E325" s="348">
        <v>2015</v>
      </c>
      <c r="F325" s="348">
        <v>2016</v>
      </c>
      <c r="G325" s="348">
        <v>2017</v>
      </c>
      <c r="H325" s="28">
        <v>2018</v>
      </c>
      <c r="I325" s="28">
        <v>2019</v>
      </c>
      <c r="J325" s="28">
        <v>2020</v>
      </c>
      <c r="K325" s="28">
        <v>2021</v>
      </c>
      <c r="L325" s="28">
        <v>2022</v>
      </c>
      <c r="M325" s="28">
        <v>2023</v>
      </c>
      <c r="N325" s="28">
        <v>2024</v>
      </c>
      <c r="O325" s="28">
        <v>2025</v>
      </c>
      <c r="P325" s="28">
        <v>2026</v>
      </c>
      <c r="Q325" s="467">
        <v>2027</v>
      </c>
    </row>
    <row r="326" spans="1:17" x14ac:dyDescent="0.2">
      <c r="A326" s="8" t="s">
        <v>154</v>
      </c>
      <c r="B326" s="9"/>
      <c r="C326" s="9"/>
      <c r="D326" s="9"/>
      <c r="E326" s="9"/>
      <c r="F326" s="9"/>
      <c r="G326" s="9"/>
      <c r="H326" s="9"/>
      <c r="I326" s="9"/>
      <c r="J326" s="9"/>
      <c r="K326" s="9"/>
      <c r="L326" s="9"/>
      <c r="M326" s="9"/>
      <c r="N326" s="9"/>
      <c r="O326" s="9"/>
      <c r="P326" s="7"/>
      <c r="Q326" s="412"/>
    </row>
    <row r="327" spans="1:17" x14ac:dyDescent="0.2">
      <c r="A327" s="345" t="s">
        <v>155</v>
      </c>
      <c r="B327" s="9"/>
      <c r="C327" s="9"/>
      <c r="D327" s="9"/>
      <c r="E327" s="9"/>
      <c r="F327" s="9"/>
      <c r="G327" s="9"/>
      <c r="H327" s="9"/>
      <c r="I327" s="9"/>
      <c r="J327" s="9"/>
      <c r="K327" s="9"/>
      <c r="L327" s="9"/>
      <c r="M327" s="9"/>
      <c r="N327" s="9"/>
      <c r="O327" s="9"/>
      <c r="P327" s="9"/>
      <c r="Q327" s="412"/>
    </row>
    <row r="328" spans="1:17" x14ac:dyDescent="0.2">
      <c r="A328" s="55" t="s">
        <v>336</v>
      </c>
      <c r="Q328" s="413"/>
    </row>
    <row r="329" spans="1:17" x14ac:dyDescent="0.2">
      <c r="A329" s="55" t="s">
        <v>156</v>
      </c>
      <c r="Q329" s="413"/>
    </row>
    <row r="330" spans="1:17" x14ac:dyDescent="0.2">
      <c r="A330" s="55" t="s">
        <v>337</v>
      </c>
      <c r="Q330" s="413"/>
    </row>
    <row r="331" spans="1:17" x14ac:dyDescent="0.2">
      <c r="A331" s="55" t="s">
        <v>432</v>
      </c>
      <c r="Q331" s="413"/>
    </row>
    <row r="332" spans="1:17" x14ac:dyDescent="0.2">
      <c r="A332" s="55" t="s">
        <v>578</v>
      </c>
      <c r="Q332" s="413"/>
    </row>
    <row r="333" spans="1:17" x14ac:dyDescent="0.2">
      <c r="A333" s="55" t="s">
        <v>775</v>
      </c>
      <c r="Q333" s="413"/>
    </row>
    <row r="334" spans="1:17" x14ac:dyDescent="0.2">
      <c r="A334" s="55" t="s">
        <v>932</v>
      </c>
      <c r="Q334" s="413"/>
    </row>
    <row r="335" spans="1:17" x14ac:dyDescent="0.2">
      <c r="A335" s="478" t="s">
        <v>1143</v>
      </c>
      <c r="B335" s="13"/>
      <c r="C335" s="13"/>
      <c r="D335" s="13"/>
      <c r="E335" s="13"/>
      <c r="F335" s="13"/>
      <c r="G335" s="13"/>
      <c r="H335" s="13"/>
      <c r="I335" s="13"/>
      <c r="J335" s="13"/>
      <c r="K335" s="13"/>
      <c r="L335" s="13"/>
      <c r="M335" s="13"/>
      <c r="N335" s="13"/>
      <c r="O335" s="13"/>
      <c r="P335" s="13"/>
      <c r="Q335" s="333"/>
    </row>
    <row r="337" spans="1:16" x14ac:dyDescent="0.2">
      <c r="A337" s="43" t="s">
        <v>14</v>
      </c>
      <c r="B337" s="56" t="s">
        <v>624</v>
      </c>
      <c r="C337" s="56" t="s">
        <v>15</v>
      </c>
    </row>
    <row r="338" spans="1:16" x14ac:dyDescent="0.2">
      <c r="A338" s="349" t="s">
        <v>16</v>
      </c>
      <c r="B338" s="350">
        <v>2010</v>
      </c>
      <c r="C338" s="344">
        <v>2011</v>
      </c>
      <c r="D338" s="344">
        <v>2012</v>
      </c>
      <c r="E338" s="344">
        <v>2013</v>
      </c>
      <c r="F338" s="344">
        <v>2014</v>
      </c>
      <c r="G338" s="344">
        <v>2015</v>
      </c>
      <c r="H338" s="344">
        <v>2016</v>
      </c>
      <c r="I338" s="344">
        <v>2017</v>
      </c>
      <c r="J338" s="344">
        <v>2018</v>
      </c>
      <c r="K338" s="344">
        <v>2019</v>
      </c>
      <c r="L338" s="344">
        <v>2020</v>
      </c>
      <c r="M338" s="2">
        <v>2021</v>
      </c>
      <c r="N338" s="2">
        <v>2022</v>
      </c>
      <c r="O338" s="2">
        <v>2023</v>
      </c>
      <c r="P338" s="468">
        <v>2024</v>
      </c>
    </row>
    <row r="339" spans="1:16" x14ac:dyDescent="0.2">
      <c r="A339" s="343" t="s">
        <v>17</v>
      </c>
      <c r="B339" s="188">
        <v>75</v>
      </c>
      <c r="C339" s="188">
        <v>75</v>
      </c>
      <c r="D339" s="188">
        <v>75</v>
      </c>
      <c r="E339" s="188">
        <v>75</v>
      </c>
      <c r="F339" s="188">
        <v>75</v>
      </c>
      <c r="G339" s="188">
        <v>75</v>
      </c>
      <c r="H339" s="188">
        <v>75</v>
      </c>
      <c r="I339" s="188">
        <v>75</v>
      </c>
      <c r="J339" s="19">
        <v>100</v>
      </c>
      <c r="K339" s="188">
        <v>100</v>
      </c>
      <c r="L339" s="188">
        <v>100</v>
      </c>
      <c r="M339" s="19">
        <v>100</v>
      </c>
      <c r="N339" s="19">
        <v>100</v>
      </c>
      <c r="O339" s="19">
        <v>100</v>
      </c>
      <c r="P339" s="485">
        <v>100</v>
      </c>
    </row>
    <row r="340" spans="1:16" x14ac:dyDescent="0.2">
      <c r="A340" s="343" t="s">
        <v>18</v>
      </c>
      <c r="B340" s="188">
        <v>79</v>
      </c>
      <c r="C340" s="188">
        <v>80</v>
      </c>
      <c r="D340" s="188">
        <v>105.3</v>
      </c>
      <c r="E340" s="188">
        <v>100</v>
      </c>
      <c r="F340" s="188">
        <v>100</v>
      </c>
      <c r="G340" s="19">
        <v>104.054</v>
      </c>
      <c r="H340" s="188">
        <v>137.5</v>
      </c>
      <c r="I340" s="188">
        <v>88</v>
      </c>
      <c r="J340" s="19">
        <v>90.442999999999998</v>
      </c>
      <c r="K340" s="188">
        <f>K339-12.726+6.69</f>
        <v>93.963999999999999</v>
      </c>
      <c r="L340" s="188">
        <v>103.95</v>
      </c>
      <c r="M340" s="19">
        <f>M339+K343</f>
        <v>102.404</v>
      </c>
      <c r="N340" s="19">
        <f>N339+L343</f>
        <v>107.78</v>
      </c>
      <c r="O340" s="19">
        <f>O339+0.15*M339</f>
        <v>115</v>
      </c>
      <c r="P340" s="485">
        <f>P339+0.15*N339</f>
        <v>115</v>
      </c>
    </row>
    <row r="341" spans="1:16" x14ac:dyDescent="0.2">
      <c r="A341" s="343" t="s">
        <v>19</v>
      </c>
      <c r="B341" s="188"/>
      <c r="C341" s="188"/>
      <c r="D341" s="188"/>
      <c r="E341" s="188"/>
      <c r="F341" s="188"/>
      <c r="G341" s="19"/>
      <c r="H341" s="19"/>
      <c r="I341" s="19"/>
      <c r="J341" s="351"/>
      <c r="K341" s="19"/>
      <c r="L341" s="19"/>
      <c r="M341" s="19"/>
      <c r="N341" s="19"/>
      <c r="O341" s="19"/>
      <c r="P341" s="485"/>
    </row>
    <row r="342" spans="1:16" x14ac:dyDescent="0.2">
      <c r="A342" s="343" t="s">
        <v>20</v>
      </c>
      <c r="B342" s="188">
        <v>74</v>
      </c>
      <c r="C342" s="188">
        <v>74.7</v>
      </c>
      <c r="D342" s="188">
        <v>59</v>
      </c>
      <c r="E342" s="188">
        <v>95.945999999999998</v>
      </c>
      <c r="F342" s="188">
        <v>60.292999999999999</v>
      </c>
      <c r="G342" s="19">
        <v>140.78</v>
      </c>
      <c r="H342" s="19">
        <v>135.05699999999999</v>
      </c>
      <c r="I342" s="19">
        <v>81.31</v>
      </c>
      <c r="J342" s="19">
        <v>86.498000000000005</v>
      </c>
      <c r="K342" s="19">
        <v>91.56</v>
      </c>
      <c r="L342" s="19">
        <v>96.17</v>
      </c>
      <c r="M342" s="19">
        <v>58.583999999999996</v>
      </c>
      <c r="N342" s="19">
        <v>37.61</v>
      </c>
      <c r="O342" s="19">
        <v>105</v>
      </c>
      <c r="P342" s="485"/>
    </row>
    <row r="343" spans="1:16" x14ac:dyDescent="0.2">
      <c r="A343" s="343" t="s">
        <v>21</v>
      </c>
      <c r="B343" s="188">
        <v>5</v>
      </c>
      <c r="C343" s="188">
        <v>5.3</v>
      </c>
      <c r="D343" s="188">
        <v>46.3</v>
      </c>
      <c r="E343" s="188">
        <v>4.0540000000000003</v>
      </c>
      <c r="F343" s="188">
        <v>39.707000000000001</v>
      </c>
      <c r="G343" s="19">
        <v>-36.725999999999999</v>
      </c>
      <c r="H343" s="19">
        <v>2.4430000000000001</v>
      </c>
      <c r="I343" s="19">
        <v>6.6899999999999977</v>
      </c>
      <c r="J343" s="19">
        <v>3.9449999999999998</v>
      </c>
      <c r="K343" s="19">
        <f>K340-K342</f>
        <v>2.4039999999999964</v>
      </c>
      <c r="L343" s="19">
        <f>L340-L342</f>
        <v>7.7800000000000011</v>
      </c>
      <c r="M343" s="19">
        <f>M340-M342</f>
        <v>43.82</v>
      </c>
      <c r="N343" s="19">
        <f>N340-N342</f>
        <v>70.17</v>
      </c>
      <c r="O343" s="19">
        <f>O340-O342</f>
        <v>10</v>
      </c>
      <c r="P343" s="485"/>
    </row>
    <row r="344" spans="1:16" x14ac:dyDescent="0.2">
      <c r="A344" s="347" t="s">
        <v>22</v>
      </c>
      <c r="B344" s="348">
        <v>2011</v>
      </c>
      <c r="C344" s="348">
        <v>2012</v>
      </c>
      <c r="D344" s="348">
        <v>2014</v>
      </c>
      <c r="E344" s="348">
        <v>2015</v>
      </c>
      <c r="F344" s="348">
        <v>2016</v>
      </c>
      <c r="G344" s="28">
        <v>2017</v>
      </c>
      <c r="H344" s="28">
        <v>2018</v>
      </c>
      <c r="I344" s="28">
        <v>2019</v>
      </c>
      <c r="J344" s="28">
        <v>2020</v>
      </c>
      <c r="K344" s="28">
        <v>2021</v>
      </c>
      <c r="L344" s="28">
        <v>2022</v>
      </c>
      <c r="M344" s="16">
        <v>2023</v>
      </c>
      <c r="N344" s="16">
        <v>2024</v>
      </c>
      <c r="O344" s="16">
        <v>2025</v>
      </c>
      <c r="P344" s="421">
        <v>2026</v>
      </c>
    </row>
    <row r="345" spans="1:16" x14ac:dyDescent="0.2">
      <c r="A345" s="8" t="s">
        <v>154</v>
      </c>
      <c r="B345" s="9"/>
      <c r="C345" s="9"/>
      <c r="D345" s="9"/>
      <c r="E345" s="9"/>
      <c r="F345" s="9"/>
      <c r="G345" s="9"/>
      <c r="H345" s="9"/>
      <c r="I345" s="9"/>
      <c r="J345" s="9"/>
      <c r="K345" s="9"/>
      <c r="L345" s="9"/>
      <c r="M345" s="9"/>
      <c r="N345" s="9"/>
      <c r="O345" s="7"/>
      <c r="P345" s="412"/>
    </row>
    <row r="346" spans="1:16" x14ac:dyDescent="0.2">
      <c r="A346" s="712" t="s">
        <v>433</v>
      </c>
      <c r="B346" s="713"/>
      <c r="C346" s="713"/>
      <c r="D346" s="713"/>
      <c r="E346" s="713"/>
      <c r="F346" s="713"/>
      <c r="G346" s="713"/>
      <c r="H346" s="713"/>
      <c r="I346" s="713"/>
      <c r="J346" s="713"/>
      <c r="K346" s="713"/>
      <c r="L346" s="713"/>
      <c r="M346" s="713"/>
      <c r="N346" s="254"/>
      <c r="O346" s="254"/>
      <c r="P346" s="512"/>
    </row>
    <row r="347" spans="1:16" x14ac:dyDescent="0.2">
      <c r="A347" s="55" t="s">
        <v>338</v>
      </c>
      <c r="P347" s="413"/>
    </row>
    <row r="348" spans="1:16" x14ac:dyDescent="0.2">
      <c r="A348" s="10" t="s">
        <v>157</v>
      </c>
      <c r="P348" s="413"/>
    </row>
    <row r="349" spans="1:16" x14ac:dyDescent="0.2">
      <c r="A349" s="10" t="s">
        <v>434</v>
      </c>
      <c r="P349" s="413"/>
    </row>
    <row r="350" spans="1:16" x14ac:dyDescent="0.2">
      <c r="A350" s="10" t="s">
        <v>435</v>
      </c>
      <c r="P350" s="413"/>
    </row>
    <row r="351" spans="1:16" x14ac:dyDescent="0.2">
      <c r="A351" s="10" t="s">
        <v>610</v>
      </c>
      <c r="P351" s="413"/>
    </row>
    <row r="352" spans="1:16" x14ac:dyDescent="0.2">
      <c r="A352" s="10" t="s">
        <v>776</v>
      </c>
      <c r="P352" s="413"/>
    </row>
    <row r="353" spans="1:16" x14ac:dyDescent="0.2">
      <c r="A353" s="415" t="s">
        <v>1010</v>
      </c>
      <c r="B353" s="13"/>
      <c r="C353" s="13"/>
      <c r="D353" s="13"/>
      <c r="E353" s="13"/>
      <c r="F353" s="13"/>
      <c r="G353" s="13"/>
      <c r="H353" s="13"/>
      <c r="I353" s="13"/>
      <c r="J353" s="13"/>
      <c r="K353" s="13"/>
      <c r="L353" s="13"/>
      <c r="M353" s="13"/>
      <c r="N353" s="13"/>
      <c r="O353" s="13"/>
      <c r="P353" s="333"/>
    </row>
    <row r="355" spans="1:16" x14ac:dyDescent="0.2">
      <c r="A355" s="43" t="s">
        <v>14</v>
      </c>
      <c r="B355" s="56" t="s">
        <v>642</v>
      </c>
      <c r="C355" s="56" t="s">
        <v>15</v>
      </c>
    </row>
    <row r="356" spans="1:16" x14ac:dyDescent="0.2">
      <c r="A356" s="343" t="s">
        <v>16</v>
      </c>
      <c r="B356" s="344">
        <v>2010</v>
      </c>
      <c r="C356" s="344">
        <v>2011</v>
      </c>
      <c r="D356" s="344">
        <v>2012</v>
      </c>
      <c r="E356" s="344">
        <v>2013</v>
      </c>
      <c r="F356" s="344">
        <v>2014</v>
      </c>
      <c r="G356" s="344">
        <v>2015</v>
      </c>
      <c r="H356" s="344">
        <v>2016</v>
      </c>
      <c r="I356" s="344">
        <v>2017</v>
      </c>
      <c r="J356" s="2">
        <v>2018</v>
      </c>
      <c r="K356" s="344">
        <v>2019</v>
      </c>
      <c r="L356" s="344">
        <v>2020</v>
      </c>
      <c r="M356" s="2">
        <v>2021</v>
      </c>
      <c r="N356" s="2">
        <v>2022</v>
      </c>
      <c r="O356" s="2">
        <v>2023</v>
      </c>
      <c r="P356" s="468">
        <v>2024</v>
      </c>
    </row>
    <row r="357" spans="1:16" x14ac:dyDescent="0.2">
      <c r="A357" s="343" t="s">
        <v>17</v>
      </c>
      <c r="B357" s="188">
        <v>263</v>
      </c>
      <c r="C357" s="188">
        <v>263</v>
      </c>
      <c r="D357" s="188">
        <v>263</v>
      </c>
      <c r="E357" s="188">
        <v>263</v>
      </c>
      <c r="F357" s="188">
        <v>263</v>
      </c>
      <c r="G357" s="188">
        <v>263</v>
      </c>
      <c r="H357" s="188">
        <v>263</v>
      </c>
      <c r="I357" s="188">
        <v>313</v>
      </c>
      <c r="J357" s="19">
        <v>313</v>
      </c>
      <c r="K357" s="188">
        <v>313</v>
      </c>
      <c r="L357" s="188">
        <v>313</v>
      </c>
      <c r="M357" s="188">
        <v>313</v>
      </c>
      <c r="N357" s="188">
        <v>313</v>
      </c>
      <c r="O357" s="188">
        <v>313</v>
      </c>
      <c r="P357" s="470">
        <v>313</v>
      </c>
    </row>
    <row r="358" spans="1:16" x14ac:dyDescent="0.2">
      <c r="A358" s="343" t="s">
        <v>18</v>
      </c>
      <c r="B358" s="188">
        <v>393</v>
      </c>
      <c r="C358" s="188">
        <v>362</v>
      </c>
      <c r="D358" s="188">
        <v>377.49</v>
      </c>
      <c r="E358" s="188">
        <v>263</v>
      </c>
      <c r="F358" s="188">
        <v>324.99</v>
      </c>
      <c r="G358" s="19">
        <v>330.03800000000001</v>
      </c>
      <c r="H358" s="188">
        <v>341.9</v>
      </c>
      <c r="I358" s="188">
        <v>315.34399999999999</v>
      </c>
      <c r="J358" s="19">
        <v>391.9</v>
      </c>
      <c r="K358" s="188">
        <v>326.76</v>
      </c>
      <c r="L358" s="188">
        <v>350.05</v>
      </c>
      <c r="M358" s="5">
        <f>M357+0.2*K357</f>
        <v>375.6</v>
      </c>
      <c r="N358" s="5">
        <f>N357+0.2*L357</f>
        <v>375.6</v>
      </c>
      <c r="O358" s="5">
        <f>O357+0.1*M357</f>
        <v>344.3</v>
      </c>
      <c r="P358" s="409">
        <f>P357+0.1*N357</f>
        <v>344.3</v>
      </c>
    </row>
    <row r="359" spans="1:16" x14ac:dyDescent="0.2">
      <c r="A359" s="343" t="s">
        <v>19</v>
      </c>
      <c r="B359" s="188"/>
      <c r="C359" s="188"/>
      <c r="D359" s="188"/>
      <c r="E359" s="188"/>
      <c r="F359" s="188"/>
      <c r="G359" s="19"/>
      <c r="H359" s="19"/>
      <c r="I359" s="19"/>
      <c r="J359" s="19"/>
      <c r="K359" s="19"/>
      <c r="L359" s="19"/>
      <c r="M359" s="15"/>
      <c r="N359" s="15"/>
      <c r="O359" s="15"/>
      <c r="P359" s="408"/>
    </row>
    <row r="360" spans="1:16" x14ac:dyDescent="0.2">
      <c r="A360" s="343" t="s">
        <v>20</v>
      </c>
      <c r="B360" s="188">
        <v>294</v>
      </c>
      <c r="C360" s="188">
        <v>247.51</v>
      </c>
      <c r="D360" s="188">
        <v>315.5</v>
      </c>
      <c r="E360" s="188">
        <v>195.96199999999999</v>
      </c>
      <c r="F360" s="188">
        <v>205.89400000000001</v>
      </c>
      <c r="G360" s="19">
        <v>327.69600000000003</v>
      </c>
      <c r="H360" s="19">
        <v>222.22</v>
      </c>
      <c r="I360" s="19">
        <v>301.58</v>
      </c>
      <c r="J360" s="19">
        <v>354.85</v>
      </c>
      <c r="K360" s="19">
        <v>210.91</v>
      </c>
      <c r="L360" s="19">
        <v>88.54</v>
      </c>
      <c r="M360" s="15">
        <v>36.729999999999997</v>
      </c>
      <c r="N360" s="15">
        <v>187.61</v>
      </c>
      <c r="O360" s="15">
        <v>109.44</v>
      </c>
      <c r="P360" s="408"/>
    </row>
    <row r="361" spans="1:16" x14ac:dyDescent="0.2">
      <c r="A361" s="343" t="s">
        <v>21</v>
      </c>
      <c r="B361" s="188">
        <v>99</v>
      </c>
      <c r="C361" s="188">
        <v>114.49</v>
      </c>
      <c r="D361" s="188">
        <v>61.99</v>
      </c>
      <c r="E361" s="188">
        <v>67.037999999999997</v>
      </c>
      <c r="F361" s="188">
        <v>119.096</v>
      </c>
      <c r="G361" s="19">
        <v>2.3439999999999999</v>
      </c>
      <c r="H361" s="19">
        <v>119.68</v>
      </c>
      <c r="I361" s="19">
        <v>13.759999999999991</v>
      </c>
      <c r="J361" s="19">
        <v>37.049999999999997</v>
      </c>
      <c r="K361" s="19">
        <f>K358-K360</f>
        <v>115.85</v>
      </c>
      <c r="L361" s="19">
        <f>L358-L360</f>
        <v>261.51</v>
      </c>
      <c r="M361" s="19">
        <f>M358-M360</f>
        <v>338.87</v>
      </c>
      <c r="N361" s="19">
        <f>N358-N360</f>
        <v>187.99</v>
      </c>
      <c r="O361" s="19">
        <f>O358-O360</f>
        <v>234.86</v>
      </c>
      <c r="P361" s="485"/>
    </row>
    <row r="362" spans="1:16" x14ac:dyDescent="0.2">
      <c r="A362" s="347" t="s">
        <v>22</v>
      </c>
      <c r="B362" s="352">
        <v>2011</v>
      </c>
      <c r="C362" s="352">
        <v>2012</v>
      </c>
      <c r="D362" s="352">
        <v>2014</v>
      </c>
      <c r="E362" s="352">
        <v>2015</v>
      </c>
      <c r="F362" s="352">
        <v>2016</v>
      </c>
      <c r="G362" s="313">
        <v>2017</v>
      </c>
      <c r="H362" s="313">
        <v>2018</v>
      </c>
      <c r="I362" s="313">
        <v>2019</v>
      </c>
      <c r="J362" s="313">
        <v>2020</v>
      </c>
      <c r="K362" s="313">
        <v>2021</v>
      </c>
      <c r="L362" s="313">
        <v>2022</v>
      </c>
      <c r="M362" s="210">
        <v>2023</v>
      </c>
      <c r="N362" s="210">
        <v>2024</v>
      </c>
      <c r="O362" s="210">
        <v>2025</v>
      </c>
      <c r="P362" s="522">
        <v>2026</v>
      </c>
    </row>
    <row r="363" spans="1:16" x14ac:dyDescent="0.2">
      <c r="A363" s="46" t="s">
        <v>154</v>
      </c>
      <c r="B363" s="254"/>
      <c r="C363" s="254"/>
      <c r="D363" s="254"/>
      <c r="E363" s="254"/>
      <c r="F363" s="254"/>
      <c r="G363" s="254"/>
      <c r="H363" s="254"/>
      <c r="I363" s="254"/>
      <c r="J363" s="254"/>
      <c r="K363" s="254"/>
      <c r="L363" s="254"/>
      <c r="M363" s="254"/>
      <c r="N363" s="254"/>
      <c r="O363" s="254"/>
      <c r="P363" s="512"/>
    </row>
    <row r="364" spans="1:16" x14ac:dyDescent="0.2">
      <c r="A364" s="55" t="s">
        <v>158</v>
      </c>
      <c r="P364" s="413"/>
    </row>
    <row r="365" spans="1:16" x14ac:dyDescent="0.2">
      <c r="A365" s="55" t="s">
        <v>339</v>
      </c>
      <c r="P365" s="413"/>
    </row>
    <row r="366" spans="1:16" x14ac:dyDescent="0.2">
      <c r="A366" s="55" t="s">
        <v>340</v>
      </c>
      <c r="P366" s="413"/>
    </row>
    <row r="367" spans="1:16" x14ac:dyDescent="0.2">
      <c r="A367" s="55" t="s">
        <v>436</v>
      </c>
      <c r="P367" s="413"/>
    </row>
    <row r="368" spans="1:16" x14ac:dyDescent="0.2">
      <c r="A368" s="55" t="s">
        <v>611</v>
      </c>
      <c r="P368" s="413"/>
    </row>
    <row r="369" spans="1:16" x14ac:dyDescent="0.2">
      <c r="A369" s="55" t="s">
        <v>777</v>
      </c>
      <c r="P369" s="413"/>
    </row>
    <row r="370" spans="1:16" x14ac:dyDescent="0.2">
      <c r="A370" s="415" t="s">
        <v>1011</v>
      </c>
      <c r="B370" s="13"/>
      <c r="C370" s="13"/>
      <c r="D370" s="13"/>
      <c r="E370" s="13"/>
      <c r="F370" s="13"/>
      <c r="G370" s="13"/>
      <c r="H370" s="13"/>
      <c r="I370" s="13"/>
      <c r="J370" s="13"/>
      <c r="K370" s="13"/>
      <c r="L370" s="13"/>
      <c r="M370" s="13"/>
      <c r="N370" s="13"/>
      <c r="O370" s="13"/>
      <c r="P370" s="333"/>
    </row>
    <row r="372" spans="1:16" x14ac:dyDescent="0.2">
      <c r="A372" s="43" t="s">
        <v>14</v>
      </c>
      <c r="B372" s="56" t="s">
        <v>66</v>
      </c>
      <c r="C372" s="56" t="s">
        <v>15</v>
      </c>
    </row>
    <row r="373" spans="1:16" x14ac:dyDescent="0.2">
      <c r="A373" s="349" t="s">
        <v>16</v>
      </c>
      <c r="B373" s="350">
        <v>2010</v>
      </c>
      <c r="C373" s="344">
        <v>2011</v>
      </c>
      <c r="D373" s="344">
        <v>2012</v>
      </c>
      <c r="E373" s="344">
        <v>2013</v>
      </c>
      <c r="F373" s="344">
        <v>2014</v>
      </c>
      <c r="G373" s="344">
        <v>2015</v>
      </c>
      <c r="H373" s="344">
        <v>2016</v>
      </c>
      <c r="I373" s="344">
        <v>2017</v>
      </c>
      <c r="J373" s="344">
        <v>2018</v>
      </c>
      <c r="K373" s="2">
        <v>2019</v>
      </c>
      <c r="L373" s="2">
        <v>2020</v>
      </c>
      <c r="M373" s="2">
        <v>2021</v>
      </c>
      <c r="N373" s="2">
        <v>2022</v>
      </c>
      <c r="O373" s="2">
        <v>2023</v>
      </c>
      <c r="P373" s="468">
        <v>2024</v>
      </c>
    </row>
    <row r="374" spans="1:16" x14ac:dyDescent="0.2">
      <c r="A374" s="343" t="s">
        <v>17</v>
      </c>
      <c r="B374" s="188">
        <v>5900</v>
      </c>
      <c r="C374" s="188">
        <v>5572</v>
      </c>
      <c r="D374" s="188">
        <v>5572</v>
      </c>
      <c r="E374" s="188">
        <v>5572</v>
      </c>
      <c r="F374" s="188">
        <v>5572</v>
      </c>
      <c r="G374" s="188">
        <v>5572</v>
      </c>
      <c r="H374" s="188">
        <v>5376</v>
      </c>
      <c r="I374" s="188">
        <v>5376</v>
      </c>
      <c r="J374" s="19">
        <v>5376</v>
      </c>
      <c r="K374" s="19">
        <v>5376</v>
      </c>
      <c r="L374" s="19">
        <v>4462.08</v>
      </c>
      <c r="M374" s="19">
        <v>4390.6867200000006</v>
      </c>
      <c r="N374" s="19">
        <v>4426.38</v>
      </c>
      <c r="O374" s="19">
        <v>4426.38</v>
      </c>
      <c r="P374" s="485">
        <v>4426.38</v>
      </c>
    </row>
    <row r="375" spans="1:16" x14ac:dyDescent="0.2">
      <c r="A375" s="343" t="s">
        <v>18</v>
      </c>
      <c r="B375" s="188">
        <v>9670</v>
      </c>
      <c r="C375" s="188">
        <v>8572</v>
      </c>
      <c r="D375" s="188">
        <v>10173</v>
      </c>
      <c r="E375" s="188">
        <v>8502</v>
      </c>
      <c r="F375" s="188">
        <v>10173.6</v>
      </c>
      <c r="G375" s="188">
        <v>10173.6</v>
      </c>
      <c r="H375" s="188">
        <v>7182.4</v>
      </c>
      <c r="I375" s="188">
        <v>7182.4</v>
      </c>
      <c r="J375" s="188">
        <v>7182.4</v>
      </c>
      <c r="K375" s="19">
        <v>7182.4</v>
      </c>
      <c r="L375" s="19">
        <f>L374+0.15*J374+600</f>
        <v>5868.48</v>
      </c>
      <c r="M375" s="19">
        <f>M374+0.1*K374+600</f>
        <v>5528.286720000001</v>
      </c>
      <c r="N375" s="19">
        <f>N374+0.1*L374+600</f>
        <v>5472.5879999999997</v>
      </c>
      <c r="O375" s="19">
        <f>O374+0.1*M374+600</f>
        <v>5465.4486720000004</v>
      </c>
      <c r="P375" s="485">
        <f>P374+0.1*N374+600</f>
        <v>5469.018</v>
      </c>
    </row>
    <row r="376" spans="1:16" x14ac:dyDescent="0.2">
      <c r="A376" s="343" t="s">
        <v>19</v>
      </c>
      <c r="B376" s="343"/>
      <c r="C376" s="343"/>
      <c r="D376" s="343"/>
      <c r="E376" s="343"/>
      <c r="F376" s="343"/>
      <c r="G376" s="15"/>
      <c r="H376" s="15"/>
      <c r="I376" s="15"/>
      <c r="J376" s="198"/>
      <c r="K376" s="15"/>
      <c r="L376" s="15"/>
      <c r="M376" s="15"/>
      <c r="N376" s="15"/>
      <c r="O376" s="15"/>
      <c r="P376" s="408"/>
    </row>
    <row r="377" spans="1:16" x14ac:dyDescent="0.2">
      <c r="A377" s="343" t="s">
        <v>20</v>
      </c>
      <c r="B377" s="188">
        <v>5489</v>
      </c>
      <c r="C377" s="188">
        <v>3720.78</v>
      </c>
      <c r="D377" s="188">
        <v>3231</v>
      </c>
      <c r="E377" s="188">
        <v>2371.0340000000001</v>
      </c>
      <c r="F377" s="188">
        <v>2231.75</v>
      </c>
      <c r="G377" s="19">
        <v>4941.848</v>
      </c>
      <c r="H377" s="19">
        <v>5852.39</v>
      </c>
      <c r="I377" s="19">
        <v>5514.3580000000002</v>
      </c>
      <c r="J377" s="19">
        <v>4823.0860000000002</v>
      </c>
      <c r="K377" s="19">
        <v>5718.49</v>
      </c>
      <c r="L377" s="19">
        <v>3613.58</v>
      </c>
      <c r="M377" s="19">
        <v>1638.49</v>
      </c>
      <c r="N377" s="19">
        <v>3248.94</v>
      </c>
      <c r="O377" s="19">
        <v>5415.3</v>
      </c>
      <c r="P377" s="485"/>
    </row>
    <row r="378" spans="1:16" x14ac:dyDescent="0.2">
      <c r="A378" s="343" t="s">
        <v>21</v>
      </c>
      <c r="B378" s="188">
        <v>4181</v>
      </c>
      <c r="C378" s="188">
        <v>4581.22</v>
      </c>
      <c r="D378" s="188">
        <v>6942</v>
      </c>
      <c r="E378" s="188">
        <v>6130.6959999999999</v>
      </c>
      <c r="F378" s="188">
        <v>7941.85</v>
      </c>
      <c r="G378" s="19">
        <v>5232.116</v>
      </c>
      <c r="H378" s="19">
        <v>1330.01</v>
      </c>
      <c r="I378" s="19">
        <v>1449.932</v>
      </c>
      <c r="J378" s="19">
        <v>2359.3139999999999</v>
      </c>
      <c r="K378" s="19">
        <f>K375-K377</f>
        <v>1463.9099999999999</v>
      </c>
      <c r="L378" s="19">
        <f>L375-L377</f>
        <v>2254.8999999999996</v>
      </c>
      <c r="M378" s="19">
        <f>M375-M377</f>
        <v>3889.7967200000012</v>
      </c>
      <c r="N378" s="19">
        <f>N375-N377</f>
        <v>2223.6479999999997</v>
      </c>
      <c r="O378" s="19">
        <f>O375-O377</f>
        <v>50.148672000000261</v>
      </c>
      <c r="P378" s="485"/>
    </row>
    <row r="379" spans="1:16" x14ac:dyDescent="0.2">
      <c r="A379" s="347" t="s">
        <v>22</v>
      </c>
      <c r="B379" s="347">
        <v>2012</v>
      </c>
      <c r="C379" s="347">
        <v>2013</v>
      </c>
      <c r="D379" s="347">
        <v>2014</v>
      </c>
      <c r="E379" s="347">
        <v>2015</v>
      </c>
      <c r="F379" s="347">
        <v>2016</v>
      </c>
      <c r="G379" s="16">
        <v>2017</v>
      </c>
      <c r="H379" s="16">
        <v>2018</v>
      </c>
      <c r="I379" s="16">
        <v>2019</v>
      </c>
      <c r="J379" s="16">
        <v>2020</v>
      </c>
      <c r="K379" s="16">
        <v>2021</v>
      </c>
      <c r="L379" s="16">
        <v>2022</v>
      </c>
      <c r="M379" s="16">
        <v>2023</v>
      </c>
      <c r="N379" s="421">
        <v>2024</v>
      </c>
      <c r="O379" s="421">
        <v>2025</v>
      </c>
      <c r="P379" s="421">
        <v>2026</v>
      </c>
    </row>
    <row r="380" spans="1:16" x14ac:dyDescent="0.2">
      <c r="A380" s="46" t="s">
        <v>154</v>
      </c>
      <c r="B380" s="254"/>
      <c r="C380" s="254"/>
      <c r="D380" s="254"/>
      <c r="E380" s="254"/>
      <c r="F380" s="254"/>
      <c r="G380" s="254"/>
      <c r="H380" s="254"/>
      <c r="I380" s="254"/>
      <c r="J380" s="254"/>
      <c r="K380" s="254"/>
      <c r="L380" s="254"/>
      <c r="M380" s="254"/>
      <c r="N380" s="254"/>
      <c r="O380" s="254"/>
      <c r="P380" s="512"/>
    </row>
    <row r="381" spans="1:16" x14ac:dyDescent="0.2">
      <c r="A381" s="55" t="s">
        <v>159</v>
      </c>
      <c r="P381" s="413"/>
    </row>
    <row r="382" spans="1:16" x14ac:dyDescent="0.2">
      <c r="A382" s="55" t="s">
        <v>160</v>
      </c>
      <c r="P382" s="413"/>
    </row>
    <row r="383" spans="1:16" x14ac:dyDescent="0.2">
      <c r="A383" s="55" t="s">
        <v>437</v>
      </c>
      <c r="P383" s="413"/>
    </row>
    <row r="384" spans="1:16" x14ac:dyDescent="0.2">
      <c r="A384" s="55" t="s">
        <v>590</v>
      </c>
      <c r="P384" s="413"/>
    </row>
    <row r="385" spans="1:16" x14ac:dyDescent="0.2">
      <c r="A385" s="55" t="s">
        <v>612</v>
      </c>
      <c r="P385" s="413"/>
    </row>
    <row r="386" spans="1:16" x14ac:dyDescent="0.2">
      <c r="A386" s="55" t="s">
        <v>778</v>
      </c>
      <c r="P386" s="413"/>
    </row>
    <row r="387" spans="1:16" x14ac:dyDescent="0.2">
      <c r="A387" s="478" t="s">
        <v>1012</v>
      </c>
      <c r="B387" s="13"/>
      <c r="C387" s="13"/>
      <c r="D387" s="13"/>
      <c r="E387" s="13"/>
      <c r="F387" s="13"/>
      <c r="G387" s="13"/>
      <c r="H387" s="13"/>
      <c r="I387" s="13"/>
      <c r="J387" s="13"/>
      <c r="K387" s="13"/>
      <c r="L387" s="13"/>
      <c r="M387" s="13"/>
      <c r="N387" s="13"/>
      <c r="O387" s="13"/>
      <c r="P387" s="333"/>
    </row>
    <row r="389" spans="1:16" x14ac:dyDescent="0.2">
      <c r="A389" s="43" t="s">
        <v>14</v>
      </c>
      <c r="B389" s="56" t="s">
        <v>74</v>
      </c>
      <c r="C389" s="56" t="s">
        <v>15</v>
      </c>
    </row>
    <row r="390" spans="1:16" x14ac:dyDescent="0.2">
      <c r="A390" s="349" t="s">
        <v>16</v>
      </c>
      <c r="B390" s="350">
        <v>2010</v>
      </c>
      <c r="C390" s="344">
        <v>2011</v>
      </c>
      <c r="D390" s="344">
        <v>2012</v>
      </c>
      <c r="E390" s="344">
        <v>2013</v>
      </c>
      <c r="F390" s="344">
        <v>2014</v>
      </c>
      <c r="G390" s="344">
        <v>2015</v>
      </c>
      <c r="H390" s="344">
        <v>2016</v>
      </c>
      <c r="I390" s="344">
        <v>2017</v>
      </c>
      <c r="J390" s="344">
        <v>2018</v>
      </c>
      <c r="K390" s="2">
        <v>2019</v>
      </c>
      <c r="L390" s="2">
        <v>2020</v>
      </c>
      <c r="M390" s="2">
        <v>2021</v>
      </c>
      <c r="N390" s="2">
        <v>2022</v>
      </c>
      <c r="O390" s="468">
        <v>2023</v>
      </c>
      <c r="P390" s="468">
        <v>2024</v>
      </c>
    </row>
    <row r="391" spans="1:16" x14ac:dyDescent="0.2">
      <c r="A391" s="343" t="s">
        <v>17</v>
      </c>
      <c r="B391" s="188">
        <v>100.5</v>
      </c>
      <c r="C391" s="188">
        <v>100.5</v>
      </c>
      <c r="D391" s="188">
        <v>100.5</v>
      </c>
      <c r="E391" s="188">
        <v>45</v>
      </c>
      <c r="F391" s="188">
        <v>45</v>
      </c>
      <c r="G391" s="188">
        <v>45</v>
      </c>
      <c r="H391" s="188">
        <v>45</v>
      </c>
      <c r="I391" s="188">
        <v>45</v>
      </c>
      <c r="J391" s="19">
        <v>45</v>
      </c>
      <c r="K391" s="19">
        <v>45</v>
      </c>
      <c r="L391" s="19">
        <v>37.9</v>
      </c>
      <c r="M391" s="19">
        <v>37.9</v>
      </c>
      <c r="N391" s="19">
        <v>37.9</v>
      </c>
      <c r="O391" s="485">
        <v>37.9</v>
      </c>
      <c r="P391" s="485">
        <v>37.9</v>
      </c>
    </row>
    <row r="392" spans="1:16" x14ac:dyDescent="0.2">
      <c r="A392" s="343" t="s">
        <v>18</v>
      </c>
      <c r="B392" s="188">
        <v>100.5</v>
      </c>
      <c r="C392" s="188">
        <v>100.5</v>
      </c>
      <c r="D392" s="188">
        <v>100.5</v>
      </c>
      <c r="E392" s="188">
        <v>45</v>
      </c>
      <c r="F392" s="188">
        <v>45</v>
      </c>
      <c r="G392" s="188">
        <v>45</v>
      </c>
      <c r="H392" s="188">
        <v>50.34</v>
      </c>
      <c r="I392" s="188">
        <v>45.585000000000001</v>
      </c>
      <c r="J392" s="188">
        <v>45.628999999999998</v>
      </c>
      <c r="K392" s="19">
        <v>50.27</v>
      </c>
      <c r="L392" s="19">
        <f>L391+J395</f>
        <v>41.338000000000001</v>
      </c>
      <c r="M392" s="19">
        <f>M391+K395</f>
        <v>41.77</v>
      </c>
      <c r="N392" s="19"/>
      <c r="O392" s="485"/>
      <c r="P392" s="485"/>
    </row>
    <row r="393" spans="1:16" x14ac:dyDescent="0.2">
      <c r="A393" s="343" t="s">
        <v>19</v>
      </c>
      <c r="B393" s="343"/>
      <c r="C393" s="343"/>
      <c r="D393" s="343"/>
      <c r="E393" s="343"/>
      <c r="F393" s="343"/>
      <c r="G393" s="15"/>
      <c r="H393" s="15"/>
      <c r="I393" s="15"/>
      <c r="J393" s="15"/>
      <c r="K393" s="15"/>
      <c r="L393" s="15"/>
      <c r="M393" s="15"/>
      <c r="N393" s="15"/>
      <c r="O393" s="408"/>
      <c r="P393" s="408"/>
    </row>
    <row r="394" spans="1:16" x14ac:dyDescent="0.2">
      <c r="A394" s="343" t="s">
        <v>20</v>
      </c>
      <c r="B394" s="188">
        <v>77</v>
      </c>
      <c r="C394" s="188">
        <v>99.5</v>
      </c>
      <c r="D394" s="188">
        <v>35</v>
      </c>
      <c r="E394" s="188">
        <v>44.86</v>
      </c>
      <c r="F394" s="188">
        <v>39.659999999999997</v>
      </c>
      <c r="G394" s="19">
        <v>44.414999999999999</v>
      </c>
      <c r="H394" s="19">
        <v>49.710999999999999</v>
      </c>
      <c r="I394" s="19">
        <v>40.31</v>
      </c>
      <c r="J394" s="19">
        <v>42.191000000000003</v>
      </c>
      <c r="K394" s="19">
        <v>46.4</v>
      </c>
      <c r="L394" s="19">
        <v>37.24</v>
      </c>
      <c r="M394" s="19">
        <v>4.03</v>
      </c>
      <c r="N394" s="19">
        <v>10.41</v>
      </c>
      <c r="O394" s="485">
        <v>35.4</v>
      </c>
      <c r="P394" s="485"/>
    </row>
    <row r="395" spans="1:16" x14ac:dyDescent="0.2">
      <c r="A395" s="343" t="s">
        <v>21</v>
      </c>
      <c r="B395" s="188">
        <v>23.5</v>
      </c>
      <c r="C395" s="188">
        <v>1</v>
      </c>
      <c r="D395" s="188">
        <v>65.5</v>
      </c>
      <c r="E395" s="188">
        <v>0.14199999999999999</v>
      </c>
      <c r="F395" s="188">
        <v>5.34</v>
      </c>
      <c r="G395" s="19">
        <v>0.58499999999999996</v>
      </c>
      <c r="H395" s="19">
        <v>0.629</v>
      </c>
      <c r="I395" s="19">
        <v>5.269999999999996</v>
      </c>
      <c r="J395" s="19">
        <v>3.4380000000000002</v>
      </c>
      <c r="K395" s="19">
        <f>K392-K394</f>
        <v>3.8700000000000045</v>
      </c>
      <c r="L395" s="19">
        <f>L392-L394</f>
        <v>4.097999999999999</v>
      </c>
      <c r="M395" s="19">
        <f>M392-M394</f>
        <v>37.74</v>
      </c>
      <c r="N395" s="19">
        <f>N391-N394</f>
        <v>27.49</v>
      </c>
      <c r="O395" s="485">
        <f>O391-O394</f>
        <v>2.5</v>
      </c>
      <c r="P395" s="485"/>
    </row>
    <row r="396" spans="1:16" x14ac:dyDescent="0.2">
      <c r="A396" s="347" t="s">
        <v>22</v>
      </c>
      <c r="B396" s="348" t="s">
        <v>161</v>
      </c>
      <c r="C396" s="348" t="s">
        <v>161</v>
      </c>
      <c r="D396" s="348" t="s">
        <v>161</v>
      </c>
      <c r="E396" s="348">
        <v>2015</v>
      </c>
      <c r="F396" s="348">
        <v>2016</v>
      </c>
      <c r="G396" s="28">
        <v>2017</v>
      </c>
      <c r="H396" s="28">
        <v>2018</v>
      </c>
      <c r="I396" s="28">
        <v>2019</v>
      </c>
      <c r="J396" s="28">
        <v>2020</v>
      </c>
      <c r="K396" s="28">
        <v>2021</v>
      </c>
      <c r="L396" s="348"/>
      <c r="M396" s="348"/>
      <c r="N396" s="348"/>
      <c r="O396" s="523"/>
      <c r="P396" s="523"/>
    </row>
    <row r="397" spans="1:16" x14ac:dyDescent="0.2">
      <c r="A397" s="8" t="s">
        <v>154</v>
      </c>
      <c r="B397" s="9"/>
      <c r="C397" s="9"/>
      <c r="D397" s="9"/>
      <c r="E397" s="9"/>
      <c r="F397" s="9"/>
      <c r="G397" s="9"/>
      <c r="H397" s="9"/>
      <c r="I397" s="9"/>
      <c r="J397" s="9"/>
      <c r="K397" s="9"/>
      <c r="L397" s="9"/>
      <c r="M397" s="9"/>
      <c r="N397" s="7"/>
      <c r="O397" s="412"/>
      <c r="P397" s="412"/>
    </row>
    <row r="398" spans="1:16" x14ac:dyDescent="0.2">
      <c r="A398" s="46" t="s">
        <v>613</v>
      </c>
      <c r="B398" s="254"/>
      <c r="C398" s="254"/>
      <c r="D398" s="254"/>
      <c r="E398" s="254"/>
      <c r="F398" s="254"/>
      <c r="G398" s="254"/>
      <c r="H398" s="254"/>
      <c r="I398" s="254"/>
      <c r="J398" s="254"/>
      <c r="K398" s="254"/>
      <c r="L398" s="254"/>
      <c r="M398" s="254"/>
      <c r="N398" s="254"/>
      <c r="O398" s="524"/>
      <c r="P398" s="512"/>
    </row>
    <row r="399" spans="1:16" x14ac:dyDescent="0.2">
      <c r="A399" s="55" t="s">
        <v>162</v>
      </c>
      <c r="O399" s="329"/>
      <c r="P399" s="413"/>
    </row>
    <row r="400" spans="1:16" x14ac:dyDescent="0.2">
      <c r="A400" s="55" t="s">
        <v>341</v>
      </c>
      <c r="O400" s="329"/>
      <c r="P400" s="413"/>
    </row>
    <row r="401" spans="1:16" x14ac:dyDescent="0.2">
      <c r="A401" s="10" t="s">
        <v>342</v>
      </c>
      <c r="O401" s="329"/>
      <c r="P401" s="413"/>
    </row>
    <row r="402" spans="1:16" x14ac:dyDescent="0.2">
      <c r="A402" s="10" t="s">
        <v>438</v>
      </c>
      <c r="O402" s="329"/>
      <c r="P402" s="413"/>
    </row>
    <row r="403" spans="1:16" x14ac:dyDescent="0.2">
      <c r="A403" s="1" t="s">
        <v>779</v>
      </c>
      <c r="B403" s="13"/>
      <c r="C403" s="13"/>
      <c r="D403" s="13"/>
      <c r="E403" s="13"/>
      <c r="F403" s="13"/>
      <c r="G403" s="13"/>
      <c r="H403" s="13"/>
      <c r="I403" s="13"/>
      <c r="J403" s="13"/>
      <c r="K403" s="13"/>
      <c r="L403" s="13"/>
      <c r="M403" s="13"/>
      <c r="N403" s="13"/>
      <c r="O403" s="331"/>
      <c r="P403" s="333"/>
    </row>
    <row r="405" spans="1:16" x14ac:dyDescent="0.2">
      <c r="A405" s="43" t="s">
        <v>14</v>
      </c>
      <c r="B405" s="56" t="s">
        <v>79</v>
      </c>
      <c r="C405" s="56" t="s">
        <v>15</v>
      </c>
    </row>
    <row r="406" spans="1:16" x14ac:dyDescent="0.2">
      <c r="A406" s="349" t="s">
        <v>16</v>
      </c>
      <c r="B406" s="350">
        <v>2010</v>
      </c>
      <c r="C406" s="344">
        <v>2011</v>
      </c>
      <c r="D406" s="344">
        <v>2012</v>
      </c>
      <c r="E406" s="344">
        <v>2013</v>
      </c>
      <c r="F406" s="344">
        <v>2014</v>
      </c>
      <c r="G406" s="344">
        <v>2015</v>
      </c>
      <c r="H406" s="344">
        <v>2016</v>
      </c>
      <c r="I406" s="344">
        <v>2017</v>
      </c>
      <c r="J406" s="344">
        <v>2018</v>
      </c>
      <c r="K406" s="2">
        <v>2019</v>
      </c>
      <c r="L406" s="2">
        <v>2020</v>
      </c>
      <c r="M406" s="2">
        <v>2021</v>
      </c>
      <c r="N406" s="2">
        <v>2022</v>
      </c>
      <c r="O406" s="468">
        <v>2023</v>
      </c>
      <c r="P406" s="468">
        <v>2024</v>
      </c>
    </row>
    <row r="407" spans="1:16" x14ac:dyDescent="0.2">
      <c r="A407" s="343" t="s">
        <v>17</v>
      </c>
      <c r="B407" s="188">
        <v>9.9</v>
      </c>
      <c r="C407" s="188">
        <v>9.9</v>
      </c>
      <c r="D407" s="188">
        <v>9.9</v>
      </c>
      <c r="E407" s="188">
        <v>10</v>
      </c>
      <c r="F407" s="188">
        <v>10</v>
      </c>
      <c r="G407" s="188">
        <v>10</v>
      </c>
      <c r="H407" s="19">
        <v>10</v>
      </c>
      <c r="I407" s="19">
        <v>10</v>
      </c>
      <c r="J407" s="19">
        <v>10</v>
      </c>
      <c r="K407" s="19">
        <v>10</v>
      </c>
      <c r="L407" s="19">
        <v>10</v>
      </c>
      <c r="M407" s="19">
        <v>10</v>
      </c>
      <c r="N407" s="19">
        <v>10</v>
      </c>
      <c r="O407" s="485">
        <v>10</v>
      </c>
      <c r="P407" s="485">
        <v>10</v>
      </c>
    </row>
    <row r="408" spans="1:16" x14ac:dyDescent="0.2">
      <c r="A408" s="343" t="s">
        <v>18</v>
      </c>
      <c r="B408" s="188">
        <v>9.9</v>
      </c>
      <c r="C408" s="188">
        <v>9.9</v>
      </c>
      <c r="D408" s="188">
        <v>9.9</v>
      </c>
      <c r="E408" s="188">
        <v>10</v>
      </c>
      <c r="F408" s="188">
        <v>10</v>
      </c>
      <c r="G408" s="188">
        <v>12</v>
      </c>
      <c r="H408" s="19">
        <v>12</v>
      </c>
      <c r="I408" s="19">
        <v>12</v>
      </c>
      <c r="J408" s="188">
        <v>12</v>
      </c>
      <c r="K408" s="19">
        <v>12</v>
      </c>
      <c r="L408" s="19">
        <f>L407*1.2</f>
        <v>12</v>
      </c>
      <c r="M408" s="19">
        <f>M407*1.2</f>
        <v>12</v>
      </c>
      <c r="N408" s="19"/>
      <c r="O408" s="485"/>
      <c r="P408" s="485"/>
    </row>
    <row r="409" spans="1:16" x14ac:dyDescent="0.2">
      <c r="A409" s="343" t="s">
        <v>19</v>
      </c>
      <c r="B409" s="343"/>
      <c r="C409" s="343"/>
      <c r="D409" s="343"/>
      <c r="E409" s="343"/>
      <c r="F409" s="343"/>
      <c r="G409" s="15"/>
      <c r="H409" s="15"/>
      <c r="I409" s="15"/>
      <c r="J409" s="15"/>
      <c r="K409" s="15"/>
      <c r="L409" s="15"/>
      <c r="M409" s="15"/>
      <c r="N409" s="15"/>
      <c r="O409" s="408"/>
      <c r="P409" s="408"/>
    </row>
    <row r="410" spans="1:16" x14ac:dyDescent="0.2">
      <c r="A410" s="343" t="s">
        <v>20</v>
      </c>
      <c r="B410" s="188">
        <v>8</v>
      </c>
      <c r="C410" s="188">
        <v>0.73</v>
      </c>
      <c r="D410" s="188">
        <v>0.21</v>
      </c>
      <c r="E410" s="188">
        <v>2.1179999999999999</v>
      </c>
      <c r="F410" s="188">
        <v>0</v>
      </c>
      <c r="G410" s="19">
        <v>0.34799999999999998</v>
      </c>
      <c r="H410" s="19">
        <v>0.26300000000000001</v>
      </c>
      <c r="I410" s="19">
        <v>2.5299999999999998</v>
      </c>
      <c r="J410" s="19">
        <v>3.23</v>
      </c>
      <c r="K410" s="19">
        <v>2.88</v>
      </c>
      <c r="L410" s="19">
        <v>1.81</v>
      </c>
      <c r="M410" s="19">
        <v>1.57</v>
      </c>
      <c r="N410" s="19">
        <v>2.13</v>
      </c>
      <c r="O410" s="485">
        <v>1.5</v>
      </c>
      <c r="P410" s="485"/>
    </row>
    <row r="411" spans="1:16" x14ac:dyDescent="0.2">
      <c r="A411" s="343" t="s">
        <v>21</v>
      </c>
      <c r="B411" s="188">
        <v>1.9</v>
      </c>
      <c r="C411" s="188">
        <v>9.17</v>
      </c>
      <c r="D411" s="188">
        <v>9.69</v>
      </c>
      <c r="E411" s="188">
        <v>7.8819999999999997</v>
      </c>
      <c r="F411" s="188">
        <v>10</v>
      </c>
      <c r="G411" s="19">
        <v>11.651999999999999</v>
      </c>
      <c r="H411" s="19">
        <v>11.737</v>
      </c>
      <c r="I411" s="19">
        <v>9.4700000000000006</v>
      </c>
      <c r="J411" s="19">
        <v>8.77</v>
      </c>
      <c r="K411" s="19">
        <f>K408-K410</f>
        <v>9.120000000000001</v>
      </c>
      <c r="L411" s="19">
        <f>L408-L410</f>
        <v>10.19</v>
      </c>
      <c r="M411" s="19">
        <f>M408-M410</f>
        <v>10.43</v>
      </c>
      <c r="N411" s="19">
        <f>N407-N410</f>
        <v>7.87</v>
      </c>
      <c r="O411" s="485">
        <f>O407-O410</f>
        <v>8.5</v>
      </c>
      <c r="P411" s="485"/>
    </row>
    <row r="412" spans="1:16" x14ac:dyDescent="0.2">
      <c r="A412" s="347" t="s">
        <v>22</v>
      </c>
      <c r="B412" s="348" t="s">
        <v>161</v>
      </c>
      <c r="C412" s="348" t="s">
        <v>161</v>
      </c>
      <c r="D412" s="348" t="s">
        <v>161</v>
      </c>
      <c r="E412" s="348">
        <v>2015</v>
      </c>
      <c r="F412" s="348">
        <v>2016</v>
      </c>
      <c r="G412" s="28">
        <v>2017</v>
      </c>
      <c r="H412" s="28">
        <v>2018</v>
      </c>
      <c r="I412" s="28">
        <v>2019</v>
      </c>
      <c r="J412" s="28">
        <v>2020</v>
      </c>
      <c r="K412" s="28">
        <v>2021</v>
      </c>
      <c r="L412" s="348"/>
      <c r="M412" s="348"/>
      <c r="N412" s="348"/>
      <c r="O412" s="523"/>
      <c r="P412" s="523"/>
    </row>
    <row r="413" spans="1:16" x14ac:dyDescent="0.2">
      <c r="A413" s="46" t="s">
        <v>154</v>
      </c>
      <c r="B413" s="254"/>
      <c r="C413" s="254"/>
      <c r="D413" s="254"/>
      <c r="E413" s="254"/>
      <c r="F413" s="254"/>
      <c r="G413" s="254"/>
      <c r="H413" s="254"/>
      <c r="I413" s="254"/>
      <c r="J413" s="254"/>
      <c r="K413" s="254"/>
      <c r="L413" s="254"/>
      <c r="M413" s="254"/>
      <c r="N413" s="254"/>
      <c r="O413" s="524"/>
      <c r="P413" s="512"/>
    </row>
    <row r="414" spans="1:16" x14ac:dyDescent="0.2">
      <c r="A414" s="10" t="s">
        <v>614</v>
      </c>
      <c r="O414" s="329"/>
      <c r="P414" s="413"/>
    </row>
    <row r="415" spans="1:16" x14ac:dyDescent="0.2">
      <c r="A415" s="10" t="s">
        <v>163</v>
      </c>
      <c r="O415" s="329"/>
      <c r="P415" s="413"/>
    </row>
    <row r="416" spans="1:16" x14ac:dyDescent="0.2">
      <c r="A416" s="10" t="s">
        <v>343</v>
      </c>
      <c r="O416" s="329"/>
      <c r="P416" s="413"/>
    </row>
    <row r="417" spans="1:16" x14ac:dyDescent="0.2">
      <c r="A417" s="10" t="s">
        <v>439</v>
      </c>
      <c r="O417" s="329"/>
      <c r="P417" s="413"/>
    </row>
    <row r="418" spans="1:16" x14ac:dyDescent="0.2">
      <c r="A418" s="1" t="s">
        <v>779</v>
      </c>
      <c r="B418" s="13"/>
      <c r="C418" s="13"/>
      <c r="D418" s="13"/>
      <c r="E418" s="13"/>
      <c r="F418" s="13"/>
      <c r="G418" s="13"/>
      <c r="H418" s="13"/>
      <c r="I418" s="13"/>
      <c r="J418" s="13"/>
      <c r="K418" s="13"/>
      <c r="L418" s="13"/>
      <c r="M418" s="13"/>
      <c r="N418" s="13"/>
      <c r="O418" s="331"/>
      <c r="P418" s="333"/>
    </row>
    <row r="421" spans="1:16" x14ac:dyDescent="0.2">
      <c r="A421" s="288" t="s">
        <v>12</v>
      </c>
      <c r="B421" s="283" t="s">
        <v>85</v>
      </c>
    </row>
    <row r="422" spans="1:16" x14ac:dyDescent="0.2">
      <c r="A422" s="43" t="s">
        <v>14</v>
      </c>
      <c r="B422" s="56" t="s">
        <v>625</v>
      </c>
      <c r="C422" s="45" t="s">
        <v>15</v>
      </c>
    </row>
    <row r="423" spans="1:16" x14ac:dyDescent="0.2">
      <c r="A423" s="46" t="s">
        <v>16</v>
      </c>
      <c r="B423" s="2">
        <v>2015</v>
      </c>
      <c r="C423" s="57">
        <v>2016</v>
      </c>
      <c r="D423" s="2">
        <v>2017</v>
      </c>
      <c r="E423" s="58">
        <v>2018</v>
      </c>
      <c r="F423" s="58">
        <v>2019</v>
      </c>
      <c r="G423" s="2">
        <v>2020</v>
      </c>
      <c r="H423" s="2">
        <v>2021</v>
      </c>
      <c r="I423" s="2">
        <v>2022</v>
      </c>
      <c r="J423" s="2">
        <v>2023</v>
      </c>
      <c r="K423" s="468">
        <v>2024</v>
      </c>
    </row>
    <row r="424" spans="1:16" x14ac:dyDescent="0.2">
      <c r="A424" s="46" t="s">
        <v>17</v>
      </c>
      <c r="B424" s="19">
        <v>3271.7</v>
      </c>
      <c r="C424" s="59">
        <v>3271.7</v>
      </c>
      <c r="D424" s="19">
        <v>3271.7</v>
      </c>
      <c r="E424" s="3">
        <v>3926</v>
      </c>
      <c r="F424" s="3">
        <v>3926</v>
      </c>
      <c r="G424" s="19">
        <v>3926</v>
      </c>
      <c r="H424" s="19">
        <v>4416.8999999999996</v>
      </c>
      <c r="I424" s="19">
        <v>4416.8999999999996</v>
      </c>
      <c r="J424" s="19">
        <v>4416.8999999999996</v>
      </c>
      <c r="K424" s="485">
        <v>5521.1</v>
      </c>
    </row>
    <row r="425" spans="1:16" x14ac:dyDescent="0.2">
      <c r="A425" s="46" t="s">
        <v>18</v>
      </c>
      <c r="B425" s="19">
        <v>3789.62</v>
      </c>
      <c r="C425" s="59">
        <v>3789.62</v>
      </c>
      <c r="D425" s="19">
        <v>3789.62</v>
      </c>
      <c r="E425" s="3">
        <v>4281.62</v>
      </c>
      <c r="F425" s="3">
        <v>4543.9250000000002</v>
      </c>
      <c r="G425" s="3">
        <v>4707.5</v>
      </c>
      <c r="H425" s="3">
        <f>H424+0.25*F424-200</f>
        <v>5198.3999999999996</v>
      </c>
      <c r="I425" s="3">
        <f>I424+0.25*G424-200</f>
        <v>5198.3999999999996</v>
      </c>
      <c r="J425" s="3">
        <f>J424+0.25*H424-200</f>
        <v>5321.125</v>
      </c>
      <c r="K425" s="330">
        <f>K424+0.25*I424-200</f>
        <v>6425.3250000000007</v>
      </c>
    </row>
    <row r="426" spans="1:16" ht="25.5" x14ac:dyDescent="0.2">
      <c r="A426" s="46" t="s">
        <v>19</v>
      </c>
      <c r="B426" s="60" t="s">
        <v>86</v>
      </c>
      <c r="C426" s="60" t="s">
        <v>86</v>
      </c>
      <c r="D426" s="60" t="s">
        <v>86</v>
      </c>
      <c r="E426" s="61" t="s">
        <v>87</v>
      </c>
      <c r="F426" s="61" t="s">
        <v>391</v>
      </c>
      <c r="G426" s="61" t="s">
        <v>392</v>
      </c>
      <c r="H426" s="61" t="s">
        <v>442</v>
      </c>
      <c r="I426" s="61" t="s">
        <v>442</v>
      </c>
      <c r="J426" s="61" t="s">
        <v>781</v>
      </c>
      <c r="K426" s="486" t="s">
        <v>978</v>
      </c>
    </row>
    <row r="427" spans="1:16" x14ac:dyDescent="0.2">
      <c r="A427" s="46" t="s">
        <v>20</v>
      </c>
      <c r="B427" s="19">
        <v>2857</v>
      </c>
      <c r="C427" s="59">
        <v>3134</v>
      </c>
      <c r="D427" s="19">
        <v>2385</v>
      </c>
      <c r="E427" s="19">
        <v>2926</v>
      </c>
      <c r="F427" s="3">
        <v>2770</v>
      </c>
      <c r="G427" s="19">
        <v>3549</v>
      </c>
      <c r="H427" s="19">
        <v>2896</v>
      </c>
      <c r="I427" s="19">
        <v>2806</v>
      </c>
      <c r="J427" s="19">
        <v>2782</v>
      </c>
      <c r="K427" s="485"/>
    </row>
    <row r="428" spans="1:16" x14ac:dyDescent="0.2">
      <c r="A428" s="46" t="s">
        <v>21</v>
      </c>
      <c r="B428" s="19">
        <v>932.62</v>
      </c>
      <c r="C428" s="59">
        <v>655.62</v>
      </c>
      <c r="D428" s="19">
        <v>1404.62</v>
      </c>
      <c r="E428" s="19">
        <v>1355.62</v>
      </c>
      <c r="F428" s="3">
        <v>1773.9250000000002</v>
      </c>
      <c r="G428" s="3">
        <f>G425-G427</f>
        <v>1158.5</v>
      </c>
      <c r="H428" s="3">
        <f>H425-H427</f>
        <v>2302.3999999999996</v>
      </c>
      <c r="I428" s="3">
        <f>I425-I427</f>
        <v>2392.3999999999996</v>
      </c>
      <c r="J428" s="19">
        <f>J425-J427</f>
        <v>2539.125</v>
      </c>
      <c r="K428" s="485"/>
    </row>
    <row r="429" spans="1:16" x14ac:dyDescent="0.2">
      <c r="A429" s="8" t="s">
        <v>22</v>
      </c>
      <c r="B429" s="28">
        <v>2017</v>
      </c>
      <c r="C429" s="62">
        <v>2018</v>
      </c>
      <c r="D429" s="28">
        <v>2019</v>
      </c>
      <c r="E429" s="29">
        <v>2020</v>
      </c>
      <c r="F429" s="29">
        <v>2021</v>
      </c>
      <c r="G429" s="28">
        <v>2022</v>
      </c>
      <c r="H429" s="28">
        <v>2023</v>
      </c>
      <c r="I429" s="28">
        <v>2024</v>
      </c>
      <c r="J429" s="28">
        <v>2025</v>
      </c>
      <c r="K429" s="467">
        <v>2026</v>
      </c>
    </row>
    <row r="430" spans="1:16" x14ac:dyDescent="0.2">
      <c r="A430" s="8" t="s">
        <v>23</v>
      </c>
      <c r="B430" s="9"/>
      <c r="C430" s="9"/>
      <c r="D430" s="9"/>
      <c r="E430" s="9"/>
      <c r="F430" s="9"/>
      <c r="G430" s="9"/>
      <c r="H430" s="9"/>
      <c r="I430" s="9"/>
      <c r="J430" s="7"/>
      <c r="K430" s="412"/>
    </row>
    <row r="431" spans="1:16" x14ac:dyDescent="0.2">
      <c r="A431" s="8" t="s">
        <v>88</v>
      </c>
      <c r="B431" s="9"/>
      <c r="C431" s="9"/>
      <c r="D431" s="9"/>
      <c r="E431" s="9"/>
      <c r="F431" s="9"/>
      <c r="G431" s="9"/>
      <c r="H431" s="9"/>
      <c r="I431" s="9"/>
      <c r="J431" s="9"/>
      <c r="K431" s="412"/>
    </row>
    <row r="432" spans="1:16" x14ac:dyDescent="0.2">
      <c r="A432" s="701" t="s">
        <v>393</v>
      </c>
      <c r="B432" s="702"/>
      <c r="C432" s="702"/>
      <c r="D432" s="702"/>
      <c r="E432" s="702"/>
      <c r="F432" s="702"/>
      <c r="G432" s="702"/>
      <c r="K432" s="413"/>
    </row>
    <row r="433" spans="1:13" x14ac:dyDescent="0.2">
      <c r="A433" s="10" t="s">
        <v>344</v>
      </c>
      <c r="K433" s="413"/>
    </row>
    <row r="434" spans="1:13" x14ac:dyDescent="0.2">
      <c r="A434" s="10" t="s">
        <v>394</v>
      </c>
      <c r="K434" s="413"/>
    </row>
    <row r="435" spans="1:13" x14ac:dyDescent="0.2">
      <c r="A435" s="10" t="s">
        <v>440</v>
      </c>
      <c r="K435" s="413"/>
    </row>
    <row r="436" spans="1:13" x14ac:dyDescent="0.2">
      <c r="A436" s="10" t="s">
        <v>441</v>
      </c>
      <c r="K436" s="413"/>
    </row>
    <row r="437" spans="1:13" x14ac:dyDescent="0.2">
      <c r="A437" s="10" t="s">
        <v>585</v>
      </c>
      <c r="K437" s="413"/>
    </row>
    <row r="438" spans="1:13" x14ac:dyDescent="0.2">
      <c r="A438" s="701" t="s">
        <v>780</v>
      </c>
      <c r="B438" s="702"/>
      <c r="C438" s="702"/>
      <c r="D438" s="702"/>
      <c r="E438" s="702"/>
      <c r="F438" s="702"/>
      <c r="G438" s="702"/>
      <c r="K438" s="413"/>
    </row>
    <row r="439" spans="1:13" x14ac:dyDescent="0.2">
      <c r="A439" s="478" t="s">
        <v>977</v>
      </c>
      <c r="B439" s="487"/>
      <c r="C439" s="487"/>
      <c r="D439" s="487"/>
      <c r="E439" s="487"/>
      <c r="F439" s="487"/>
      <c r="G439" s="487"/>
      <c r="H439" s="13"/>
      <c r="I439" s="13"/>
      <c r="J439" s="13"/>
      <c r="K439" s="333"/>
    </row>
    <row r="441" spans="1:13" x14ac:dyDescent="0.2">
      <c r="A441" s="43" t="s">
        <v>14</v>
      </c>
      <c r="B441" s="56" t="s">
        <v>639</v>
      </c>
      <c r="C441" s="45" t="s">
        <v>15</v>
      </c>
    </row>
    <row r="442" spans="1:13" x14ac:dyDescent="0.2">
      <c r="A442" s="46" t="s">
        <v>16</v>
      </c>
      <c r="B442" s="2">
        <v>2015</v>
      </c>
      <c r="C442" s="57">
        <v>2016</v>
      </c>
      <c r="D442" s="2">
        <v>2017</v>
      </c>
      <c r="E442" s="58">
        <v>2018</v>
      </c>
      <c r="F442" s="58">
        <v>2019</v>
      </c>
      <c r="G442" s="2">
        <v>2020</v>
      </c>
      <c r="H442" s="2">
        <v>2021</v>
      </c>
      <c r="I442" s="2">
        <v>2022</v>
      </c>
      <c r="J442" s="2">
        <v>2023</v>
      </c>
      <c r="K442" s="2">
        <v>2024</v>
      </c>
      <c r="L442" s="468">
        <v>2025</v>
      </c>
    </row>
    <row r="443" spans="1:13" x14ac:dyDescent="0.2">
      <c r="A443" s="46" t="s">
        <v>17</v>
      </c>
      <c r="B443" s="19">
        <v>9400</v>
      </c>
      <c r="C443" s="59">
        <v>9400</v>
      </c>
      <c r="D443" s="19">
        <v>9400</v>
      </c>
      <c r="E443" s="3">
        <v>9400</v>
      </c>
      <c r="F443" s="3">
        <v>9400</v>
      </c>
      <c r="G443" s="19">
        <v>9400</v>
      </c>
      <c r="H443" s="19">
        <v>9400</v>
      </c>
      <c r="I443" s="19">
        <v>9400</v>
      </c>
      <c r="J443" s="19">
        <v>10340</v>
      </c>
      <c r="K443" s="19">
        <v>10340</v>
      </c>
      <c r="L443" s="485">
        <v>10340</v>
      </c>
    </row>
    <row r="444" spans="1:13" x14ac:dyDescent="0.2">
      <c r="A444" s="46" t="s">
        <v>18</v>
      </c>
      <c r="B444" s="19">
        <v>11506.75</v>
      </c>
      <c r="C444" s="59">
        <v>11750</v>
      </c>
      <c r="D444" s="19">
        <v>11750</v>
      </c>
      <c r="E444" s="3">
        <v>11750</v>
      </c>
      <c r="F444" s="3">
        <f>F443*1.25</f>
        <v>11750</v>
      </c>
      <c r="G444" s="19">
        <f>G443*1.25-200</f>
        <v>11550</v>
      </c>
      <c r="H444" s="19">
        <f>H443+F447</f>
        <v>11524</v>
      </c>
      <c r="I444" s="19">
        <f>I443+G447+85</f>
        <v>11184</v>
      </c>
      <c r="J444" s="19">
        <f>J443+H447</f>
        <v>11345</v>
      </c>
      <c r="K444" s="485">
        <f>K443+139.98</f>
        <v>10479.98</v>
      </c>
      <c r="L444" s="485">
        <f>L443+J447+2135</f>
        <v>12925</v>
      </c>
    </row>
    <row r="445" spans="1:13" x14ac:dyDescent="0.2">
      <c r="A445" s="46" t="s">
        <v>19</v>
      </c>
      <c r="B445" s="60" t="s">
        <v>89</v>
      </c>
      <c r="C445" s="60" t="s">
        <v>90</v>
      </c>
      <c r="D445" s="60" t="s">
        <v>90</v>
      </c>
      <c r="E445" s="61" t="s">
        <v>90</v>
      </c>
      <c r="F445" s="61" t="s">
        <v>90</v>
      </c>
      <c r="G445" s="64" t="s">
        <v>346</v>
      </c>
      <c r="H445" s="64" t="s">
        <v>444</v>
      </c>
      <c r="I445" s="64" t="s">
        <v>716</v>
      </c>
      <c r="J445" s="64" t="s">
        <v>880</v>
      </c>
      <c r="K445" s="469" t="s">
        <v>933</v>
      </c>
      <c r="L445" s="469" t="s">
        <v>1133</v>
      </c>
      <c r="M445" s="167"/>
    </row>
    <row r="446" spans="1:13" x14ac:dyDescent="0.2">
      <c r="A446" s="46" t="s">
        <v>20</v>
      </c>
      <c r="B446" s="19">
        <v>7157</v>
      </c>
      <c r="C446" s="59">
        <v>8907</v>
      </c>
      <c r="D446" s="19">
        <v>9090</v>
      </c>
      <c r="E446" s="19">
        <v>9227</v>
      </c>
      <c r="F446" s="3">
        <v>9626</v>
      </c>
      <c r="G446" s="19">
        <v>9851</v>
      </c>
      <c r="H446" s="19">
        <v>10519</v>
      </c>
      <c r="I446" s="19">
        <v>8894</v>
      </c>
      <c r="J446" s="19">
        <v>10895</v>
      </c>
      <c r="K446" s="19"/>
      <c r="L446" s="485"/>
    </row>
    <row r="447" spans="1:13" x14ac:dyDescent="0.2">
      <c r="A447" s="46" t="s">
        <v>21</v>
      </c>
      <c r="B447" s="19">
        <v>4349.75</v>
      </c>
      <c r="C447" s="59">
        <v>2843</v>
      </c>
      <c r="D447" s="19">
        <v>2660</v>
      </c>
      <c r="E447" s="19">
        <v>2523</v>
      </c>
      <c r="F447" s="3">
        <f>F444-F446</f>
        <v>2124</v>
      </c>
      <c r="G447" s="19">
        <f>G444-G446</f>
        <v>1699</v>
      </c>
      <c r="H447" s="19">
        <v>1005</v>
      </c>
      <c r="I447" s="19">
        <f>I444-I446</f>
        <v>2290</v>
      </c>
      <c r="J447" s="19">
        <f>J444-J446</f>
        <v>450</v>
      </c>
      <c r="K447" s="19"/>
      <c r="L447" s="485"/>
    </row>
    <row r="448" spans="1:13" x14ac:dyDescent="0.2">
      <c r="A448" s="8" t="s">
        <v>22</v>
      </c>
      <c r="B448" s="28">
        <v>2017</v>
      </c>
      <c r="C448" s="62">
        <v>2018</v>
      </c>
      <c r="D448" s="28">
        <v>2019</v>
      </c>
      <c r="E448" s="29">
        <v>2020</v>
      </c>
      <c r="F448" s="29">
        <v>2021</v>
      </c>
      <c r="G448" s="29">
        <v>2022</v>
      </c>
      <c r="H448" s="29">
        <v>2023</v>
      </c>
      <c r="I448" s="29">
        <v>2024</v>
      </c>
      <c r="J448" s="29">
        <v>2025</v>
      </c>
      <c r="K448" s="29">
        <v>2026</v>
      </c>
      <c r="L448" s="473">
        <v>2027</v>
      </c>
    </row>
    <row r="449" spans="1:12" x14ac:dyDescent="0.2">
      <c r="A449" s="8" t="s">
        <v>23</v>
      </c>
      <c r="B449" s="9"/>
      <c r="C449" s="9"/>
      <c r="D449" s="9"/>
      <c r="E449" s="9"/>
      <c r="F449" s="9"/>
      <c r="G449" s="9"/>
      <c r="H449" s="9"/>
      <c r="I449" s="9"/>
      <c r="J449" s="9"/>
      <c r="K449" s="7"/>
      <c r="L449" s="412"/>
    </row>
    <row r="450" spans="1:12" x14ac:dyDescent="0.2">
      <c r="A450" s="703" t="s">
        <v>91</v>
      </c>
      <c r="B450" s="704"/>
      <c r="C450" s="704"/>
      <c r="D450" s="704"/>
      <c r="E450" s="704"/>
      <c r="F450" s="704"/>
      <c r="G450" s="9"/>
      <c r="H450" s="9"/>
      <c r="I450" s="9"/>
      <c r="J450" s="9"/>
      <c r="K450" s="9"/>
      <c r="L450" s="412"/>
    </row>
    <row r="451" spans="1:12" x14ac:dyDescent="0.2">
      <c r="A451" s="55" t="s">
        <v>345</v>
      </c>
      <c r="B451" s="255"/>
      <c r="C451" s="255"/>
      <c r="D451" s="255"/>
      <c r="E451" s="255"/>
      <c r="F451" s="255"/>
      <c r="L451" s="413"/>
    </row>
    <row r="452" spans="1:12" x14ac:dyDescent="0.2">
      <c r="A452" s="55" t="s">
        <v>443</v>
      </c>
      <c r="B452" s="255"/>
      <c r="C452" s="255"/>
      <c r="D452" s="255"/>
      <c r="E452" s="255"/>
      <c r="F452" s="255"/>
      <c r="L452" s="413"/>
    </row>
    <row r="453" spans="1:12" x14ac:dyDescent="0.2">
      <c r="A453" s="55" t="s">
        <v>717</v>
      </c>
      <c r="B453" s="255"/>
      <c r="C453" s="255"/>
      <c r="D453" s="255"/>
      <c r="E453" s="255"/>
      <c r="F453" s="255"/>
      <c r="L453" s="413"/>
    </row>
    <row r="454" spans="1:12" x14ac:dyDescent="0.2">
      <c r="A454" s="55" t="s">
        <v>881</v>
      </c>
      <c r="B454" s="255"/>
      <c r="C454" s="255"/>
      <c r="D454" s="255"/>
      <c r="E454" s="255"/>
      <c r="F454" s="255"/>
      <c r="L454" s="413"/>
    </row>
    <row r="455" spans="1:12" x14ac:dyDescent="0.2">
      <c r="A455" s="428" t="s">
        <v>1008</v>
      </c>
      <c r="B455" s="255"/>
      <c r="C455" s="255"/>
      <c r="D455" s="255"/>
      <c r="E455" s="255"/>
      <c r="F455" s="255"/>
      <c r="L455" s="413"/>
    </row>
    <row r="456" spans="1:12" x14ac:dyDescent="0.2">
      <c r="A456" s="478" t="s">
        <v>1132</v>
      </c>
      <c r="B456" s="63"/>
      <c r="C456" s="63"/>
      <c r="D456" s="63"/>
      <c r="E456" s="63"/>
      <c r="F456" s="63"/>
      <c r="G456" s="13"/>
      <c r="H456" s="13"/>
      <c r="I456" s="13"/>
      <c r="J456" s="13"/>
      <c r="K456" s="13"/>
      <c r="L456" s="333"/>
    </row>
    <row r="458" spans="1:12" x14ac:dyDescent="0.2">
      <c r="A458" s="43" t="s">
        <v>14</v>
      </c>
      <c r="B458" s="56" t="s">
        <v>624</v>
      </c>
      <c r="C458" s="45" t="s">
        <v>15</v>
      </c>
    </row>
    <row r="459" spans="1:12" x14ac:dyDescent="0.2">
      <c r="A459" s="46" t="s">
        <v>16</v>
      </c>
      <c r="B459" s="2">
        <v>2015</v>
      </c>
      <c r="C459" s="57">
        <v>2016</v>
      </c>
      <c r="D459" s="2">
        <v>2017</v>
      </c>
      <c r="E459" s="58">
        <v>2018</v>
      </c>
      <c r="F459" s="58">
        <v>2019</v>
      </c>
      <c r="G459" s="2">
        <v>2020</v>
      </c>
      <c r="H459" s="2">
        <v>2021</v>
      </c>
      <c r="I459" s="2">
        <v>2022</v>
      </c>
      <c r="J459" s="2">
        <v>2023</v>
      </c>
      <c r="K459" s="468">
        <v>2024</v>
      </c>
    </row>
    <row r="460" spans="1:12" x14ac:dyDescent="0.2">
      <c r="A460" s="46" t="s">
        <v>17</v>
      </c>
      <c r="B460" s="19">
        <v>270</v>
      </c>
      <c r="C460" s="59">
        <v>270</v>
      </c>
      <c r="D460" s="19">
        <v>270</v>
      </c>
      <c r="E460" s="3">
        <v>270</v>
      </c>
      <c r="F460" s="3">
        <v>270</v>
      </c>
      <c r="G460" s="19">
        <v>270</v>
      </c>
      <c r="H460" s="19">
        <v>270</v>
      </c>
      <c r="I460" s="19">
        <v>270</v>
      </c>
      <c r="J460" s="19">
        <v>270</v>
      </c>
      <c r="K460" s="485">
        <v>270</v>
      </c>
    </row>
    <row r="461" spans="1:12" x14ac:dyDescent="0.2">
      <c r="A461" s="46" t="s">
        <v>18</v>
      </c>
      <c r="B461" s="19">
        <v>370</v>
      </c>
      <c r="C461" s="59">
        <v>370</v>
      </c>
      <c r="D461" s="19">
        <v>370</v>
      </c>
      <c r="E461" s="3">
        <v>343</v>
      </c>
      <c r="F461" s="3">
        <v>343</v>
      </c>
      <c r="G461" s="19">
        <f>G460*1.4-35-20</f>
        <v>323</v>
      </c>
      <c r="H461" s="19">
        <f>H460*1.4-35-20</f>
        <v>323</v>
      </c>
      <c r="I461" s="19">
        <f>I460*1.4-35-20</f>
        <v>323</v>
      </c>
      <c r="J461" s="19">
        <v>323</v>
      </c>
      <c r="K461" s="485">
        <f>K460+0.4*I460-35-20</f>
        <v>323</v>
      </c>
    </row>
    <row r="462" spans="1:12" x14ac:dyDescent="0.2">
      <c r="A462" s="46" t="s">
        <v>19</v>
      </c>
      <c r="B462" s="60" t="s">
        <v>92</v>
      </c>
      <c r="C462" s="60" t="s">
        <v>92</v>
      </c>
      <c r="D462" s="60" t="s">
        <v>92</v>
      </c>
      <c r="E462" s="61" t="s">
        <v>93</v>
      </c>
      <c r="F462" s="61" t="s">
        <v>93</v>
      </c>
      <c r="G462" s="64" t="s">
        <v>351</v>
      </c>
      <c r="H462" s="64" t="s">
        <v>351</v>
      </c>
      <c r="I462" s="64" t="s">
        <v>351</v>
      </c>
      <c r="J462" s="64" t="s">
        <v>351</v>
      </c>
      <c r="K462" s="469" t="s">
        <v>351</v>
      </c>
    </row>
    <row r="463" spans="1:12" x14ac:dyDescent="0.2">
      <c r="A463" s="46" t="s">
        <v>20</v>
      </c>
      <c r="B463" s="19">
        <v>115</v>
      </c>
      <c r="C463" s="19">
        <v>151.72</v>
      </c>
      <c r="D463" s="19">
        <v>95.51</v>
      </c>
      <c r="E463" s="19">
        <v>169.22</v>
      </c>
      <c r="F463" s="3">
        <v>122.25</v>
      </c>
      <c r="G463" s="19">
        <v>157.75</v>
      </c>
      <c r="H463" s="19">
        <v>68</v>
      </c>
      <c r="I463" s="19">
        <v>150</v>
      </c>
      <c r="J463" s="19">
        <v>183</v>
      </c>
      <c r="K463" s="485"/>
    </row>
    <row r="464" spans="1:12" x14ac:dyDescent="0.2">
      <c r="A464" s="46" t="s">
        <v>21</v>
      </c>
      <c r="B464" s="19">
        <v>255</v>
      </c>
      <c r="C464" s="19">
        <f>C461-C463</f>
        <v>218.28</v>
      </c>
      <c r="D464" s="19">
        <f>D461-D463</f>
        <v>274.49</v>
      </c>
      <c r="E464" s="19">
        <v>173.78</v>
      </c>
      <c r="F464" s="3">
        <f>F461-F463</f>
        <v>220.75</v>
      </c>
      <c r="G464" s="19">
        <f>G461-G463</f>
        <v>165.25</v>
      </c>
      <c r="H464" s="19">
        <f>H461-H463</f>
        <v>255</v>
      </c>
      <c r="I464" s="19">
        <f>I461-I463</f>
        <v>173</v>
      </c>
      <c r="J464" s="19">
        <f>J461-J463</f>
        <v>140</v>
      </c>
      <c r="K464" s="485"/>
    </row>
    <row r="465" spans="1:11" x14ac:dyDescent="0.2">
      <c r="A465" s="8" t="s">
        <v>22</v>
      </c>
      <c r="B465" s="28">
        <v>2017</v>
      </c>
      <c r="C465" s="62">
        <v>2018</v>
      </c>
      <c r="D465" s="28">
        <v>2019</v>
      </c>
      <c r="E465" s="29">
        <v>2020</v>
      </c>
      <c r="F465" s="29">
        <v>2021</v>
      </c>
      <c r="G465" s="29">
        <v>2022</v>
      </c>
      <c r="H465" s="29">
        <v>2023</v>
      </c>
      <c r="I465" s="29">
        <v>2024</v>
      </c>
      <c r="J465" s="29">
        <v>2025</v>
      </c>
      <c r="K465" s="473">
        <v>2026</v>
      </c>
    </row>
    <row r="466" spans="1:11" x14ac:dyDescent="0.2">
      <c r="A466" s="8" t="s">
        <v>23</v>
      </c>
      <c r="B466" s="8"/>
      <c r="C466" s="9"/>
      <c r="D466" s="9"/>
      <c r="E466" s="9"/>
      <c r="F466" s="9"/>
      <c r="G466" s="9"/>
      <c r="H466" s="9"/>
      <c r="I466" s="9"/>
      <c r="J466" s="7"/>
      <c r="K466" s="412"/>
    </row>
    <row r="467" spans="1:11" x14ac:dyDescent="0.2">
      <c r="A467" s="703" t="s">
        <v>94</v>
      </c>
      <c r="B467" s="704"/>
      <c r="C467" s="704"/>
      <c r="D467" s="704"/>
      <c r="E467" s="704"/>
      <c r="F467" s="704"/>
      <c r="G467" s="9"/>
      <c r="H467" s="9"/>
      <c r="I467" s="9"/>
      <c r="J467" s="9"/>
      <c r="K467" s="412"/>
    </row>
    <row r="468" spans="1:11" x14ac:dyDescent="0.2">
      <c r="A468" s="55" t="s">
        <v>348</v>
      </c>
      <c r="B468" s="255"/>
      <c r="C468" s="255"/>
      <c r="D468" s="255"/>
      <c r="E468" s="255"/>
      <c r="F468" s="255"/>
      <c r="K468" s="413"/>
    </row>
    <row r="469" spans="1:11" x14ac:dyDescent="0.2">
      <c r="A469" s="55" t="s">
        <v>349</v>
      </c>
      <c r="B469" s="255"/>
      <c r="C469" s="255"/>
      <c r="D469" s="255"/>
      <c r="E469" s="255"/>
      <c r="F469" s="255"/>
      <c r="K469" s="413"/>
    </row>
    <row r="470" spans="1:11" ht="13.15" customHeight="1" x14ac:dyDescent="0.2">
      <c r="A470" s="10" t="s">
        <v>350</v>
      </c>
      <c r="K470" s="413"/>
    </row>
    <row r="471" spans="1:11" x14ac:dyDescent="0.2">
      <c r="A471" s="55" t="s">
        <v>445</v>
      </c>
      <c r="B471" s="255"/>
      <c r="C471" s="255"/>
      <c r="D471" s="255"/>
      <c r="E471" s="255"/>
      <c r="F471" s="255"/>
      <c r="K471" s="413"/>
    </row>
    <row r="472" spans="1:11" x14ac:dyDescent="0.2">
      <c r="A472" s="55" t="s">
        <v>446</v>
      </c>
      <c r="B472" s="255"/>
      <c r="C472" s="255"/>
      <c r="D472" s="255"/>
      <c r="E472" s="255"/>
      <c r="F472" s="255"/>
      <c r="K472" s="413"/>
    </row>
    <row r="473" spans="1:11" x14ac:dyDescent="0.2">
      <c r="A473" s="10" t="s">
        <v>656</v>
      </c>
      <c r="B473" s="255"/>
      <c r="C473" s="255"/>
      <c r="D473" s="255"/>
      <c r="E473" s="255"/>
      <c r="F473" s="255"/>
      <c r="K473" s="413"/>
    </row>
    <row r="474" spans="1:11" x14ac:dyDescent="0.2">
      <c r="A474" s="10" t="s">
        <v>782</v>
      </c>
      <c r="K474" s="413"/>
    </row>
    <row r="475" spans="1:11" x14ac:dyDescent="0.2">
      <c r="A475" s="415" t="s">
        <v>979</v>
      </c>
      <c r="B475" s="13"/>
      <c r="C475" s="13"/>
      <c r="D475" s="13"/>
      <c r="E475" s="13"/>
      <c r="F475" s="13"/>
      <c r="G475" s="13"/>
      <c r="H475" s="13"/>
      <c r="I475" s="13"/>
      <c r="J475" s="13"/>
      <c r="K475" s="333"/>
    </row>
    <row r="477" spans="1:11" x14ac:dyDescent="0.2">
      <c r="A477" s="43" t="s">
        <v>14</v>
      </c>
      <c r="B477" s="56" t="s">
        <v>642</v>
      </c>
      <c r="C477" s="45" t="s">
        <v>15</v>
      </c>
    </row>
    <row r="478" spans="1:11" x14ac:dyDescent="0.2">
      <c r="A478" s="46" t="s">
        <v>16</v>
      </c>
      <c r="B478" s="2">
        <v>2015</v>
      </c>
      <c r="C478" s="57">
        <v>2016</v>
      </c>
      <c r="D478" s="2">
        <v>2017</v>
      </c>
      <c r="E478" s="58">
        <v>2018</v>
      </c>
      <c r="F478" s="58">
        <v>2019</v>
      </c>
      <c r="G478" s="2">
        <v>2020</v>
      </c>
      <c r="H478" s="2">
        <v>2021</v>
      </c>
      <c r="I478" s="2">
        <v>2022</v>
      </c>
      <c r="J478" s="2">
        <v>2023</v>
      </c>
      <c r="K478" s="468">
        <v>2024</v>
      </c>
    </row>
    <row r="479" spans="1:11" x14ac:dyDescent="0.2">
      <c r="A479" s="46" t="s">
        <v>17</v>
      </c>
      <c r="B479" s="19">
        <v>459</v>
      </c>
      <c r="C479" s="59">
        <v>459</v>
      </c>
      <c r="D479" s="19">
        <v>459</v>
      </c>
      <c r="E479" s="3">
        <v>459</v>
      </c>
      <c r="F479" s="3">
        <v>459</v>
      </c>
      <c r="G479" s="19">
        <v>459</v>
      </c>
      <c r="H479" s="19">
        <v>459</v>
      </c>
      <c r="I479" s="19">
        <v>459</v>
      </c>
      <c r="J479" s="19">
        <v>459</v>
      </c>
      <c r="K479" s="485">
        <v>459</v>
      </c>
    </row>
    <row r="480" spans="1:11" x14ac:dyDescent="0.2">
      <c r="A480" s="46" t="s">
        <v>18</v>
      </c>
      <c r="B480" s="19">
        <v>587.9</v>
      </c>
      <c r="C480" s="59">
        <v>535.9</v>
      </c>
      <c r="D480" s="19">
        <v>516.9</v>
      </c>
      <c r="E480" s="3">
        <v>559.9</v>
      </c>
      <c r="F480" s="3">
        <v>546.79999999999995</v>
      </c>
      <c r="G480" s="19">
        <v>550.79999999999995</v>
      </c>
      <c r="H480" s="19">
        <v>550.79999999999995</v>
      </c>
      <c r="I480" s="19">
        <f>I479+H483</f>
        <v>477.79999999999995</v>
      </c>
      <c r="J480" s="19">
        <f>J479+0.1*I479</f>
        <v>504.9</v>
      </c>
      <c r="K480" s="485">
        <f>K479+0.1*J479</f>
        <v>504.9</v>
      </c>
    </row>
    <row r="481" spans="1:11" x14ac:dyDescent="0.2">
      <c r="A481" s="46" t="s">
        <v>19</v>
      </c>
      <c r="B481" s="60" t="s">
        <v>95</v>
      </c>
      <c r="C481" s="60" t="s">
        <v>96</v>
      </c>
      <c r="D481" s="60" t="s">
        <v>97</v>
      </c>
      <c r="E481" s="61" t="s">
        <v>376</v>
      </c>
      <c r="F481" s="61" t="s">
        <v>377</v>
      </c>
      <c r="G481" s="15" t="s">
        <v>352</v>
      </c>
      <c r="H481" s="15" t="s">
        <v>352</v>
      </c>
      <c r="I481" s="15" t="str">
        <f>"=459+18.8"</f>
        <v>=459+18.8</v>
      </c>
      <c r="J481" s="15" t="s">
        <v>783</v>
      </c>
      <c r="K481" s="408" t="s">
        <v>783</v>
      </c>
    </row>
    <row r="482" spans="1:11" x14ac:dyDescent="0.2">
      <c r="A482" s="46" t="s">
        <v>20</v>
      </c>
      <c r="B482" s="19">
        <v>511</v>
      </c>
      <c r="C482" s="59">
        <v>478</v>
      </c>
      <c r="D482" s="19">
        <v>416</v>
      </c>
      <c r="E482" s="19">
        <v>472.1</v>
      </c>
      <c r="F482" s="3">
        <v>395.31</v>
      </c>
      <c r="G482" s="19">
        <v>353.05</v>
      </c>
      <c r="H482" s="19">
        <v>532</v>
      </c>
      <c r="I482" s="19">
        <v>420</v>
      </c>
      <c r="J482" s="19">
        <v>379</v>
      </c>
      <c r="K482" s="485"/>
    </row>
    <row r="483" spans="1:11" x14ac:dyDescent="0.2">
      <c r="A483" s="46" t="s">
        <v>21</v>
      </c>
      <c r="B483" s="19">
        <v>76.900000000000006</v>
      </c>
      <c r="C483" s="59">
        <v>57.9</v>
      </c>
      <c r="D483" s="19">
        <v>100.9</v>
      </c>
      <c r="E483" s="19">
        <v>87.799999999999955</v>
      </c>
      <c r="F483" s="3">
        <v>151.48999999999995</v>
      </c>
      <c r="G483" s="19">
        <f>G480-G482</f>
        <v>197.74999999999994</v>
      </c>
      <c r="H483" s="19">
        <f>H480-H482</f>
        <v>18.799999999999955</v>
      </c>
      <c r="I483" s="19">
        <f>I480-I482</f>
        <v>57.799999999999955</v>
      </c>
      <c r="J483" s="19">
        <f>J480-J482</f>
        <v>125.89999999999998</v>
      </c>
      <c r="K483" s="485"/>
    </row>
    <row r="484" spans="1:11" x14ac:dyDescent="0.2">
      <c r="A484" s="8" t="s">
        <v>22</v>
      </c>
      <c r="B484" s="28">
        <v>2016</v>
      </c>
      <c r="C484" s="62">
        <v>2017</v>
      </c>
      <c r="D484" s="28">
        <v>2018</v>
      </c>
      <c r="E484" s="29">
        <v>2019</v>
      </c>
      <c r="F484" s="29">
        <v>2020</v>
      </c>
      <c r="G484" s="29">
        <v>2021</v>
      </c>
      <c r="H484" s="29">
        <v>2022</v>
      </c>
      <c r="I484" s="29">
        <v>2023</v>
      </c>
      <c r="J484" s="29">
        <v>2024</v>
      </c>
      <c r="K484" s="473">
        <v>2025</v>
      </c>
    </row>
    <row r="485" spans="1:11" x14ac:dyDescent="0.2">
      <c r="A485" s="8" t="s">
        <v>23</v>
      </c>
      <c r="B485" s="9"/>
      <c r="C485" s="9"/>
      <c r="D485" s="9"/>
      <c r="E485" s="9"/>
      <c r="F485" s="9"/>
      <c r="G485" s="9"/>
      <c r="H485" s="9"/>
      <c r="I485" s="9"/>
      <c r="J485" s="7"/>
      <c r="K485" s="412"/>
    </row>
    <row r="486" spans="1:11" ht="13.15" customHeight="1" x14ac:dyDescent="0.2">
      <c r="A486" s="8" t="s">
        <v>98</v>
      </c>
      <c r="B486" s="9"/>
      <c r="C486" s="9"/>
      <c r="D486" s="9"/>
      <c r="E486" s="9"/>
      <c r="F486" s="9"/>
      <c r="G486" s="9"/>
      <c r="H486" s="9"/>
      <c r="I486" s="9"/>
      <c r="J486" s="9"/>
      <c r="K486" s="412"/>
    </row>
    <row r="487" spans="1:11" ht="13.15" customHeight="1" x14ac:dyDescent="0.2">
      <c r="A487" s="701" t="s">
        <v>378</v>
      </c>
      <c r="B487" s="702"/>
      <c r="C487" s="702"/>
      <c r="D487" s="702"/>
      <c r="E487" s="702"/>
      <c r="F487" s="702"/>
      <c r="K487" s="413"/>
    </row>
    <row r="488" spans="1:11" x14ac:dyDescent="0.2">
      <c r="A488" s="55" t="s">
        <v>353</v>
      </c>
      <c r="B488" s="255"/>
      <c r="C488" s="255"/>
      <c r="D488" s="255"/>
      <c r="E488" s="255"/>
      <c r="F488" s="255"/>
      <c r="K488" s="413"/>
    </row>
    <row r="489" spans="1:11" x14ac:dyDescent="0.2">
      <c r="A489" s="55" t="s">
        <v>354</v>
      </c>
      <c r="B489" s="255"/>
      <c r="C489" s="255"/>
      <c r="D489" s="255"/>
      <c r="E489" s="255"/>
      <c r="F489" s="255"/>
      <c r="K489" s="413"/>
    </row>
    <row r="490" spans="1:11" ht="13.15" customHeight="1" x14ac:dyDescent="0.2">
      <c r="A490" s="55" t="s">
        <v>447</v>
      </c>
      <c r="B490" s="255"/>
      <c r="C490" s="255"/>
      <c r="D490" s="255"/>
      <c r="E490" s="255"/>
      <c r="F490" s="255"/>
      <c r="K490" s="413"/>
    </row>
    <row r="491" spans="1:11" ht="13.15" customHeight="1" x14ac:dyDescent="0.2">
      <c r="A491" s="55" t="s">
        <v>448</v>
      </c>
      <c r="B491" s="255"/>
      <c r="C491" s="255"/>
      <c r="D491" s="255"/>
      <c r="E491" s="255"/>
      <c r="F491" s="255"/>
      <c r="K491" s="413"/>
    </row>
    <row r="492" spans="1:11" ht="13.15" customHeight="1" x14ac:dyDescent="0.2">
      <c r="A492" s="55" t="s">
        <v>657</v>
      </c>
      <c r="B492" s="255"/>
      <c r="C492" s="255"/>
      <c r="D492" s="255"/>
      <c r="E492" s="255"/>
      <c r="F492" s="255"/>
      <c r="K492" s="413"/>
    </row>
    <row r="493" spans="1:11" ht="12.75" customHeight="1" x14ac:dyDescent="0.2">
      <c r="A493" s="55" t="s">
        <v>784</v>
      </c>
      <c r="B493" s="255"/>
      <c r="C493" s="255"/>
      <c r="D493" s="255"/>
      <c r="E493" s="255"/>
      <c r="F493" s="255"/>
      <c r="K493" s="413"/>
    </row>
    <row r="494" spans="1:11" ht="12.75" customHeight="1" x14ac:dyDescent="0.2">
      <c r="A494" s="478" t="s">
        <v>980</v>
      </c>
      <c r="B494" s="63"/>
      <c r="C494" s="63"/>
      <c r="D494" s="63"/>
      <c r="E494" s="63"/>
      <c r="F494" s="63"/>
      <c r="G494" s="13"/>
      <c r="H494" s="13"/>
      <c r="I494" s="13"/>
      <c r="J494" s="13"/>
      <c r="K494" s="14"/>
    </row>
    <row r="496" spans="1:11" x14ac:dyDescent="0.2">
      <c r="A496" s="43" t="s">
        <v>14</v>
      </c>
      <c r="B496" s="56" t="s">
        <v>643</v>
      </c>
      <c r="C496" s="45" t="s">
        <v>15</v>
      </c>
    </row>
    <row r="497" spans="1:11" x14ac:dyDescent="0.2">
      <c r="A497" s="46" t="s">
        <v>16</v>
      </c>
      <c r="B497" s="2">
        <v>2015</v>
      </c>
      <c r="C497" s="57">
        <v>2016</v>
      </c>
      <c r="D497" s="2">
        <v>2017</v>
      </c>
      <c r="E497" s="58">
        <v>2018</v>
      </c>
      <c r="F497" s="58">
        <v>2019</v>
      </c>
      <c r="G497" s="2">
        <v>2020</v>
      </c>
      <c r="H497" s="2">
        <v>2021</v>
      </c>
      <c r="I497" s="2">
        <v>2022</v>
      </c>
      <c r="J497" s="2">
        <v>2023</v>
      </c>
      <c r="K497" s="468">
        <v>2024</v>
      </c>
    </row>
    <row r="498" spans="1:11" x14ac:dyDescent="0.2">
      <c r="A498" s="46" t="s">
        <v>17</v>
      </c>
      <c r="B498" s="5">
        <v>48.76</v>
      </c>
      <c r="C498" s="65">
        <v>58.28</v>
      </c>
      <c r="D498" s="5">
        <v>69.97</v>
      </c>
      <c r="E498" s="66">
        <v>79</v>
      </c>
      <c r="F498" s="66">
        <v>84</v>
      </c>
      <c r="G498" s="5">
        <v>90</v>
      </c>
      <c r="H498" s="5">
        <v>90</v>
      </c>
      <c r="I498" s="5">
        <v>90</v>
      </c>
      <c r="J498" s="5">
        <v>101</v>
      </c>
      <c r="K498" s="409">
        <v>101</v>
      </c>
    </row>
    <row r="499" spans="1:11" x14ac:dyDescent="0.2">
      <c r="A499" s="46" t="s">
        <v>18</v>
      </c>
      <c r="B499" s="5">
        <v>38.76</v>
      </c>
      <c r="C499" s="65">
        <v>48.28</v>
      </c>
      <c r="D499" s="5">
        <v>59.97</v>
      </c>
      <c r="E499" s="66">
        <v>29</v>
      </c>
      <c r="F499" s="66">
        <v>34</v>
      </c>
      <c r="G499" s="5">
        <f>G498-50</f>
        <v>40</v>
      </c>
      <c r="H499" s="5">
        <f>H498-50</f>
        <v>40</v>
      </c>
      <c r="I499" s="5">
        <f>I498-50</f>
        <v>40</v>
      </c>
      <c r="J499" s="5">
        <v>51</v>
      </c>
      <c r="K499" s="409">
        <v>51</v>
      </c>
    </row>
    <row r="500" spans="1:11" x14ac:dyDescent="0.2">
      <c r="A500" s="46" t="s">
        <v>19</v>
      </c>
      <c r="B500" s="67" t="s">
        <v>99</v>
      </c>
      <c r="C500" s="67" t="s">
        <v>100</v>
      </c>
      <c r="D500" s="67" t="s">
        <v>101</v>
      </c>
      <c r="E500" s="68" t="s">
        <v>102</v>
      </c>
      <c r="F500" s="68" t="s">
        <v>103</v>
      </c>
      <c r="G500" s="64" t="s">
        <v>355</v>
      </c>
      <c r="H500" s="64" t="s">
        <v>355</v>
      </c>
      <c r="I500" s="64" t="s">
        <v>355</v>
      </c>
      <c r="J500" s="64" t="s">
        <v>785</v>
      </c>
      <c r="K500" s="469" t="s">
        <v>785</v>
      </c>
    </row>
    <row r="501" spans="1:11" x14ac:dyDescent="0.2">
      <c r="A501" s="46" t="s">
        <v>20</v>
      </c>
      <c r="B501" s="5">
        <v>0</v>
      </c>
      <c r="C501" s="65">
        <v>0</v>
      </c>
      <c r="D501" s="5">
        <v>0</v>
      </c>
      <c r="E501" s="5">
        <v>0</v>
      </c>
      <c r="F501" s="66">
        <v>0</v>
      </c>
      <c r="G501" s="5">
        <v>0</v>
      </c>
      <c r="H501" s="5">
        <v>0</v>
      </c>
      <c r="I501" s="5"/>
      <c r="J501" s="5"/>
      <c r="K501" s="409"/>
    </row>
    <row r="502" spans="1:11" x14ac:dyDescent="0.2">
      <c r="A502" s="46" t="s">
        <v>21</v>
      </c>
      <c r="B502" s="5">
        <v>38.76</v>
      </c>
      <c r="C502" s="65">
        <v>48.28</v>
      </c>
      <c r="D502" s="5">
        <v>59.97</v>
      </c>
      <c r="E502" s="5">
        <v>29</v>
      </c>
      <c r="F502" s="66">
        <f>F499-F501</f>
        <v>34</v>
      </c>
      <c r="G502" s="5">
        <f>G499-G501</f>
        <v>40</v>
      </c>
      <c r="H502" s="5">
        <f>H499-H501</f>
        <v>40</v>
      </c>
      <c r="I502" s="5"/>
      <c r="J502" s="5"/>
      <c r="K502" s="409"/>
    </row>
    <row r="503" spans="1:11" x14ac:dyDescent="0.2">
      <c r="A503" s="8" t="s">
        <v>22</v>
      </c>
      <c r="B503" s="467">
        <v>2016</v>
      </c>
      <c r="C503" s="467">
        <v>2017</v>
      </c>
      <c r="D503" s="467">
        <v>2018</v>
      </c>
      <c r="E503" s="467">
        <v>2019</v>
      </c>
      <c r="F503" s="467">
        <v>2020</v>
      </c>
      <c r="G503" s="467">
        <v>2021</v>
      </c>
      <c r="H503" s="467">
        <v>2022</v>
      </c>
      <c r="I503" s="467">
        <v>2023</v>
      </c>
      <c r="J503" s="467">
        <v>2024</v>
      </c>
      <c r="K503" s="467">
        <v>2025</v>
      </c>
    </row>
    <row r="504" spans="1:11" x14ac:dyDescent="0.2">
      <c r="A504" s="8" t="s">
        <v>23</v>
      </c>
      <c r="B504" s="9"/>
      <c r="C504" s="9"/>
      <c r="D504" s="9"/>
      <c r="E504" s="9"/>
      <c r="F504" s="9"/>
      <c r="G504" s="9"/>
      <c r="H504" s="9"/>
      <c r="I504" s="9"/>
      <c r="J504" s="7"/>
      <c r="K504" s="7"/>
    </row>
    <row r="505" spans="1:11" x14ac:dyDescent="0.2">
      <c r="A505" s="8" t="s">
        <v>104</v>
      </c>
      <c r="B505" s="9"/>
      <c r="C505" s="9"/>
      <c r="D505" s="9"/>
      <c r="E505" s="9"/>
      <c r="F505" s="9"/>
      <c r="G505" s="9"/>
      <c r="H505" s="9"/>
      <c r="I505" s="9"/>
      <c r="J505" s="9"/>
      <c r="K505" s="7"/>
    </row>
    <row r="506" spans="1:11" x14ac:dyDescent="0.2">
      <c r="A506" s="10" t="s">
        <v>356</v>
      </c>
      <c r="K506" s="12"/>
    </row>
    <row r="507" spans="1:11" x14ac:dyDescent="0.2">
      <c r="A507" s="10" t="s">
        <v>449</v>
      </c>
      <c r="K507" s="12"/>
    </row>
    <row r="508" spans="1:11" x14ac:dyDescent="0.2">
      <c r="A508" s="10" t="s">
        <v>658</v>
      </c>
      <c r="K508" s="12"/>
    </row>
    <row r="509" spans="1:11" x14ac:dyDescent="0.2">
      <c r="A509" s="10" t="s">
        <v>786</v>
      </c>
      <c r="K509" s="12"/>
    </row>
    <row r="510" spans="1:11" x14ac:dyDescent="0.2">
      <c r="A510" s="415" t="s">
        <v>969</v>
      </c>
      <c r="B510" s="13"/>
      <c r="C510" s="13"/>
      <c r="D510" s="13"/>
      <c r="E510" s="13"/>
      <c r="F510" s="13"/>
      <c r="G510" s="13"/>
      <c r="H510" s="13"/>
      <c r="I510" s="13"/>
      <c r="J510" s="13"/>
      <c r="K510" s="14"/>
    </row>
    <row r="511" spans="1:11" x14ac:dyDescent="0.2">
      <c r="A511" s="1"/>
      <c r="B511" s="13"/>
    </row>
    <row r="512" spans="1:11" x14ac:dyDescent="0.2">
      <c r="A512" s="43" t="s">
        <v>14</v>
      </c>
      <c r="B512" s="56" t="s">
        <v>66</v>
      </c>
      <c r="C512" s="45" t="s">
        <v>15</v>
      </c>
    </row>
    <row r="513" spans="1:11" x14ac:dyDescent="0.2">
      <c r="A513" s="46" t="s">
        <v>16</v>
      </c>
      <c r="B513" s="2">
        <v>2015</v>
      </c>
      <c r="C513" s="57">
        <v>2016</v>
      </c>
      <c r="D513" s="2">
        <v>2017</v>
      </c>
      <c r="E513" s="58">
        <v>2018</v>
      </c>
      <c r="F513" s="58">
        <v>2019</v>
      </c>
      <c r="G513" s="2">
        <v>2020</v>
      </c>
      <c r="H513" s="2">
        <v>2021</v>
      </c>
      <c r="I513" s="2">
        <v>2022</v>
      </c>
      <c r="J513" s="2">
        <v>2023</v>
      </c>
      <c r="K513" s="468">
        <v>2024</v>
      </c>
    </row>
    <row r="514" spans="1:11" x14ac:dyDescent="0.2">
      <c r="A514" s="46" t="s">
        <v>17</v>
      </c>
      <c r="B514" s="19">
        <v>15583</v>
      </c>
      <c r="C514" s="59">
        <v>11679</v>
      </c>
      <c r="D514" s="19">
        <v>11679</v>
      </c>
      <c r="E514" s="3">
        <v>11679</v>
      </c>
      <c r="F514" s="3">
        <v>11679</v>
      </c>
      <c r="G514" s="19">
        <v>9226.41</v>
      </c>
      <c r="H514" s="19">
        <v>9078.7900000000009</v>
      </c>
      <c r="I514" s="19">
        <v>9152.6</v>
      </c>
      <c r="J514" s="19">
        <v>9152.6</v>
      </c>
      <c r="K514" s="485">
        <v>9152.6</v>
      </c>
    </row>
    <row r="515" spans="1:11" x14ac:dyDescent="0.2">
      <c r="A515" s="46" t="s">
        <v>18</v>
      </c>
      <c r="B515" s="19">
        <v>20187.900000000001</v>
      </c>
      <c r="C515" s="59">
        <v>16353.9</v>
      </c>
      <c r="D515" s="19">
        <f>14016.45</f>
        <v>14016.45</v>
      </c>
      <c r="E515" s="3">
        <v>13653.85</v>
      </c>
      <c r="F515" s="3">
        <v>13653.85</v>
      </c>
      <c r="G515" s="19">
        <f>G514+E514*0.15+223</f>
        <v>11201.26</v>
      </c>
      <c r="H515" s="19">
        <f>H514+0.1*F514+223</f>
        <v>10469.69</v>
      </c>
      <c r="I515" s="19">
        <f>I514+0.1*G514+223</f>
        <v>10298.241</v>
      </c>
      <c r="J515" s="19">
        <f>J514+0.1*H514+223</f>
        <v>10283.479000000001</v>
      </c>
      <c r="K515" s="485">
        <f>K514+0.1*I514+223</f>
        <v>10290.86</v>
      </c>
    </row>
    <row r="516" spans="1:11" ht="25.5" x14ac:dyDescent="0.2">
      <c r="A516" s="46" t="s">
        <v>19</v>
      </c>
      <c r="B516" s="60" t="s">
        <v>105</v>
      </c>
      <c r="C516" s="60" t="s">
        <v>106</v>
      </c>
      <c r="D516" s="60" t="s">
        <v>107</v>
      </c>
      <c r="E516" s="61" t="s">
        <v>108</v>
      </c>
      <c r="F516" s="61" t="s">
        <v>108</v>
      </c>
      <c r="G516" s="27" t="s">
        <v>450</v>
      </c>
      <c r="H516" s="27" t="s">
        <v>787</v>
      </c>
      <c r="I516" s="27" t="s">
        <v>788</v>
      </c>
      <c r="J516" s="27" t="s">
        <v>789</v>
      </c>
      <c r="K516" s="488" t="s">
        <v>982</v>
      </c>
    </row>
    <row r="517" spans="1:11" x14ac:dyDescent="0.2">
      <c r="A517" s="46" t="s">
        <v>20</v>
      </c>
      <c r="B517" s="19">
        <v>16453</v>
      </c>
      <c r="C517" s="59">
        <v>13115</v>
      </c>
      <c r="D517" s="19">
        <v>11845</v>
      </c>
      <c r="E517" s="19">
        <v>11630</v>
      </c>
      <c r="F517" s="3">
        <v>11288</v>
      </c>
      <c r="G517" s="19">
        <v>9226</v>
      </c>
      <c r="H517" s="19">
        <v>4092.6</v>
      </c>
      <c r="I517" s="19">
        <v>8181</v>
      </c>
      <c r="J517" s="19">
        <v>10274</v>
      </c>
      <c r="K517" s="485"/>
    </row>
    <row r="518" spans="1:11" x14ac:dyDescent="0.2">
      <c r="A518" s="46" t="s">
        <v>21</v>
      </c>
      <c r="B518" s="19">
        <v>3734.9</v>
      </c>
      <c r="C518" s="59">
        <v>3238.9</v>
      </c>
      <c r="D518" s="19">
        <v>2171.4499999999998</v>
      </c>
      <c r="E518" s="19">
        <v>2023.85</v>
      </c>
      <c r="F518" s="3">
        <f>F515-F517</f>
        <v>2365.8500000000004</v>
      </c>
      <c r="G518" s="19">
        <f>G515-G517</f>
        <v>1975.2600000000002</v>
      </c>
      <c r="H518" s="19">
        <f>H515-H517</f>
        <v>6377.09</v>
      </c>
      <c r="I518" s="19">
        <f>I515-I517</f>
        <v>2117.241</v>
      </c>
      <c r="J518" s="19">
        <f>J515-J517</f>
        <v>9.4790000000011787</v>
      </c>
      <c r="K518" s="485"/>
    </row>
    <row r="519" spans="1:11" x14ac:dyDescent="0.2">
      <c r="A519" s="8" t="s">
        <v>22</v>
      </c>
      <c r="B519" s="28">
        <v>2017</v>
      </c>
      <c r="C519" s="62">
        <v>2018</v>
      </c>
      <c r="D519" s="28">
        <v>2019</v>
      </c>
      <c r="E519" s="28">
        <v>2020</v>
      </c>
      <c r="F519" s="29">
        <v>2021</v>
      </c>
      <c r="G519" s="28">
        <v>2022</v>
      </c>
      <c r="H519" s="28">
        <v>2023</v>
      </c>
      <c r="I519" s="28">
        <v>2024</v>
      </c>
      <c r="J519" s="28">
        <v>2025</v>
      </c>
      <c r="K519" s="467">
        <v>2026</v>
      </c>
    </row>
    <row r="520" spans="1:11" x14ac:dyDescent="0.2">
      <c r="A520" s="8" t="s">
        <v>23</v>
      </c>
      <c r="B520" s="9"/>
      <c r="C520" s="9"/>
      <c r="D520" s="9"/>
      <c r="E520" s="9"/>
      <c r="F520" s="9"/>
      <c r="G520" s="9"/>
      <c r="H520" s="7"/>
      <c r="I520" s="7"/>
      <c r="J520" s="7"/>
      <c r="K520" s="412"/>
    </row>
    <row r="521" spans="1:11" x14ac:dyDescent="0.2">
      <c r="A521" s="8" t="s">
        <v>109</v>
      </c>
      <c r="B521" s="9"/>
      <c r="C521" s="9"/>
      <c r="D521" s="9"/>
      <c r="E521" s="9"/>
      <c r="F521" s="9"/>
      <c r="G521" s="9"/>
      <c r="H521" s="9"/>
      <c r="I521" s="9"/>
      <c r="J521" s="9"/>
      <c r="K521" s="412"/>
    </row>
    <row r="522" spans="1:11" x14ac:dyDescent="0.2">
      <c r="A522" s="10" t="s">
        <v>357</v>
      </c>
      <c r="K522" s="413"/>
    </row>
    <row r="523" spans="1:11" x14ac:dyDescent="0.2">
      <c r="A523" s="10" t="s">
        <v>357</v>
      </c>
      <c r="K523" s="413"/>
    </row>
    <row r="524" spans="1:11" x14ac:dyDescent="0.2">
      <c r="A524" s="10" t="s">
        <v>591</v>
      </c>
      <c r="K524" s="413"/>
    </row>
    <row r="525" spans="1:11" x14ac:dyDescent="0.2">
      <c r="A525" s="10" t="s">
        <v>659</v>
      </c>
      <c r="K525" s="413"/>
    </row>
    <row r="526" spans="1:11" x14ac:dyDescent="0.2">
      <c r="A526" s="55" t="s">
        <v>790</v>
      </c>
      <c r="B526" s="255"/>
      <c r="C526" s="255"/>
      <c r="D526" s="255"/>
      <c r="E526" s="255"/>
      <c r="F526" s="255"/>
      <c r="K526" s="413"/>
    </row>
    <row r="527" spans="1:11" x14ac:dyDescent="0.2">
      <c r="A527" s="478" t="s">
        <v>981</v>
      </c>
      <c r="B527" s="63"/>
      <c r="C527" s="63"/>
      <c r="D527" s="63"/>
      <c r="E527" s="63"/>
      <c r="F527" s="63"/>
      <c r="G527" s="13"/>
      <c r="H527" s="13"/>
      <c r="I527" s="13"/>
      <c r="J527" s="13"/>
      <c r="K527" s="14"/>
    </row>
    <row r="529" spans="1:11" x14ac:dyDescent="0.2">
      <c r="A529" s="43" t="s">
        <v>14</v>
      </c>
      <c r="B529" s="56" t="s">
        <v>74</v>
      </c>
      <c r="C529" s="45" t="s">
        <v>15</v>
      </c>
    </row>
    <row r="530" spans="1:11" x14ac:dyDescent="0.2">
      <c r="A530" s="46" t="s">
        <v>16</v>
      </c>
      <c r="B530" s="2">
        <v>2015</v>
      </c>
      <c r="C530" s="57">
        <v>2016</v>
      </c>
      <c r="D530" s="2">
        <v>2017</v>
      </c>
      <c r="E530" s="58">
        <v>2018</v>
      </c>
      <c r="F530" s="58">
        <v>2019</v>
      </c>
      <c r="G530" s="2">
        <v>2020</v>
      </c>
      <c r="H530" s="2">
        <v>2021</v>
      </c>
      <c r="I530" s="2">
        <v>2022</v>
      </c>
      <c r="J530" s="468">
        <v>2023</v>
      </c>
      <c r="K530" s="468">
        <v>2024</v>
      </c>
    </row>
    <row r="531" spans="1:11" x14ac:dyDescent="0.2">
      <c r="A531" s="46" t="s">
        <v>17</v>
      </c>
      <c r="B531" s="5">
        <v>150</v>
      </c>
      <c r="C531" s="65">
        <v>150</v>
      </c>
      <c r="D531" s="5">
        <v>150</v>
      </c>
      <c r="E531" s="66">
        <v>150</v>
      </c>
      <c r="F531" s="66">
        <v>150</v>
      </c>
      <c r="G531" s="5">
        <v>126.2</v>
      </c>
      <c r="H531" s="5">
        <v>126.2</v>
      </c>
      <c r="I531" s="5">
        <v>126.2</v>
      </c>
      <c r="J531" s="409">
        <v>126.2</v>
      </c>
      <c r="K531" s="409">
        <v>126.2</v>
      </c>
    </row>
    <row r="532" spans="1:11" x14ac:dyDescent="0.2">
      <c r="A532" s="46" t="s">
        <v>18</v>
      </c>
      <c r="B532" s="5">
        <v>165</v>
      </c>
      <c r="C532" s="65">
        <v>165</v>
      </c>
      <c r="D532" s="5">
        <v>165</v>
      </c>
      <c r="E532" s="66">
        <v>165</v>
      </c>
      <c r="F532" s="66">
        <v>165</v>
      </c>
      <c r="G532" s="5">
        <f>G531+0.1*E531</f>
        <v>141.19999999999999</v>
      </c>
      <c r="H532" s="5">
        <f>H531+0.1*F531</f>
        <v>141.19999999999999</v>
      </c>
      <c r="I532" s="5"/>
      <c r="J532" s="409"/>
      <c r="K532" s="409"/>
    </row>
    <row r="533" spans="1:11" x14ac:dyDescent="0.2">
      <c r="A533" s="46" t="s">
        <v>19</v>
      </c>
      <c r="B533" s="67" t="s">
        <v>110</v>
      </c>
      <c r="C533" s="67" t="s">
        <v>110</v>
      </c>
      <c r="D533" s="67" t="s">
        <v>110</v>
      </c>
      <c r="E533" s="68" t="s">
        <v>110</v>
      </c>
      <c r="F533" s="68" t="s">
        <v>110</v>
      </c>
      <c r="G533" s="68" t="s">
        <v>358</v>
      </c>
      <c r="H533" s="68" t="s">
        <v>358</v>
      </c>
      <c r="I533" s="68"/>
      <c r="J533" s="489"/>
      <c r="K533" s="489"/>
    </row>
    <row r="534" spans="1:11" x14ac:dyDescent="0.2">
      <c r="A534" s="46" t="s">
        <v>20</v>
      </c>
      <c r="B534" s="5">
        <v>61</v>
      </c>
      <c r="C534" s="65">
        <v>75</v>
      </c>
      <c r="D534" s="5">
        <v>73</v>
      </c>
      <c r="E534" s="5">
        <v>74</v>
      </c>
      <c r="F534" s="66">
        <v>40</v>
      </c>
      <c r="G534" s="5">
        <v>91.4</v>
      </c>
      <c r="H534" s="5">
        <v>96.1</v>
      </c>
      <c r="I534" s="5">
        <v>58</v>
      </c>
      <c r="J534" s="409">
        <v>71</v>
      </c>
      <c r="K534" s="409"/>
    </row>
    <row r="535" spans="1:11" x14ac:dyDescent="0.2">
      <c r="A535" s="46" t="s">
        <v>21</v>
      </c>
      <c r="B535" s="5">
        <v>104</v>
      </c>
      <c r="C535" s="65">
        <v>90</v>
      </c>
      <c r="D535" s="5">
        <v>92</v>
      </c>
      <c r="E535" s="5">
        <v>91</v>
      </c>
      <c r="F535" s="66">
        <f>F532-F534</f>
        <v>125</v>
      </c>
      <c r="G535" s="5">
        <f>G532-G534</f>
        <v>49.799999999999983</v>
      </c>
      <c r="H535" s="5">
        <f>H532-H534</f>
        <v>45.099999999999994</v>
      </c>
      <c r="I535" s="5">
        <f>I531-I534</f>
        <v>68.2</v>
      </c>
      <c r="J535" s="409">
        <f>J531-J534</f>
        <v>55.2</v>
      </c>
      <c r="K535" s="409"/>
    </row>
    <row r="536" spans="1:11" x14ac:dyDescent="0.2">
      <c r="A536" s="8" t="s">
        <v>22</v>
      </c>
      <c r="B536" s="28">
        <v>2017</v>
      </c>
      <c r="C536" s="62">
        <v>2018</v>
      </c>
      <c r="D536" s="28">
        <v>2019</v>
      </c>
      <c r="E536" s="28">
        <v>2020</v>
      </c>
      <c r="F536" s="29">
        <v>2021</v>
      </c>
      <c r="G536" s="28" t="s">
        <v>161</v>
      </c>
      <c r="H536" s="28" t="s">
        <v>161</v>
      </c>
      <c r="I536" s="28" t="s">
        <v>161</v>
      </c>
      <c r="J536" s="467" t="s">
        <v>161</v>
      </c>
      <c r="K536" s="467" t="s">
        <v>161</v>
      </c>
    </row>
    <row r="537" spans="1:11" x14ac:dyDescent="0.2">
      <c r="A537" s="8" t="s">
        <v>23</v>
      </c>
      <c r="B537" s="9"/>
      <c r="C537" s="9"/>
      <c r="D537" s="9"/>
      <c r="E537" s="9"/>
      <c r="F537" s="9"/>
      <c r="G537" s="9"/>
      <c r="H537" s="7"/>
      <c r="I537" s="7"/>
      <c r="J537" s="411"/>
      <c r="K537" s="412"/>
    </row>
    <row r="538" spans="1:11" x14ac:dyDescent="0.2">
      <c r="A538" s="703" t="s">
        <v>111</v>
      </c>
      <c r="B538" s="704"/>
      <c r="C538" s="704"/>
      <c r="D538" s="704"/>
      <c r="E538" s="704"/>
      <c r="F538" s="704"/>
      <c r="G538" s="9"/>
      <c r="H538" s="9"/>
      <c r="I538" s="9"/>
      <c r="J538" s="9"/>
      <c r="K538" s="7"/>
    </row>
    <row r="539" spans="1:11" x14ac:dyDescent="0.2">
      <c r="A539" s="55" t="s">
        <v>359</v>
      </c>
      <c r="B539" s="255"/>
      <c r="C539" s="255"/>
      <c r="D539" s="255"/>
      <c r="E539" s="255"/>
      <c r="F539" s="255"/>
      <c r="K539" s="12"/>
    </row>
    <row r="540" spans="1:11" x14ac:dyDescent="0.2">
      <c r="A540" s="55" t="s">
        <v>451</v>
      </c>
      <c r="B540" s="255"/>
      <c r="C540" s="255"/>
      <c r="D540" s="255"/>
      <c r="E540" s="255"/>
      <c r="F540" s="255"/>
      <c r="K540" s="12"/>
    </row>
    <row r="541" spans="1:11" x14ac:dyDescent="0.2">
      <c r="A541" s="55" t="s">
        <v>660</v>
      </c>
      <c r="B541" s="255"/>
      <c r="C541" s="255"/>
      <c r="D541" s="255"/>
      <c r="E541" s="255"/>
      <c r="F541" s="255"/>
      <c r="K541" s="12"/>
    </row>
    <row r="542" spans="1:11" x14ac:dyDescent="0.2">
      <c r="A542" s="1" t="s">
        <v>779</v>
      </c>
      <c r="B542" s="13"/>
      <c r="C542" s="13"/>
      <c r="D542" s="13"/>
      <c r="E542" s="13"/>
      <c r="F542" s="13"/>
      <c r="G542" s="13"/>
      <c r="H542" s="13"/>
      <c r="I542" s="13"/>
      <c r="J542" s="13"/>
      <c r="K542" s="14"/>
    </row>
    <row r="544" spans="1:11" x14ac:dyDescent="0.2">
      <c r="A544" s="43" t="s">
        <v>14</v>
      </c>
      <c r="B544" s="56" t="s">
        <v>79</v>
      </c>
      <c r="C544" s="45" t="s">
        <v>15</v>
      </c>
    </row>
    <row r="545" spans="1:11" x14ac:dyDescent="0.2">
      <c r="A545" s="46" t="s">
        <v>16</v>
      </c>
      <c r="B545" s="2">
        <v>2015</v>
      </c>
      <c r="C545" s="57">
        <v>2016</v>
      </c>
      <c r="D545" s="2">
        <v>2017</v>
      </c>
      <c r="E545" s="58">
        <v>2018</v>
      </c>
      <c r="F545" s="58">
        <v>2019</v>
      </c>
      <c r="G545" s="2">
        <v>2020</v>
      </c>
      <c r="H545" s="2">
        <v>2021</v>
      </c>
      <c r="I545" s="2">
        <v>2022</v>
      </c>
      <c r="J545" s="468">
        <v>2023</v>
      </c>
      <c r="K545" s="468">
        <v>2024</v>
      </c>
    </row>
    <row r="546" spans="1:11" x14ac:dyDescent="0.2">
      <c r="A546" s="46" t="s">
        <v>17</v>
      </c>
      <c r="B546" s="5">
        <v>50</v>
      </c>
      <c r="C546" s="65">
        <v>50</v>
      </c>
      <c r="D546" s="5">
        <v>50</v>
      </c>
      <c r="E546" s="66">
        <v>50</v>
      </c>
      <c r="F546" s="66">
        <v>50</v>
      </c>
      <c r="G546" s="5">
        <v>50</v>
      </c>
      <c r="H546" s="5">
        <v>50</v>
      </c>
      <c r="I546" s="5">
        <v>50</v>
      </c>
      <c r="J546" s="409">
        <v>50</v>
      </c>
      <c r="K546" s="409">
        <v>50</v>
      </c>
    </row>
    <row r="547" spans="1:11" x14ac:dyDescent="0.2">
      <c r="A547" s="46" t="s">
        <v>18</v>
      </c>
      <c r="B547" s="5">
        <v>55</v>
      </c>
      <c r="C547" s="65">
        <v>55</v>
      </c>
      <c r="D547" s="5">
        <v>55</v>
      </c>
      <c r="E547" s="66">
        <v>55</v>
      </c>
      <c r="F547" s="66">
        <v>55</v>
      </c>
      <c r="G547" s="5">
        <f>G546*1.1</f>
        <v>55.000000000000007</v>
      </c>
      <c r="H547" s="5">
        <f>H546*1.1</f>
        <v>55.000000000000007</v>
      </c>
      <c r="I547" s="5"/>
      <c r="J547" s="409"/>
      <c r="K547" s="409"/>
    </row>
    <row r="548" spans="1:11" x14ac:dyDescent="0.2">
      <c r="A548" s="46" t="s">
        <v>19</v>
      </c>
      <c r="B548" s="67" t="s">
        <v>112</v>
      </c>
      <c r="C548" s="67" t="s">
        <v>112</v>
      </c>
      <c r="D548" s="67" t="s">
        <v>112</v>
      </c>
      <c r="E548" s="68" t="s">
        <v>112</v>
      </c>
      <c r="F548" s="68" t="s">
        <v>112</v>
      </c>
      <c r="G548" s="68" t="s">
        <v>112</v>
      </c>
      <c r="H548" s="68" t="s">
        <v>112</v>
      </c>
      <c r="I548" s="68"/>
      <c r="J548" s="489"/>
      <c r="K548" s="489"/>
    </row>
    <row r="549" spans="1:11" x14ac:dyDescent="0.2">
      <c r="A549" s="46" t="s">
        <v>20</v>
      </c>
      <c r="B549" s="5">
        <v>12</v>
      </c>
      <c r="C549" s="5">
        <v>10</v>
      </c>
      <c r="D549" s="5">
        <v>5</v>
      </c>
      <c r="E549" s="5">
        <v>6</v>
      </c>
      <c r="F549" s="5">
        <v>2</v>
      </c>
      <c r="G549" s="5">
        <v>5.4</v>
      </c>
      <c r="H549" s="5">
        <v>5.2</v>
      </c>
      <c r="I549" s="5">
        <v>2</v>
      </c>
      <c r="J549" s="409">
        <v>1.3</v>
      </c>
      <c r="K549" s="409"/>
    </row>
    <row r="550" spans="1:11" x14ac:dyDescent="0.2">
      <c r="A550" s="46" t="s">
        <v>21</v>
      </c>
      <c r="B550" s="5">
        <v>43</v>
      </c>
      <c r="C550" s="5">
        <f t="shared" ref="C550:H550" si="21">C547-C549</f>
        <v>45</v>
      </c>
      <c r="D550" s="5">
        <f t="shared" si="21"/>
        <v>50</v>
      </c>
      <c r="E550" s="5">
        <f t="shared" si="21"/>
        <v>49</v>
      </c>
      <c r="F550" s="5">
        <f t="shared" si="21"/>
        <v>53</v>
      </c>
      <c r="G550" s="5">
        <f t="shared" si="21"/>
        <v>49.600000000000009</v>
      </c>
      <c r="H550" s="5">
        <f t="shared" si="21"/>
        <v>49.800000000000004</v>
      </c>
      <c r="I550" s="5">
        <f>I546-I549</f>
        <v>48</v>
      </c>
      <c r="J550" s="409">
        <f>J546-J549</f>
        <v>48.7</v>
      </c>
      <c r="K550" s="409"/>
    </row>
    <row r="551" spans="1:11" x14ac:dyDescent="0.2">
      <c r="A551" s="8" t="s">
        <v>22</v>
      </c>
      <c r="B551" s="28">
        <v>2017</v>
      </c>
      <c r="C551" s="69">
        <v>2018</v>
      </c>
      <c r="D551" s="69">
        <v>2019</v>
      </c>
      <c r="E551" s="69">
        <v>2020</v>
      </c>
      <c r="F551" s="69">
        <v>2021</v>
      </c>
      <c r="G551" s="69" t="s">
        <v>161</v>
      </c>
      <c r="H551" s="69" t="s">
        <v>161</v>
      </c>
      <c r="I551" s="69" t="s">
        <v>161</v>
      </c>
      <c r="J551" s="490" t="s">
        <v>161</v>
      </c>
      <c r="K551" s="490" t="s">
        <v>161</v>
      </c>
    </row>
    <row r="552" spans="1:11" x14ac:dyDescent="0.2">
      <c r="A552" s="8" t="s">
        <v>23</v>
      </c>
      <c r="B552" s="9"/>
      <c r="C552" s="9"/>
      <c r="D552" s="9"/>
      <c r="E552" s="9"/>
      <c r="F552" s="9"/>
      <c r="G552" s="9"/>
      <c r="H552" s="7"/>
      <c r="I552" s="7"/>
      <c r="J552" s="412"/>
      <c r="K552" s="412"/>
    </row>
    <row r="553" spans="1:11" x14ac:dyDescent="0.2">
      <c r="A553" s="703" t="s">
        <v>113</v>
      </c>
      <c r="B553" s="704"/>
      <c r="C553" s="704"/>
      <c r="D553" s="704"/>
      <c r="E553" s="704"/>
      <c r="F553" s="704"/>
      <c r="G553" s="9"/>
      <c r="H553" s="9"/>
      <c r="I553" s="9"/>
      <c r="J553" s="9"/>
      <c r="K553" s="7"/>
    </row>
    <row r="554" spans="1:11" x14ac:dyDescent="0.2">
      <c r="A554" s="55" t="s">
        <v>360</v>
      </c>
      <c r="B554" s="255"/>
      <c r="C554" s="255"/>
      <c r="D554" s="255"/>
      <c r="E554" s="255"/>
      <c r="F554" s="255"/>
      <c r="K554" s="12"/>
    </row>
    <row r="555" spans="1:11" x14ac:dyDescent="0.2">
      <c r="A555" s="55" t="s">
        <v>452</v>
      </c>
      <c r="B555" s="255"/>
      <c r="C555" s="255"/>
      <c r="D555" s="255"/>
      <c r="E555" s="255"/>
      <c r="F555" s="255"/>
      <c r="K555" s="12"/>
    </row>
    <row r="556" spans="1:11" x14ac:dyDescent="0.2">
      <c r="A556" s="55" t="s">
        <v>661</v>
      </c>
      <c r="B556" s="255"/>
      <c r="C556" s="255"/>
      <c r="D556" s="255"/>
      <c r="E556" s="255"/>
      <c r="F556" s="255"/>
      <c r="K556" s="12"/>
    </row>
    <row r="557" spans="1:11" x14ac:dyDescent="0.2">
      <c r="A557" s="1" t="s">
        <v>779</v>
      </c>
      <c r="B557" s="13"/>
      <c r="C557" s="13"/>
      <c r="D557" s="13"/>
      <c r="E557" s="13"/>
      <c r="F557" s="13"/>
      <c r="G557" s="13"/>
      <c r="H557" s="13"/>
      <c r="I557" s="13"/>
      <c r="J557" s="13"/>
      <c r="K557" s="14"/>
    </row>
    <row r="560" spans="1:11" x14ac:dyDescent="0.2">
      <c r="A560" s="288" t="s">
        <v>12</v>
      </c>
      <c r="B560" s="289" t="s">
        <v>615</v>
      </c>
    </row>
    <row r="561" spans="1:10" x14ac:dyDescent="0.2">
      <c r="A561" s="286" t="s">
        <v>14</v>
      </c>
      <c r="B561" s="287" t="s">
        <v>625</v>
      </c>
      <c r="C561" s="33" t="s">
        <v>152</v>
      </c>
      <c r="D561" s="35"/>
      <c r="E561" s="35"/>
      <c r="F561" s="35"/>
      <c r="G561" s="35"/>
    </row>
    <row r="562" spans="1:10" s="22" customFormat="1" x14ac:dyDescent="0.2">
      <c r="A562" s="70" t="s">
        <v>27</v>
      </c>
      <c r="B562" s="71">
        <v>2016</v>
      </c>
      <c r="C562" s="71">
        <v>2017</v>
      </c>
      <c r="D562" s="72">
        <v>2018</v>
      </c>
      <c r="E562" s="71">
        <v>2019</v>
      </c>
      <c r="F562" s="73">
        <v>2020</v>
      </c>
      <c r="G562" s="73">
        <v>2021</v>
      </c>
      <c r="H562" s="73">
        <v>2022</v>
      </c>
      <c r="I562" s="73">
        <v>2023</v>
      </c>
      <c r="J562" s="525">
        <v>2024</v>
      </c>
    </row>
    <row r="563" spans="1:10" s="22" customFormat="1" x14ac:dyDescent="0.2">
      <c r="A563" s="70" t="s">
        <v>28</v>
      </c>
      <c r="B563" s="74">
        <v>200</v>
      </c>
      <c r="C563" s="74">
        <v>200</v>
      </c>
      <c r="D563" s="74">
        <v>200</v>
      </c>
      <c r="E563" s="74">
        <v>215</v>
      </c>
      <c r="F563" s="75">
        <v>215</v>
      </c>
      <c r="G563" s="75">
        <v>242</v>
      </c>
      <c r="H563" s="74">
        <v>242</v>
      </c>
      <c r="I563" s="74">
        <v>242</v>
      </c>
      <c r="J563" s="526">
        <v>302</v>
      </c>
    </row>
    <row r="564" spans="1:10" s="22" customFormat="1" x14ac:dyDescent="0.2">
      <c r="A564" s="70" t="s">
        <v>29</v>
      </c>
      <c r="B564" s="76">
        <f>(B563+0.25*200)</f>
        <v>250</v>
      </c>
      <c r="C564" s="76">
        <f>(C563+0.25*B563)</f>
        <v>250</v>
      </c>
      <c r="D564" s="76">
        <f t="shared" ref="D564:J564" si="22">(D563+0.25*C563)</f>
        <v>250</v>
      </c>
      <c r="E564" s="76">
        <f t="shared" si="22"/>
        <v>265</v>
      </c>
      <c r="F564" s="76">
        <f t="shared" si="22"/>
        <v>268.75</v>
      </c>
      <c r="G564" s="76">
        <f t="shared" si="22"/>
        <v>295.75</v>
      </c>
      <c r="H564" s="77">
        <f t="shared" si="22"/>
        <v>302.5</v>
      </c>
      <c r="I564" s="77">
        <f t="shared" si="22"/>
        <v>302.5</v>
      </c>
      <c r="J564" s="527">
        <f t="shared" si="22"/>
        <v>362.5</v>
      </c>
    </row>
    <row r="565" spans="1:10" s="22" customFormat="1" x14ac:dyDescent="0.2">
      <c r="A565" s="70" t="s">
        <v>30</v>
      </c>
      <c r="B565" s="76"/>
      <c r="C565" s="76"/>
      <c r="D565" s="78"/>
      <c r="E565" s="76"/>
      <c r="F565" s="79"/>
      <c r="G565" s="79"/>
      <c r="H565" s="79"/>
      <c r="I565" s="79"/>
      <c r="J565" s="528"/>
    </row>
    <row r="566" spans="1:10" s="22" customFormat="1" x14ac:dyDescent="0.2">
      <c r="A566" s="70" t="s">
        <v>31</v>
      </c>
      <c r="B566" s="74">
        <v>4.6470000000000002</v>
      </c>
      <c r="C566" s="74">
        <v>11.226000000000001</v>
      </c>
      <c r="D566" s="74">
        <v>4.8979999999999997</v>
      </c>
      <c r="E566" s="75">
        <v>1.35</v>
      </c>
      <c r="F566" s="75">
        <v>0.64</v>
      </c>
      <c r="G566" s="75">
        <v>2.34</v>
      </c>
      <c r="H566" s="79">
        <v>1.49</v>
      </c>
      <c r="I566" s="79">
        <v>0.66</v>
      </c>
      <c r="J566" s="528"/>
    </row>
    <row r="567" spans="1:10" s="22" customFormat="1" x14ac:dyDescent="0.2">
      <c r="A567" s="70" t="s">
        <v>32</v>
      </c>
      <c r="B567" s="77">
        <f t="shared" ref="B567:I567" si="23">B564-B566</f>
        <v>245.35300000000001</v>
      </c>
      <c r="C567" s="77">
        <f t="shared" si="23"/>
        <v>238.774</v>
      </c>
      <c r="D567" s="77">
        <f t="shared" si="23"/>
        <v>245.102</v>
      </c>
      <c r="E567" s="77">
        <f t="shared" si="23"/>
        <v>263.64999999999998</v>
      </c>
      <c r="F567" s="77">
        <f t="shared" si="23"/>
        <v>268.11</v>
      </c>
      <c r="G567" s="77">
        <f t="shared" si="23"/>
        <v>293.41000000000003</v>
      </c>
      <c r="H567" s="77">
        <f t="shared" si="23"/>
        <v>301.01</v>
      </c>
      <c r="I567" s="77">
        <f t="shared" si="23"/>
        <v>301.83999999999997</v>
      </c>
      <c r="J567" s="527"/>
    </row>
    <row r="568" spans="1:10" s="22" customFormat="1" x14ac:dyDescent="0.2">
      <c r="A568" s="80" t="s">
        <v>33</v>
      </c>
      <c r="B568" s="256">
        <v>2017</v>
      </c>
      <c r="C568" s="256">
        <v>2018</v>
      </c>
      <c r="D568" s="257">
        <v>2019</v>
      </c>
      <c r="E568" s="256">
        <v>2020</v>
      </c>
      <c r="F568" s="258">
        <v>2021</v>
      </c>
      <c r="G568" s="258">
        <v>2022</v>
      </c>
      <c r="H568" s="258">
        <v>2023</v>
      </c>
      <c r="I568" s="258">
        <v>2024</v>
      </c>
      <c r="J568" s="529">
        <v>2026</v>
      </c>
    </row>
    <row r="569" spans="1:10" s="22" customFormat="1" x14ac:dyDescent="0.2">
      <c r="A569" s="80" t="s">
        <v>34</v>
      </c>
      <c r="B569" s="81"/>
      <c r="C569" s="81"/>
      <c r="D569" s="81"/>
      <c r="E569" s="81"/>
      <c r="F569" s="81"/>
      <c r="G569" s="81"/>
      <c r="H569" s="81"/>
      <c r="I569" s="82"/>
      <c r="J569" s="531"/>
    </row>
    <row r="570" spans="1:10" s="22" customFormat="1" x14ac:dyDescent="0.2">
      <c r="A570" s="80" t="s">
        <v>616</v>
      </c>
      <c r="B570" s="81"/>
      <c r="C570" s="81"/>
      <c r="D570" s="81"/>
      <c r="E570" s="81"/>
      <c r="F570" s="81"/>
      <c r="G570" s="81"/>
      <c r="H570" s="81"/>
      <c r="I570" s="81"/>
      <c r="J570" s="531"/>
    </row>
    <row r="571" spans="1:10" s="22" customFormat="1" x14ac:dyDescent="0.2">
      <c r="A571" s="26" t="s">
        <v>617</v>
      </c>
      <c r="B571" s="21"/>
      <c r="C571" s="21"/>
      <c r="D571" s="21"/>
      <c r="E571" s="21"/>
      <c r="F571" s="21"/>
      <c r="G571" s="21"/>
      <c r="H571" s="21"/>
      <c r="I571" s="21"/>
      <c r="J571" s="532"/>
    </row>
    <row r="572" spans="1:10" s="22" customFormat="1" x14ac:dyDescent="0.2">
      <c r="A572" s="26" t="s">
        <v>618</v>
      </c>
      <c r="B572" s="21"/>
      <c r="C572" s="21"/>
      <c r="D572" s="21"/>
      <c r="E572" s="21"/>
      <c r="F572" s="21"/>
      <c r="G572" s="21"/>
      <c r="H572" s="21"/>
      <c r="I572" s="21"/>
      <c r="J572" s="532"/>
    </row>
    <row r="573" spans="1:10" s="22" customFormat="1" x14ac:dyDescent="0.2">
      <c r="A573" s="26" t="s">
        <v>619</v>
      </c>
      <c r="B573" s="21"/>
      <c r="C573" s="21"/>
      <c r="D573" s="21"/>
      <c r="E573" s="21"/>
      <c r="F573" s="21"/>
      <c r="G573" s="21"/>
      <c r="H573" s="21"/>
      <c r="I573" s="21"/>
      <c r="J573" s="532"/>
    </row>
    <row r="574" spans="1:10" s="22" customFormat="1" x14ac:dyDescent="0.2">
      <c r="A574" s="26" t="s">
        <v>620</v>
      </c>
      <c r="B574" s="21"/>
      <c r="C574" s="21"/>
      <c r="D574" s="21"/>
      <c r="E574" s="21"/>
      <c r="F574" s="21"/>
      <c r="G574" s="21"/>
      <c r="H574" s="21"/>
      <c r="I574" s="21"/>
      <c r="J574" s="532"/>
    </row>
    <row r="575" spans="1:10" s="22" customFormat="1" x14ac:dyDescent="0.2">
      <c r="A575" s="26" t="s">
        <v>621</v>
      </c>
      <c r="B575" s="21"/>
      <c r="C575" s="21"/>
      <c r="D575" s="21"/>
      <c r="E575" s="21"/>
      <c r="F575" s="21"/>
      <c r="G575" s="21"/>
      <c r="H575" s="21"/>
      <c r="I575" s="21"/>
      <c r="J575" s="532"/>
    </row>
    <row r="576" spans="1:10" s="22" customFormat="1" x14ac:dyDescent="0.2">
      <c r="A576" s="26" t="s">
        <v>622</v>
      </c>
      <c r="B576" s="21"/>
      <c r="C576" s="21"/>
      <c r="D576" s="21"/>
      <c r="E576" s="21"/>
      <c r="F576" s="21"/>
      <c r="G576" s="21"/>
      <c r="H576" s="21"/>
      <c r="I576" s="21"/>
      <c r="J576" s="532"/>
    </row>
    <row r="577" spans="1:10" s="22" customFormat="1" x14ac:dyDescent="0.2">
      <c r="A577" s="26" t="s">
        <v>623</v>
      </c>
      <c r="B577" s="21"/>
      <c r="C577" s="21"/>
      <c r="D577" s="21"/>
      <c r="E577" s="21"/>
      <c r="F577" s="21"/>
      <c r="G577" s="21"/>
      <c r="H577" s="21"/>
      <c r="I577" s="21"/>
      <c r="J577" s="532"/>
    </row>
    <row r="578" spans="1:10" s="22" customFormat="1" x14ac:dyDescent="0.2">
      <c r="A578" s="26" t="s">
        <v>791</v>
      </c>
      <c r="B578" s="21"/>
      <c r="C578" s="21"/>
      <c r="D578" s="21"/>
      <c r="E578" s="21"/>
      <c r="F578" s="21"/>
      <c r="G578" s="21"/>
      <c r="H578" s="21"/>
      <c r="I578" s="21"/>
      <c r="J578" s="532"/>
    </row>
    <row r="579" spans="1:10" s="22" customFormat="1" x14ac:dyDescent="0.2">
      <c r="A579" s="516" t="s">
        <v>1013</v>
      </c>
      <c r="B579" s="83"/>
      <c r="C579" s="83"/>
      <c r="D579" s="83"/>
      <c r="E579" s="83"/>
      <c r="F579" s="83"/>
      <c r="G579" s="83"/>
      <c r="H579" s="83"/>
      <c r="I579" s="83"/>
      <c r="J579" s="533"/>
    </row>
    <row r="580" spans="1:10" s="22" customFormat="1" x14ac:dyDescent="0.2">
      <c r="A580" s="21"/>
      <c r="B580" s="21"/>
      <c r="C580" s="21"/>
      <c r="D580" s="21"/>
      <c r="E580" s="21"/>
      <c r="F580" s="21"/>
      <c r="G580" s="21"/>
      <c r="H580" s="21"/>
      <c r="I580" s="21"/>
    </row>
    <row r="581" spans="1:10" x14ac:dyDescent="0.2">
      <c r="A581" s="32" t="s">
        <v>14</v>
      </c>
      <c r="B581" s="33" t="s">
        <v>624</v>
      </c>
      <c r="C581" s="33" t="s">
        <v>152</v>
      </c>
      <c r="D581" s="84"/>
      <c r="E581" s="84"/>
      <c r="F581" s="84"/>
      <c r="G581" s="84"/>
    </row>
    <row r="582" spans="1:10" s="22" customFormat="1" x14ac:dyDescent="0.2">
      <c r="A582" s="70" t="s">
        <v>27</v>
      </c>
      <c r="B582" s="71">
        <v>2016</v>
      </c>
      <c r="C582" s="71">
        <v>2017</v>
      </c>
      <c r="D582" s="72">
        <v>2018</v>
      </c>
      <c r="E582" s="71">
        <v>2019</v>
      </c>
      <c r="F582" s="73">
        <v>2020</v>
      </c>
      <c r="G582" s="73">
        <v>2021</v>
      </c>
      <c r="H582" s="73">
        <v>2022</v>
      </c>
      <c r="I582" s="73">
        <v>2023</v>
      </c>
      <c r="J582" s="525">
        <v>2024</v>
      </c>
    </row>
    <row r="583" spans="1:10" s="22" customFormat="1" x14ac:dyDescent="0.2">
      <c r="A583" s="70" t="s">
        <v>28</v>
      </c>
      <c r="B583" s="85">
        <v>0</v>
      </c>
      <c r="C583" s="85">
        <v>0</v>
      </c>
      <c r="D583" s="85">
        <v>0</v>
      </c>
      <c r="E583" s="85">
        <v>0</v>
      </c>
      <c r="F583" s="86">
        <v>0</v>
      </c>
      <c r="G583" s="86">
        <v>0</v>
      </c>
      <c r="H583" s="85">
        <v>0</v>
      </c>
      <c r="I583" s="85">
        <v>0</v>
      </c>
      <c r="J583" s="534">
        <v>0</v>
      </c>
    </row>
    <row r="584" spans="1:10" s="22" customFormat="1" x14ac:dyDescent="0.2">
      <c r="A584" s="70" t="s">
        <v>29</v>
      </c>
      <c r="B584" s="87">
        <v>-19.86</v>
      </c>
      <c r="C584" s="88">
        <f t="shared" ref="C584:J584" si="24">B587</f>
        <v>-48.64</v>
      </c>
      <c r="D584" s="88">
        <f t="shared" si="24"/>
        <v>-96.69</v>
      </c>
      <c r="E584" s="88">
        <f t="shared" si="24"/>
        <v>-149.34</v>
      </c>
      <c r="F584" s="88">
        <f t="shared" si="24"/>
        <v>-172.85</v>
      </c>
      <c r="G584" s="88">
        <f t="shared" si="24"/>
        <v>-196.03</v>
      </c>
      <c r="H584" s="88">
        <f t="shared" si="24"/>
        <v>-246.64</v>
      </c>
      <c r="I584" s="88">
        <f t="shared" si="24"/>
        <v>-272.18</v>
      </c>
      <c r="J584" s="535">
        <f t="shared" si="24"/>
        <v>-299.51600000000002</v>
      </c>
    </row>
    <row r="585" spans="1:10" s="22" customFormat="1" x14ac:dyDescent="0.2">
      <c r="A585" s="70" t="s">
        <v>30</v>
      </c>
      <c r="B585" s="76" t="s">
        <v>399</v>
      </c>
      <c r="C585" s="78" t="s">
        <v>400</v>
      </c>
      <c r="D585" s="76" t="s">
        <v>401</v>
      </c>
      <c r="E585" s="79" t="s">
        <v>402</v>
      </c>
      <c r="F585" s="79" t="s">
        <v>566</v>
      </c>
      <c r="G585" s="79" t="s">
        <v>605</v>
      </c>
      <c r="H585" s="79" t="s">
        <v>626</v>
      </c>
      <c r="I585" s="79" t="s">
        <v>792</v>
      </c>
      <c r="J585" s="528" t="s">
        <v>1014</v>
      </c>
    </row>
    <row r="586" spans="1:10" s="22" customFormat="1" x14ac:dyDescent="0.2">
      <c r="A586" s="70" t="s">
        <v>31</v>
      </c>
      <c r="B586" s="85">
        <v>28.78</v>
      </c>
      <c r="C586" s="85">
        <v>48.05</v>
      </c>
      <c r="D586" s="85">
        <v>52.65</v>
      </c>
      <c r="E586" s="86">
        <v>23.51</v>
      </c>
      <c r="F586" s="86">
        <v>23.18</v>
      </c>
      <c r="G586" s="86">
        <v>50.61</v>
      </c>
      <c r="H586" s="89">
        <v>25.54</v>
      </c>
      <c r="I586" s="89">
        <v>27.335999999999999</v>
      </c>
      <c r="J586" s="530"/>
    </row>
    <row r="587" spans="1:10" s="22" customFormat="1" x14ac:dyDescent="0.2">
      <c r="A587" s="70" t="s">
        <v>32</v>
      </c>
      <c r="B587" s="77">
        <f t="shared" ref="B587:I587" si="25">B584-B586</f>
        <v>-48.64</v>
      </c>
      <c r="C587" s="77">
        <f t="shared" si="25"/>
        <v>-96.69</v>
      </c>
      <c r="D587" s="77">
        <f t="shared" si="25"/>
        <v>-149.34</v>
      </c>
      <c r="E587" s="77">
        <f t="shared" si="25"/>
        <v>-172.85</v>
      </c>
      <c r="F587" s="77">
        <f t="shared" si="25"/>
        <v>-196.03</v>
      </c>
      <c r="G587" s="77">
        <f t="shared" si="25"/>
        <v>-246.64</v>
      </c>
      <c r="H587" s="77">
        <f t="shared" si="25"/>
        <v>-272.18</v>
      </c>
      <c r="I587" s="77">
        <f t="shared" si="25"/>
        <v>-299.51600000000002</v>
      </c>
      <c r="J587" s="527"/>
    </row>
    <row r="588" spans="1:10" s="22" customFormat="1" x14ac:dyDescent="0.2">
      <c r="A588" s="80" t="s">
        <v>33</v>
      </c>
      <c r="B588" s="90">
        <v>2017</v>
      </c>
      <c r="C588" s="90">
        <v>2018</v>
      </c>
      <c r="D588" s="81">
        <v>2019</v>
      </c>
      <c r="E588" s="90">
        <v>2020</v>
      </c>
      <c r="F588" s="82">
        <v>2021</v>
      </c>
      <c r="G588" s="82">
        <v>2022</v>
      </c>
      <c r="H588" s="82">
        <v>2023</v>
      </c>
      <c r="I588" s="82">
        <v>2024</v>
      </c>
      <c r="J588" s="531">
        <v>2025</v>
      </c>
    </row>
    <row r="589" spans="1:10" s="22" customFormat="1" x14ac:dyDescent="0.2">
      <c r="A589" s="80" t="s">
        <v>34</v>
      </c>
      <c r="B589" s="80"/>
      <c r="C589" s="81"/>
      <c r="D589" s="81"/>
      <c r="E589" s="81"/>
      <c r="F589" s="81"/>
      <c r="G589" s="81"/>
      <c r="H589" s="81"/>
      <c r="I589" s="82"/>
      <c r="J589" s="531"/>
    </row>
    <row r="590" spans="1:10" s="22" customFormat="1" x14ac:dyDescent="0.2">
      <c r="A590" s="91" t="s">
        <v>627</v>
      </c>
      <c r="B590" s="81"/>
      <c r="C590" s="81"/>
      <c r="D590" s="81"/>
      <c r="E590" s="81"/>
      <c r="F590" s="81"/>
      <c r="G590" s="81"/>
      <c r="H590" s="81"/>
      <c r="I590" s="81"/>
      <c r="J590" s="531"/>
    </row>
    <row r="591" spans="1:10" s="22" customFormat="1" x14ac:dyDescent="0.2">
      <c r="A591" s="92" t="s">
        <v>628</v>
      </c>
      <c r="B591" s="21"/>
      <c r="C591" s="21"/>
      <c r="D591" s="21"/>
      <c r="E591" s="21"/>
      <c r="F591" s="21"/>
      <c r="G591" s="21"/>
      <c r="H591" s="21"/>
      <c r="I591" s="21"/>
      <c r="J591" s="532"/>
    </row>
    <row r="592" spans="1:10" s="22" customFormat="1" x14ac:dyDescent="0.2">
      <c r="A592" s="92" t="s">
        <v>629</v>
      </c>
      <c r="B592" s="21"/>
      <c r="C592" s="21"/>
      <c r="D592" s="21"/>
      <c r="E592" s="21"/>
      <c r="F592" s="21"/>
      <c r="G592" s="21"/>
      <c r="H592" s="21"/>
      <c r="I592" s="21"/>
      <c r="J592" s="532"/>
    </row>
    <row r="593" spans="1:10" s="22" customFormat="1" x14ac:dyDescent="0.2">
      <c r="A593" s="92" t="s">
        <v>630</v>
      </c>
      <c r="B593" s="21"/>
      <c r="C593" s="21"/>
      <c r="D593" s="21"/>
      <c r="E593" s="21"/>
      <c r="F593" s="21"/>
      <c r="G593" s="21"/>
      <c r="H593" s="21"/>
      <c r="I593" s="21"/>
      <c r="J593" s="532"/>
    </row>
    <row r="594" spans="1:10" s="22" customFormat="1" x14ac:dyDescent="0.2">
      <c r="A594" s="92" t="s">
        <v>631</v>
      </c>
      <c r="B594" s="21"/>
      <c r="C594" s="21"/>
      <c r="D594" s="21"/>
      <c r="E594" s="21"/>
      <c r="F594" s="21"/>
      <c r="G594" s="21"/>
      <c r="H594" s="21"/>
      <c r="I594" s="21"/>
      <c r="J594" s="532"/>
    </row>
    <row r="595" spans="1:10" s="22" customFormat="1" x14ac:dyDescent="0.2">
      <c r="A595" s="92" t="s">
        <v>632</v>
      </c>
      <c r="B595" s="21"/>
      <c r="C595" s="21"/>
      <c r="D595" s="21"/>
      <c r="E595" s="21"/>
      <c r="F595" s="21"/>
      <c r="G595" s="21"/>
      <c r="H595" s="21"/>
      <c r="I595" s="21"/>
      <c r="J595" s="532"/>
    </row>
    <row r="596" spans="1:10" s="22" customFormat="1" x14ac:dyDescent="0.2">
      <c r="A596" s="92" t="s">
        <v>633</v>
      </c>
      <c r="B596" s="21"/>
      <c r="C596" s="21"/>
      <c r="D596" s="21"/>
      <c r="E596" s="21"/>
      <c r="F596" s="21"/>
      <c r="G596" s="21"/>
      <c r="H596" s="21"/>
      <c r="I596" s="21"/>
      <c r="J596" s="532"/>
    </row>
    <row r="597" spans="1:10" s="22" customFormat="1" x14ac:dyDescent="0.2">
      <c r="A597" s="92" t="s">
        <v>793</v>
      </c>
      <c r="B597" s="21"/>
      <c r="C597" s="21"/>
      <c r="D597" s="21"/>
      <c r="E597" s="21"/>
      <c r="F597" s="21"/>
      <c r="G597" s="21"/>
      <c r="H597" s="21"/>
      <c r="I597" s="21"/>
      <c r="J597" s="532"/>
    </row>
    <row r="598" spans="1:10" s="22" customFormat="1" x14ac:dyDescent="0.2">
      <c r="A598" s="536" t="s">
        <v>1015</v>
      </c>
      <c r="B598" s="83"/>
      <c r="C598" s="83"/>
      <c r="D598" s="83"/>
      <c r="E598" s="83"/>
      <c r="F598" s="83"/>
      <c r="G598" s="83"/>
      <c r="H598" s="83"/>
      <c r="I598" s="83"/>
      <c r="J598" s="533"/>
    </row>
    <row r="599" spans="1:10" s="22" customFormat="1" x14ac:dyDescent="0.2">
      <c r="A599" s="21"/>
      <c r="B599" s="21"/>
      <c r="C599" s="21"/>
      <c r="D599" s="21"/>
      <c r="E599" s="21"/>
      <c r="F599" s="21"/>
      <c r="G599" s="21"/>
      <c r="H599" s="21"/>
      <c r="I599" s="21"/>
    </row>
    <row r="600" spans="1:10" s="22" customFormat="1" x14ac:dyDescent="0.2">
      <c r="A600" s="32" t="s">
        <v>14</v>
      </c>
      <c r="B600" s="33" t="s">
        <v>74</v>
      </c>
      <c r="C600" s="33" t="s">
        <v>152</v>
      </c>
      <c r="D600" s="21"/>
      <c r="E600" s="21"/>
      <c r="F600" s="21"/>
      <c r="G600" s="21"/>
      <c r="H600" s="21"/>
      <c r="I600" s="21"/>
    </row>
    <row r="601" spans="1:10" s="22" customFormat="1" x14ac:dyDescent="0.2">
      <c r="A601" s="70" t="s">
        <v>27</v>
      </c>
      <c r="B601" s="93">
        <v>2016</v>
      </c>
      <c r="C601" s="93">
        <v>2017</v>
      </c>
      <c r="D601" s="94">
        <v>2018</v>
      </c>
      <c r="E601" s="93">
        <v>2019</v>
      </c>
      <c r="F601" s="95">
        <v>2020</v>
      </c>
      <c r="G601" s="95">
        <v>2021</v>
      </c>
      <c r="H601" s="95">
        <v>2022</v>
      </c>
      <c r="I601" s="95">
        <v>2023</v>
      </c>
      <c r="J601" s="537">
        <v>2024</v>
      </c>
    </row>
    <row r="602" spans="1:10" s="22" customFormat="1" x14ac:dyDescent="0.2">
      <c r="A602" s="70" t="s">
        <v>28</v>
      </c>
      <c r="B602" s="74">
        <v>10</v>
      </c>
      <c r="C602" s="74">
        <v>10</v>
      </c>
      <c r="D602" s="74">
        <v>10</v>
      </c>
      <c r="E602" s="74">
        <v>10</v>
      </c>
      <c r="F602" s="74">
        <v>10</v>
      </c>
      <c r="G602" s="74">
        <v>10</v>
      </c>
      <c r="H602" s="74">
        <v>10</v>
      </c>
      <c r="I602" s="74">
        <v>10</v>
      </c>
      <c r="J602" s="526">
        <v>10</v>
      </c>
    </row>
    <row r="603" spans="1:10" s="22" customFormat="1" x14ac:dyDescent="0.2">
      <c r="A603" s="70" t="s">
        <v>29</v>
      </c>
      <c r="B603" s="77">
        <v>10</v>
      </c>
      <c r="C603" s="77">
        <f>B606+10</f>
        <v>-31.037900001525877</v>
      </c>
      <c r="D603" s="77">
        <f>C606+10</f>
        <v>-100.44840000534057</v>
      </c>
      <c r="E603" s="77">
        <f>D606+10</f>
        <v>-131.83390000534058</v>
      </c>
      <c r="F603" s="77">
        <f>E606+10</f>
        <v>-149.28490000534057</v>
      </c>
      <c r="G603" s="77">
        <f>F606+10</f>
        <v>-157.49490000534058</v>
      </c>
      <c r="H603" s="77">
        <f>1.25*G606+H602</f>
        <v>-216.48112500667571</v>
      </c>
      <c r="I603" s="77">
        <f>1.25*H606+I602</f>
        <v>-273.73890625834463</v>
      </c>
      <c r="J603" s="527">
        <f>1.25*I606+J602</f>
        <v>-342.7198828229308</v>
      </c>
    </row>
    <row r="604" spans="1:10" s="22" customFormat="1" x14ac:dyDescent="0.2">
      <c r="A604" s="70" t="s">
        <v>30</v>
      </c>
      <c r="B604" s="76"/>
      <c r="C604" s="76" t="s">
        <v>399</v>
      </c>
      <c r="D604" s="78" t="s">
        <v>400</v>
      </c>
      <c r="E604" s="76" t="s">
        <v>401</v>
      </c>
      <c r="F604" s="79" t="s">
        <v>402</v>
      </c>
      <c r="G604" s="79" t="s">
        <v>566</v>
      </c>
      <c r="H604" s="79" t="s">
        <v>605</v>
      </c>
      <c r="I604" s="79" t="s">
        <v>626</v>
      </c>
      <c r="J604" s="528" t="s">
        <v>792</v>
      </c>
    </row>
    <row r="605" spans="1:10" s="22" customFormat="1" x14ac:dyDescent="0.2">
      <c r="A605" s="70" t="s">
        <v>31</v>
      </c>
      <c r="B605" s="96">
        <v>51.037900001525877</v>
      </c>
      <c r="C605" s="96">
        <v>79.410500003814704</v>
      </c>
      <c r="D605" s="96">
        <v>41.3855</v>
      </c>
      <c r="E605" s="97">
        <v>27.451000000000001</v>
      </c>
      <c r="F605" s="97">
        <v>18.21</v>
      </c>
      <c r="G605" s="75">
        <v>23.69</v>
      </c>
      <c r="H605" s="79">
        <v>10.51</v>
      </c>
      <c r="I605" s="538">
        <v>8.4369999999999994</v>
      </c>
      <c r="J605" s="528"/>
    </row>
    <row r="606" spans="1:10" s="22" customFormat="1" x14ac:dyDescent="0.2">
      <c r="A606" s="70" t="s">
        <v>32</v>
      </c>
      <c r="B606" s="77">
        <f t="shared" ref="B606:I606" si="26">B603-B605</f>
        <v>-41.037900001525877</v>
      </c>
      <c r="C606" s="77">
        <f t="shared" si="26"/>
        <v>-110.44840000534057</v>
      </c>
      <c r="D606" s="77">
        <f t="shared" si="26"/>
        <v>-141.83390000534058</v>
      </c>
      <c r="E606" s="77">
        <f t="shared" si="26"/>
        <v>-159.28490000534057</v>
      </c>
      <c r="F606" s="77">
        <f t="shared" si="26"/>
        <v>-167.49490000534058</v>
      </c>
      <c r="G606" s="77">
        <f t="shared" si="26"/>
        <v>-181.18490000534058</v>
      </c>
      <c r="H606" s="77">
        <f t="shared" si="26"/>
        <v>-226.9911250066757</v>
      </c>
      <c r="I606" s="77">
        <f t="shared" si="26"/>
        <v>-282.17590625834464</v>
      </c>
      <c r="J606" s="527"/>
    </row>
    <row r="607" spans="1:10" s="22" customFormat="1" x14ac:dyDescent="0.2">
      <c r="A607" s="80" t="s">
        <v>33</v>
      </c>
      <c r="B607" s="256">
        <v>2017</v>
      </c>
      <c r="C607" s="256">
        <v>2018</v>
      </c>
      <c r="D607" s="257">
        <v>2019</v>
      </c>
      <c r="E607" s="256">
        <v>2020</v>
      </c>
      <c r="F607" s="258">
        <v>2021</v>
      </c>
      <c r="G607" s="258">
        <v>2022</v>
      </c>
      <c r="H607" s="258">
        <v>2023</v>
      </c>
      <c r="I607" s="258">
        <v>2024</v>
      </c>
      <c r="J607" s="529">
        <v>2025</v>
      </c>
    </row>
    <row r="608" spans="1:10" s="22" customFormat="1" x14ac:dyDescent="0.2">
      <c r="A608" s="80" t="s">
        <v>34</v>
      </c>
      <c r="B608" s="81"/>
      <c r="C608" s="81"/>
      <c r="D608" s="81"/>
      <c r="E608" s="81"/>
      <c r="F608" s="81"/>
      <c r="G608" s="81"/>
      <c r="H608" s="81"/>
      <c r="I608" s="81"/>
      <c r="J608" s="531"/>
    </row>
    <row r="609" spans="1:10" s="22" customFormat="1" x14ac:dyDescent="0.2">
      <c r="A609" s="92" t="s">
        <v>634</v>
      </c>
      <c r="B609" s="21"/>
      <c r="C609" s="21"/>
      <c r="D609" s="21"/>
      <c r="E609" s="21"/>
      <c r="F609" s="21"/>
      <c r="G609" s="21"/>
      <c r="H609" s="21"/>
      <c r="I609" s="21"/>
      <c r="J609" s="532"/>
    </row>
    <row r="610" spans="1:10" s="22" customFormat="1" x14ac:dyDescent="0.2">
      <c r="A610" s="92" t="s">
        <v>901</v>
      </c>
      <c r="B610" s="21"/>
      <c r="C610" s="21"/>
      <c r="D610" s="21"/>
      <c r="E610" s="21"/>
      <c r="F610" s="21"/>
      <c r="G610" s="21"/>
      <c r="H610" s="21"/>
      <c r="I610" s="21"/>
      <c r="J610" s="532"/>
    </row>
    <row r="611" spans="1:10" s="22" customFormat="1" x14ac:dyDescent="0.2">
      <c r="A611" s="92" t="s">
        <v>902</v>
      </c>
      <c r="B611" s="21"/>
      <c r="C611" s="21"/>
      <c r="D611" s="21"/>
      <c r="E611" s="21"/>
      <c r="F611" s="21"/>
      <c r="G611" s="21"/>
      <c r="H611" s="21"/>
      <c r="I611" s="21"/>
      <c r="J611" s="532"/>
    </row>
    <row r="612" spans="1:10" s="22" customFormat="1" x14ac:dyDescent="0.2">
      <c r="A612" s="92" t="s">
        <v>903</v>
      </c>
      <c r="B612" s="21"/>
      <c r="C612" s="21"/>
      <c r="D612" s="21"/>
      <c r="E612" s="21"/>
      <c r="F612" s="21"/>
      <c r="G612" s="21"/>
      <c r="H612" s="21"/>
      <c r="I612" s="21"/>
      <c r="J612" s="532"/>
    </row>
    <row r="613" spans="1:10" s="22" customFormat="1" x14ac:dyDescent="0.2">
      <c r="A613" s="92" t="s">
        <v>904</v>
      </c>
      <c r="B613" s="21"/>
      <c r="C613" s="21"/>
      <c r="D613" s="21"/>
      <c r="E613" s="21"/>
      <c r="F613" s="21"/>
      <c r="G613" s="21"/>
      <c r="H613" s="21"/>
      <c r="I613" s="21"/>
      <c r="J613" s="532"/>
    </row>
    <row r="614" spans="1:10" s="22" customFormat="1" x14ac:dyDescent="0.2">
      <c r="A614" s="92" t="s">
        <v>899</v>
      </c>
      <c r="B614" s="21"/>
      <c r="C614" s="21"/>
      <c r="D614" s="21"/>
      <c r="E614" s="21"/>
      <c r="F614" s="21"/>
      <c r="G614" s="21"/>
      <c r="H614" s="21"/>
      <c r="I614" s="21"/>
      <c r="J614" s="532"/>
    </row>
    <row r="615" spans="1:10" s="22" customFormat="1" x14ac:dyDescent="0.2">
      <c r="A615" s="92" t="s">
        <v>900</v>
      </c>
      <c r="B615" s="21"/>
      <c r="C615" s="21"/>
      <c r="D615" s="21"/>
      <c r="E615" s="21"/>
      <c r="F615" s="21"/>
      <c r="G615" s="21"/>
      <c r="H615" s="21"/>
      <c r="I615" s="21"/>
      <c r="J615" s="532"/>
    </row>
    <row r="616" spans="1:10" s="22" customFormat="1" x14ac:dyDescent="0.2">
      <c r="A616" s="536" t="s">
        <v>1016</v>
      </c>
      <c r="B616" s="83"/>
      <c r="C616" s="83"/>
      <c r="D616" s="83"/>
      <c r="E616" s="83"/>
      <c r="F616" s="83"/>
      <c r="G616" s="83"/>
      <c r="H616" s="83"/>
      <c r="I616" s="83"/>
      <c r="J616" s="533"/>
    </row>
    <row r="619" spans="1:10" x14ac:dyDescent="0.2">
      <c r="A619" s="288" t="s">
        <v>12</v>
      </c>
      <c r="B619" s="289" t="s">
        <v>246</v>
      </c>
    </row>
    <row r="620" spans="1:10" x14ac:dyDescent="0.2">
      <c r="A620" s="43" t="s">
        <v>14</v>
      </c>
      <c r="B620" s="56" t="s">
        <v>639</v>
      </c>
      <c r="C620" s="45" t="s">
        <v>15</v>
      </c>
    </row>
    <row r="621" spans="1:10" x14ac:dyDescent="0.2">
      <c r="A621" s="46" t="s">
        <v>16</v>
      </c>
      <c r="B621" s="2"/>
      <c r="C621" s="58">
        <v>2024</v>
      </c>
      <c r="D621" s="689">
        <v>2025</v>
      </c>
    </row>
    <row r="622" spans="1:10" x14ac:dyDescent="0.2">
      <c r="A622" s="46" t="s">
        <v>17</v>
      </c>
      <c r="B622" s="19"/>
      <c r="C622" s="3">
        <v>120</v>
      </c>
      <c r="D622" s="330">
        <v>120</v>
      </c>
    </row>
    <row r="623" spans="1:10" x14ac:dyDescent="0.2">
      <c r="A623" s="46" t="s">
        <v>18</v>
      </c>
      <c r="B623" s="19"/>
      <c r="C623" s="3">
        <f>C622+1.49</f>
        <v>121.49</v>
      </c>
      <c r="D623" s="330">
        <f>D622+0.25*120</f>
        <v>150</v>
      </c>
    </row>
    <row r="624" spans="1:10" x14ac:dyDescent="0.2">
      <c r="A624" s="46" t="s">
        <v>19</v>
      </c>
      <c r="B624" s="60"/>
      <c r="C624" s="60" t="s">
        <v>934</v>
      </c>
      <c r="D624" s="635" t="s">
        <v>1126</v>
      </c>
    </row>
    <row r="625" spans="1:11" x14ac:dyDescent="0.2">
      <c r="A625" s="46" t="s">
        <v>20</v>
      </c>
      <c r="B625" s="19"/>
      <c r="C625" s="3"/>
      <c r="D625" s="330"/>
    </row>
    <row r="626" spans="1:11" x14ac:dyDescent="0.2">
      <c r="A626" s="46" t="s">
        <v>21</v>
      </c>
      <c r="B626" s="19"/>
      <c r="C626" s="3"/>
      <c r="D626" s="330"/>
    </row>
    <row r="627" spans="1:11" x14ac:dyDescent="0.2">
      <c r="A627" s="8" t="s">
        <v>22</v>
      </c>
      <c r="B627" s="28"/>
      <c r="C627" s="29">
        <v>2026</v>
      </c>
      <c r="D627" s="473">
        <v>2027</v>
      </c>
    </row>
    <row r="628" spans="1:11" x14ac:dyDescent="0.2">
      <c r="A628" s="8" t="s">
        <v>23</v>
      </c>
      <c r="B628" s="9"/>
      <c r="C628" s="9"/>
      <c r="D628" s="412"/>
    </row>
    <row r="629" spans="1:11" x14ac:dyDescent="0.2">
      <c r="A629" s="55" t="s">
        <v>935</v>
      </c>
      <c r="B629" s="255"/>
      <c r="C629" s="255"/>
      <c r="D629" s="572"/>
      <c r="E629" s="255"/>
      <c r="F629" s="255"/>
    </row>
    <row r="630" spans="1:11" x14ac:dyDescent="0.2">
      <c r="A630" s="478" t="s">
        <v>1127</v>
      </c>
      <c r="B630" s="63"/>
      <c r="C630" s="63"/>
      <c r="D630" s="684"/>
      <c r="E630" s="255"/>
      <c r="F630" s="255"/>
    </row>
    <row r="632" spans="1:11" x14ac:dyDescent="0.2">
      <c r="A632" s="32" t="s">
        <v>14</v>
      </c>
      <c r="B632" s="33" t="s">
        <v>624</v>
      </c>
      <c r="C632" s="33" t="s">
        <v>152</v>
      </c>
      <c r="D632" s="35"/>
      <c r="E632" s="35"/>
      <c r="F632" s="35"/>
      <c r="G632" s="35"/>
    </row>
    <row r="633" spans="1:11" x14ac:dyDescent="0.2">
      <c r="A633" s="98" t="s">
        <v>16</v>
      </c>
      <c r="B633" s="99"/>
      <c r="C633" s="100">
        <v>2015</v>
      </c>
      <c r="D633" s="100">
        <v>2016</v>
      </c>
      <c r="E633" s="100" t="s">
        <v>242</v>
      </c>
      <c r="F633" s="100" t="s">
        <v>243</v>
      </c>
      <c r="G633" s="100" t="s">
        <v>244</v>
      </c>
      <c r="H633" s="100" t="s">
        <v>286</v>
      </c>
      <c r="I633" s="100" t="s">
        <v>504</v>
      </c>
      <c r="J633" s="100" t="s">
        <v>678</v>
      </c>
      <c r="K633" s="100" t="s">
        <v>831</v>
      </c>
    </row>
    <row r="634" spans="1:11" x14ac:dyDescent="0.2">
      <c r="A634" s="36" t="s">
        <v>17</v>
      </c>
      <c r="B634" s="101"/>
      <c r="C634" s="102">
        <v>50</v>
      </c>
      <c r="D634" s="102">
        <v>50</v>
      </c>
      <c r="E634" s="102">
        <v>50</v>
      </c>
      <c r="F634" s="102">
        <v>50</v>
      </c>
      <c r="G634" s="102">
        <v>50</v>
      </c>
      <c r="H634" s="102">
        <v>50</v>
      </c>
      <c r="I634" s="102">
        <v>50</v>
      </c>
      <c r="J634" s="102">
        <v>50</v>
      </c>
      <c r="K634" s="102">
        <v>50</v>
      </c>
    </row>
    <row r="635" spans="1:11" x14ac:dyDescent="0.2">
      <c r="A635" s="36" t="s">
        <v>18</v>
      </c>
      <c r="B635" s="103"/>
      <c r="C635" s="102">
        <v>75</v>
      </c>
      <c r="D635" s="102">
        <v>75</v>
      </c>
      <c r="E635" s="102">
        <v>75</v>
      </c>
      <c r="F635" s="102">
        <v>70</v>
      </c>
      <c r="G635" s="102">
        <v>70</v>
      </c>
      <c r="H635" s="102">
        <f>H634+F638</f>
        <v>62.6</v>
      </c>
      <c r="I635" s="102">
        <v>70</v>
      </c>
      <c r="J635" s="102">
        <v>70</v>
      </c>
      <c r="K635" s="102">
        <v>70</v>
      </c>
    </row>
    <row r="636" spans="1:11" x14ac:dyDescent="0.2">
      <c r="A636" s="36" t="s">
        <v>19</v>
      </c>
      <c r="B636" s="104"/>
      <c r="C636" s="105" t="s">
        <v>141</v>
      </c>
      <c r="D636" s="105" t="s">
        <v>141</v>
      </c>
      <c r="E636" s="105" t="s">
        <v>141</v>
      </c>
      <c r="F636" s="106" t="s">
        <v>245</v>
      </c>
      <c r="G636" s="106" t="s">
        <v>245</v>
      </c>
      <c r="H636" s="105" t="s">
        <v>329</v>
      </c>
      <c r="I636" s="105" t="s">
        <v>586</v>
      </c>
      <c r="J636" s="105" t="s">
        <v>891</v>
      </c>
      <c r="K636" s="105" t="s">
        <v>892</v>
      </c>
    </row>
    <row r="637" spans="1:11" x14ac:dyDescent="0.2">
      <c r="A637" s="36" t="s">
        <v>20</v>
      </c>
      <c r="B637" s="101"/>
      <c r="C637" s="102">
        <v>0</v>
      </c>
      <c r="D637" s="102">
        <v>27.449000000000002</v>
      </c>
      <c r="E637" s="102">
        <v>21.13</v>
      </c>
      <c r="F637" s="102">
        <v>57.4</v>
      </c>
      <c r="G637" s="102">
        <v>21.8</v>
      </c>
      <c r="H637" s="102">
        <v>27.576000000000001</v>
      </c>
      <c r="I637" s="102">
        <v>0</v>
      </c>
      <c r="J637" s="102">
        <v>0</v>
      </c>
      <c r="K637" s="102">
        <v>2.0099999999999998</v>
      </c>
    </row>
    <row r="638" spans="1:11" x14ac:dyDescent="0.2">
      <c r="A638" s="36" t="s">
        <v>21</v>
      </c>
      <c r="B638" s="101"/>
      <c r="C638" s="102">
        <v>75</v>
      </c>
      <c r="D638" s="102">
        <f t="shared" ref="D638:K638" si="27">D635-D637</f>
        <v>47.551000000000002</v>
      </c>
      <c r="E638" s="102">
        <f t="shared" si="27"/>
        <v>53.870000000000005</v>
      </c>
      <c r="F638" s="102">
        <f t="shared" si="27"/>
        <v>12.600000000000001</v>
      </c>
      <c r="G638" s="102">
        <f t="shared" si="27"/>
        <v>48.2</v>
      </c>
      <c r="H638" s="102">
        <f t="shared" si="27"/>
        <v>35.024000000000001</v>
      </c>
      <c r="I638" s="102">
        <f t="shared" si="27"/>
        <v>70</v>
      </c>
      <c r="J638" s="102">
        <f t="shared" si="27"/>
        <v>70</v>
      </c>
      <c r="K638" s="102">
        <f t="shared" si="27"/>
        <v>67.989999999999995</v>
      </c>
    </row>
    <row r="639" spans="1:11" x14ac:dyDescent="0.2">
      <c r="A639" s="39" t="s">
        <v>22</v>
      </c>
      <c r="B639" s="40"/>
      <c r="C639" s="107">
        <v>2017</v>
      </c>
      <c r="D639" s="107">
        <v>2018</v>
      </c>
      <c r="E639" s="107">
        <v>2019</v>
      </c>
      <c r="F639" s="107">
        <v>2020</v>
      </c>
      <c r="G639" s="107">
        <v>2021</v>
      </c>
      <c r="H639" s="107">
        <v>2022</v>
      </c>
      <c r="I639" s="107">
        <v>2023</v>
      </c>
      <c r="J639" s="107">
        <v>2024</v>
      </c>
      <c r="K639" s="107">
        <v>2025</v>
      </c>
    </row>
    <row r="640" spans="1:11" x14ac:dyDescent="0.2">
      <c r="A640" s="39" t="s">
        <v>502</v>
      </c>
      <c r="B640" s="41"/>
      <c r="C640" s="183"/>
      <c r="D640" s="183"/>
      <c r="E640" s="183"/>
      <c r="F640" s="183"/>
      <c r="G640" s="183"/>
      <c r="H640" s="183"/>
      <c r="I640" s="183"/>
      <c r="J640" s="183"/>
      <c r="K640" s="278"/>
    </row>
    <row r="641" spans="1:11" x14ac:dyDescent="0.2">
      <c r="A641" s="279" t="s">
        <v>893</v>
      </c>
      <c r="B641" s="280"/>
      <c r="C641" s="280"/>
      <c r="D641" s="280"/>
      <c r="E641" s="280"/>
      <c r="F641" s="280"/>
      <c r="G641" s="280"/>
      <c r="H641" s="280"/>
      <c r="I641" s="280"/>
      <c r="J641" s="280"/>
      <c r="K641" s="281"/>
    </row>
    <row r="642" spans="1:11" x14ac:dyDescent="0.2">
      <c r="A642" s="84"/>
      <c r="B642" s="84"/>
      <c r="C642" s="84"/>
      <c r="D642" s="84"/>
      <c r="E642" s="84"/>
      <c r="F642" s="84"/>
      <c r="G642" s="84"/>
    </row>
    <row r="643" spans="1:11" x14ac:dyDescent="0.2">
      <c r="A643" s="32" t="s">
        <v>14</v>
      </c>
      <c r="B643" s="33" t="s">
        <v>642</v>
      </c>
      <c r="C643" s="33" t="s">
        <v>152</v>
      </c>
      <c r="D643" s="35"/>
      <c r="E643" s="35"/>
      <c r="F643" s="35"/>
      <c r="G643" s="35"/>
    </row>
    <row r="644" spans="1:11" x14ac:dyDescent="0.2">
      <c r="A644" s="98" t="s">
        <v>16</v>
      </c>
      <c r="B644" s="99"/>
      <c r="C644" s="100">
        <v>2015</v>
      </c>
      <c r="D644" s="100">
        <v>2016</v>
      </c>
      <c r="E644" s="100" t="s">
        <v>242</v>
      </c>
      <c r="F644" s="100" t="s">
        <v>243</v>
      </c>
      <c r="G644" s="100" t="s">
        <v>244</v>
      </c>
      <c r="H644" s="100" t="s">
        <v>286</v>
      </c>
      <c r="I644" s="100" t="s">
        <v>504</v>
      </c>
      <c r="J644" s="100" t="s">
        <v>678</v>
      </c>
      <c r="K644" s="100" t="s">
        <v>831</v>
      </c>
    </row>
    <row r="645" spans="1:11" x14ac:dyDescent="0.2">
      <c r="A645" s="36" t="s">
        <v>17</v>
      </c>
      <c r="B645" s="101"/>
      <c r="C645" s="102">
        <v>125</v>
      </c>
      <c r="D645" s="102">
        <v>125</v>
      </c>
      <c r="E645" s="102">
        <v>125</v>
      </c>
      <c r="F645" s="102">
        <v>125</v>
      </c>
      <c r="G645" s="102">
        <v>125</v>
      </c>
      <c r="H645" s="102">
        <v>125</v>
      </c>
      <c r="I645" s="102">
        <v>125</v>
      </c>
      <c r="J645" s="102">
        <v>125</v>
      </c>
      <c r="K645" s="102">
        <v>125</v>
      </c>
    </row>
    <row r="646" spans="1:11" x14ac:dyDescent="0.2">
      <c r="A646" s="36" t="s">
        <v>18</v>
      </c>
      <c r="B646" s="103"/>
      <c r="C646" s="102">
        <f>C645*1.3</f>
        <v>162.5</v>
      </c>
      <c r="D646" s="102">
        <f>D645*1.3+25</f>
        <v>187.5</v>
      </c>
      <c r="E646" s="102">
        <f>E645*1.3+25</f>
        <v>187.5</v>
      </c>
      <c r="F646" s="102">
        <f>F645*1.2+25</f>
        <v>175</v>
      </c>
      <c r="G646" s="102">
        <f>G645*1.2+25</f>
        <v>175</v>
      </c>
      <c r="H646" s="102">
        <f>H645*1.2+25</f>
        <v>175</v>
      </c>
      <c r="I646" s="102">
        <v>150</v>
      </c>
      <c r="J646" s="102">
        <v>150</v>
      </c>
      <c r="K646" s="102">
        <v>150</v>
      </c>
    </row>
    <row r="647" spans="1:11" x14ac:dyDescent="0.2">
      <c r="A647" s="36" t="s">
        <v>19</v>
      </c>
      <c r="B647" s="104"/>
      <c r="C647" s="105" t="s">
        <v>333</v>
      </c>
      <c r="D647" s="105" t="s">
        <v>334</v>
      </c>
      <c r="E647" s="105" t="s">
        <v>334</v>
      </c>
      <c r="F647" s="105" t="s">
        <v>335</v>
      </c>
      <c r="G647" s="105" t="s">
        <v>335</v>
      </c>
      <c r="H647" s="105" t="s">
        <v>335</v>
      </c>
      <c r="I647" s="105" t="s">
        <v>587</v>
      </c>
      <c r="J647" s="105" t="s">
        <v>587</v>
      </c>
      <c r="K647" s="105" t="s">
        <v>587</v>
      </c>
    </row>
    <row r="648" spans="1:11" x14ac:dyDescent="0.2">
      <c r="A648" s="36" t="s">
        <v>20</v>
      </c>
      <c r="B648" s="101"/>
      <c r="C648" s="102">
        <v>41.9</v>
      </c>
      <c r="D648" s="102">
        <v>25.21</v>
      </c>
      <c r="E648" s="102">
        <v>16.8</v>
      </c>
      <c r="F648" s="102">
        <v>46.8</v>
      </c>
      <c r="G648" s="102">
        <v>101.46</v>
      </c>
      <c r="H648" s="102">
        <v>17.2</v>
      </c>
      <c r="I648" s="102">
        <v>0</v>
      </c>
      <c r="J648" s="102">
        <v>23.78</v>
      </c>
      <c r="K648" s="102">
        <v>2.4434</v>
      </c>
    </row>
    <row r="649" spans="1:11" x14ac:dyDescent="0.2">
      <c r="A649" s="36" t="s">
        <v>21</v>
      </c>
      <c r="B649" s="101"/>
      <c r="C649" s="102">
        <f t="shared" ref="C649:K649" si="28">C646-C648</f>
        <v>120.6</v>
      </c>
      <c r="D649" s="102">
        <f t="shared" si="28"/>
        <v>162.29</v>
      </c>
      <c r="E649" s="102">
        <f t="shared" si="28"/>
        <v>170.7</v>
      </c>
      <c r="F649" s="102">
        <f t="shared" si="28"/>
        <v>128.19999999999999</v>
      </c>
      <c r="G649" s="102">
        <f t="shared" si="28"/>
        <v>73.540000000000006</v>
      </c>
      <c r="H649" s="102">
        <f t="shared" si="28"/>
        <v>157.80000000000001</v>
      </c>
      <c r="I649" s="102">
        <f t="shared" si="28"/>
        <v>150</v>
      </c>
      <c r="J649" s="102">
        <f t="shared" si="28"/>
        <v>126.22</v>
      </c>
      <c r="K649" s="102">
        <f t="shared" si="28"/>
        <v>147.5566</v>
      </c>
    </row>
    <row r="650" spans="1:11" x14ac:dyDescent="0.2">
      <c r="A650" s="39" t="s">
        <v>22</v>
      </c>
      <c r="B650" s="40"/>
      <c r="C650" s="107">
        <v>2017</v>
      </c>
      <c r="D650" s="107">
        <v>2018</v>
      </c>
      <c r="E650" s="107">
        <v>2019</v>
      </c>
      <c r="F650" s="107">
        <v>2020</v>
      </c>
      <c r="G650" s="107">
        <v>2021</v>
      </c>
      <c r="H650" s="107">
        <v>2022</v>
      </c>
      <c r="I650" s="107">
        <v>2023</v>
      </c>
      <c r="J650" s="107">
        <v>2024</v>
      </c>
      <c r="K650" s="107">
        <v>2025</v>
      </c>
    </row>
    <row r="651" spans="1:11" ht="12.75" customHeight="1" x14ac:dyDescent="0.2">
      <c r="A651" s="108" t="s">
        <v>331</v>
      </c>
      <c r="B651" s="108"/>
      <c r="C651" s="109"/>
      <c r="D651" s="109"/>
      <c r="E651" s="109"/>
      <c r="F651" s="109"/>
      <c r="G651" s="109"/>
      <c r="H651" s="109"/>
      <c r="I651" s="9"/>
      <c r="J651" s="9"/>
      <c r="K651" s="7"/>
    </row>
    <row r="652" spans="1:11" x14ac:dyDescent="0.2">
      <c r="A652" s="110" t="s">
        <v>332</v>
      </c>
      <c r="B652" s="282"/>
      <c r="C652" s="84"/>
      <c r="D652" s="84"/>
      <c r="E652" s="84"/>
      <c r="F652" s="84"/>
      <c r="G652" s="84"/>
      <c r="K652" s="12"/>
    </row>
    <row r="653" spans="1:11" ht="13.15" customHeight="1" x14ac:dyDescent="0.2">
      <c r="A653" s="110" t="s">
        <v>330</v>
      </c>
      <c r="B653" s="282"/>
      <c r="C653" s="84"/>
      <c r="D653" s="84"/>
      <c r="E653" s="84"/>
      <c r="F653" s="84"/>
      <c r="G653" s="84"/>
      <c r="K653" s="12"/>
    </row>
    <row r="654" spans="1:11" x14ac:dyDescent="0.2">
      <c r="A654" s="111"/>
      <c r="B654" s="111"/>
      <c r="C654" s="112"/>
      <c r="D654" s="112"/>
      <c r="E654" s="112"/>
      <c r="F654" s="112"/>
      <c r="G654" s="112"/>
      <c r="H654" s="13"/>
      <c r="I654" s="13"/>
      <c r="J654" s="13"/>
      <c r="K654" s="14"/>
    </row>
    <row r="655" spans="1:11" x14ac:dyDescent="0.2">
      <c r="A655" s="84"/>
      <c r="B655" s="84"/>
      <c r="C655" s="84"/>
      <c r="D655" s="84"/>
      <c r="E655" s="84"/>
      <c r="F655" s="84"/>
      <c r="G655" s="84"/>
    </row>
    <row r="656" spans="1:11" x14ac:dyDescent="0.2">
      <c r="A656" s="84"/>
      <c r="B656" s="84"/>
      <c r="C656" s="84"/>
      <c r="D656" s="84"/>
      <c r="E656" s="84"/>
      <c r="F656" s="84"/>
      <c r="G656" s="84"/>
    </row>
    <row r="657" spans="1:16" x14ac:dyDescent="0.2">
      <c r="A657" s="288" t="s">
        <v>12</v>
      </c>
      <c r="B657" s="289" t="s">
        <v>604</v>
      </c>
    </row>
    <row r="658" spans="1:16" x14ac:dyDescent="0.2">
      <c r="A658" s="290" t="s">
        <v>14</v>
      </c>
      <c r="B658" s="291" t="s">
        <v>74</v>
      </c>
      <c r="C658" s="437" t="s">
        <v>152</v>
      </c>
      <c r="D658" s="35"/>
      <c r="E658" s="35"/>
      <c r="F658" s="35"/>
      <c r="G658" s="35"/>
    </row>
    <row r="659" spans="1:16" x14ac:dyDescent="0.2">
      <c r="A659" s="36" t="s">
        <v>16</v>
      </c>
      <c r="B659" s="113">
        <v>2016</v>
      </c>
      <c r="C659" s="113">
        <v>2017</v>
      </c>
      <c r="D659" s="113">
        <v>2018</v>
      </c>
      <c r="E659" s="113">
        <v>2019</v>
      </c>
      <c r="F659" s="113">
        <v>2020</v>
      </c>
      <c r="G659" s="113">
        <v>2021</v>
      </c>
      <c r="H659" s="113">
        <v>2022</v>
      </c>
      <c r="I659" s="113">
        <v>2023</v>
      </c>
      <c r="J659" s="113">
        <v>2024</v>
      </c>
      <c r="K659" s="113">
        <v>2025</v>
      </c>
      <c r="L659" s="113">
        <v>2026</v>
      </c>
      <c r="M659" s="113">
        <v>2027</v>
      </c>
      <c r="N659" s="113">
        <v>2028</v>
      </c>
      <c r="O659" s="113">
        <v>2029</v>
      </c>
      <c r="P659" s="113">
        <v>2030</v>
      </c>
    </row>
    <row r="660" spans="1:16" x14ac:dyDescent="0.2">
      <c r="A660" s="36" t="s">
        <v>17</v>
      </c>
      <c r="B660" s="102">
        <v>10</v>
      </c>
      <c r="C660" s="102">
        <v>10</v>
      </c>
      <c r="D660" s="102">
        <v>10</v>
      </c>
      <c r="E660" s="102">
        <v>10</v>
      </c>
      <c r="F660" s="102">
        <v>10</v>
      </c>
      <c r="G660" s="102">
        <v>10</v>
      </c>
      <c r="H660" s="102">
        <v>10</v>
      </c>
      <c r="I660" s="102">
        <v>10</v>
      </c>
      <c r="J660" s="102">
        <v>10</v>
      </c>
      <c r="K660" s="102">
        <v>10</v>
      </c>
      <c r="L660" s="102">
        <v>10</v>
      </c>
      <c r="M660" s="102">
        <v>10</v>
      </c>
      <c r="N660" s="102">
        <v>10</v>
      </c>
      <c r="O660" s="102">
        <v>10</v>
      </c>
      <c r="P660" s="102">
        <v>10</v>
      </c>
    </row>
    <row r="661" spans="1:16" x14ac:dyDescent="0.2">
      <c r="A661" s="36" t="s">
        <v>18</v>
      </c>
      <c r="B661" s="102"/>
      <c r="C661" s="102"/>
      <c r="D661" s="102">
        <f>C664+D660</f>
        <v>-28</v>
      </c>
      <c r="E661" s="102">
        <f>D664+E660</f>
        <v>-20.3</v>
      </c>
      <c r="F661" s="102">
        <f>E664+F660</f>
        <v>-30.6</v>
      </c>
      <c r="G661" s="102">
        <f>F664+G660</f>
        <v>-20.6</v>
      </c>
      <c r="H661" s="102">
        <f>-2.53+H660</f>
        <v>7.4700000000000006</v>
      </c>
      <c r="I661" s="102">
        <f>-2.5+I660</f>
        <v>7.5</v>
      </c>
      <c r="J661" s="102">
        <f t="shared" ref="J661:P661" si="29">-2.5+J660</f>
        <v>7.5</v>
      </c>
      <c r="K661" s="102">
        <f t="shared" si="29"/>
        <v>7.5</v>
      </c>
      <c r="L661" s="102">
        <f t="shared" si="29"/>
        <v>7.5</v>
      </c>
      <c r="M661" s="102">
        <f t="shared" si="29"/>
        <v>7.5</v>
      </c>
      <c r="N661" s="102">
        <f t="shared" si="29"/>
        <v>7.5</v>
      </c>
      <c r="O661" s="102">
        <f t="shared" si="29"/>
        <v>7.5</v>
      </c>
      <c r="P661" s="102">
        <f t="shared" si="29"/>
        <v>7.5</v>
      </c>
    </row>
    <row r="662" spans="1:16" x14ac:dyDescent="0.2">
      <c r="A662" s="36" t="s">
        <v>19</v>
      </c>
      <c r="B662" s="114"/>
      <c r="C662" s="114"/>
      <c r="D662" s="114"/>
      <c r="E662" s="114"/>
      <c r="F662" s="114"/>
      <c r="G662" s="114"/>
      <c r="H662" s="332" t="s">
        <v>543</v>
      </c>
      <c r="I662" s="332" t="s">
        <v>543</v>
      </c>
      <c r="J662" s="332" t="s">
        <v>543</v>
      </c>
      <c r="K662" s="332" t="s">
        <v>543</v>
      </c>
      <c r="L662" s="332" t="s">
        <v>543</v>
      </c>
      <c r="M662" s="332" t="s">
        <v>543</v>
      </c>
      <c r="N662" s="332" t="s">
        <v>543</v>
      </c>
      <c r="O662" s="332" t="s">
        <v>543</v>
      </c>
      <c r="P662" s="332" t="s">
        <v>543</v>
      </c>
    </row>
    <row r="663" spans="1:16" x14ac:dyDescent="0.2">
      <c r="A663" s="36" t="s">
        <v>20</v>
      </c>
      <c r="B663" s="102">
        <v>0</v>
      </c>
      <c r="C663" s="102">
        <v>48</v>
      </c>
      <c r="D663" s="102">
        <v>2.2999999999999998</v>
      </c>
      <c r="E663" s="102">
        <v>20.3</v>
      </c>
      <c r="F663" s="102">
        <v>0</v>
      </c>
      <c r="G663" s="102">
        <v>1.9330000000000001</v>
      </c>
      <c r="H663" s="102">
        <v>6.29</v>
      </c>
      <c r="I663" s="102">
        <v>0.80700000000000005</v>
      </c>
      <c r="J663" s="102"/>
      <c r="K663" s="102"/>
      <c r="L663" s="102"/>
      <c r="M663" s="102"/>
      <c r="N663" s="102"/>
      <c r="O663" s="102"/>
      <c r="P663" s="102"/>
    </row>
    <row r="664" spans="1:16" x14ac:dyDescent="0.2">
      <c r="A664" s="36" t="s">
        <v>21</v>
      </c>
      <c r="B664" s="102">
        <f>B660-B663</f>
        <v>10</v>
      </c>
      <c r="C664" s="102">
        <f>C660-C663</f>
        <v>-38</v>
      </c>
      <c r="D664" s="102">
        <f t="shared" ref="D664:I664" si="30">D661-D663</f>
        <v>-30.3</v>
      </c>
      <c r="E664" s="102">
        <f t="shared" si="30"/>
        <v>-40.6</v>
      </c>
      <c r="F664" s="102">
        <f t="shared" si="30"/>
        <v>-30.6</v>
      </c>
      <c r="G664" s="102">
        <f t="shared" si="30"/>
        <v>-22.533000000000001</v>
      </c>
      <c r="H664" s="102">
        <f t="shared" si="30"/>
        <v>1.1800000000000006</v>
      </c>
      <c r="I664" s="102">
        <f t="shared" si="30"/>
        <v>6.6929999999999996</v>
      </c>
      <c r="J664" s="102"/>
      <c r="K664" s="102"/>
      <c r="L664" s="102"/>
      <c r="M664" s="102"/>
      <c r="N664" s="102"/>
      <c r="O664" s="102"/>
      <c r="P664" s="102"/>
    </row>
    <row r="665" spans="1:16" x14ac:dyDescent="0.2">
      <c r="A665" s="39" t="s">
        <v>22</v>
      </c>
      <c r="B665" s="40">
        <v>2017</v>
      </c>
      <c r="C665" s="40">
        <v>2018</v>
      </c>
      <c r="D665" s="40">
        <v>2019</v>
      </c>
      <c r="E665" s="40">
        <v>2020</v>
      </c>
      <c r="F665" s="40">
        <v>2021</v>
      </c>
      <c r="G665" s="40">
        <v>2022</v>
      </c>
      <c r="H665" s="40">
        <v>2023</v>
      </c>
      <c r="I665" s="40">
        <v>2024</v>
      </c>
      <c r="J665" s="40">
        <v>2025</v>
      </c>
      <c r="K665" s="40">
        <v>2026</v>
      </c>
      <c r="L665" s="40">
        <v>2027</v>
      </c>
      <c r="M665" s="40">
        <v>2028</v>
      </c>
      <c r="N665" s="40">
        <v>2029</v>
      </c>
      <c r="O665" s="40">
        <v>2030</v>
      </c>
      <c r="P665" s="40">
        <v>2031</v>
      </c>
    </row>
    <row r="666" spans="1:16" x14ac:dyDescent="0.2">
      <c r="A666" s="39" t="s">
        <v>429</v>
      </c>
      <c r="B666" s="41"/>
      <c r="C666" s="41"/>
      <c r="D666" s="41"/>
      <c r="E666" s="41"/>
      <c r="F666" s="41"/>
      <c r="G666" s="41"/>
      <c r="H666" s="41"/>
      <c r="I666" s="9"/>
      <c r="J666" s="9"/>
      <c r="K666" s="9"/>
      <c r="L666" s="9"/>
      <c r="M666" s="9"/>
      <c r="N666" s="9"/>
      <c r="O666" s="9"/>
      <c r="P666" s="7"/>
    </row>
    <row r="667" spans="1:16" x14ac:dyDescent="0.2">
      <c r="A667" s="710" t="s">
        <v>942</v>
      </c>
      <c r="B667" s="711"/>
      <c r="C667" s="711"/>
      <c r="D667" s="711"/>
      <c r="E667" s="711"/>
      <c r="F667" s="711"/>
      <c r="G667" s="711"/>
      <c r="H667" s="711"/>
      <c r="I667" s="13"/>
      <c r="J667" s="13"/>
      <c r="K667" s="13"/>
      <c r="L667" s="13"/>
      <c r="M667" s="13"/>
      <c r="N667" s="13"/>
      <c r="O667" s="13"/>
      <c r="P667" s="14"/>
    </row>
    <row r="669" spans="1:16" x14ac:dyDescent="0.2">
      <c r="A669" s="84"/>
      <c r="B669" s="84"/>
      <c r="C669" s="84"/>
      <c r="D669" s="84"/>
      <c r="E669" s="84"/>
      <c r="F669" s="84"/>
      <c r="G669" s="84"/>
    </row>
    <row r="670" spans="1:16" x14ac:dyDescent="0.2">
      <c r="A670" s="288" t="s">
        <v>12</v>
      </c>
      <c r="B670" s="289" t="s">
        <v>710</v>
      </c>
    </row>
    <row r="671" spans="1:16" x14ac:dyDescent="0.2">
      <c r="A671" s="554" t="s">
        <v>14</v>
      </c>
      <c r="B671" s="555" t="s">
        <v>1030</v>
      </c>
      <c r="C671" s="556" t="s">
        <v>152</v>
      </c>
      <c r="D671" s="442"/>
      <c r="E671" s="442"/>
      <c r="F671" s="442"/>
      <c r="G671" s="442"/>
    </row>
    <row r="672" spans="1:16" x14ac:dyDescent="0.2">
      <c r="A672" s="521" t="s">
        <v>16</v>
      </c>
      <c r="B672" s="461"/>
      <c r="C672" s="461">
        <v>2022</v>
      </c>
      <c r="D672" s="461">
        <v>2023</v>
      </c>
      <c r="E672" s="461">
        <v>2024</v>
      </c>
    </row>
    <row r="673" spans="1:8" x14ac:dyDescent="0.2">
      <c r="A673" s="557" t="s">
        <v>17</v>
      </c>
      <c r="B673" s="462"/>
      <c r="C673" s="462">
        <v>177.27</v>
      </c>
      <c r="D673" s="462">
        <v>150.27000000000001</v>
      </c>
      <c r="E673" s="462">
        <v>150.27000000000001</v>
      </c>
    </row>
    <row r="674" spans="1:8" x14ac:dyDescent="0.2">
      <c r="A674" s="557" t="s">
        <v>18</v>
      </c>
      <c r="B674" s="462"/>
      <c r="C674" s="462"/>
      <c r="D674" s="462"/>
      <c r="E674" s="462">
        <f>E673+D677</f>
        <v>136.54000000000002</v>
      </c>
    </row>
    <row r="675" spans="1:8" x14ac:dyDescent="0.2">
      <c r="A675" s="557" t="s">
        <v>19</v>
      </c>
      <c r="B675" s="463"/>
      <c r="C675" s="463"/>
      <c r="D675" s="463"/>
      <c r="E675" s="560" t="s">
        <v>543</v>
      </c>
    </row>
    <row r="676" spans="1:8" x14ac:dyDescent="0.2">
      <c r="A676" s="557" t="s">
        <v>20</v>
      </c>
      <c r="B676" s="462"/>
      <c r="C676" s="462">
        <v>177</v>
      </c>
      <c r="D676" s="462">
        <v>164</v>
      </c>
      <c r="E676" s="462"/>
    </row>
    <row r="677" spans="1:8" x14ac:dyDescent="0.2">
      <c r="A677" s="557" t="s">
        <v>21</v>
      </c>
      <c r="B677" s="462"/>
      <c r="C677" s="462">
        <f>C673-C676</f>
        <v>0.27000000000001023</v>
      </c>
      <c r="D677" s="462">
        <f>D673-D676</f>
        <v>-13.72999999999999</v>
      </c>
      <c r="E677" s="462"/>
    </row>
    <row r="678" spans="1:8" x14ac:dyDescent="0.2">
      <c r="A678" s="558" t="s">
        <v>22</v>
      </c>
      <c r="B678" s="464"/>
      <c r="C678" s="464"/>
      <c r="D678" s="464">
        <v>2024</v>
      </c>
      <c r="E678" s="464"/>
    </row>
    <row r="679" spans="1:8" ht="13.15" customHeight="1" x14ac:dyDescent="0.2">
      <c r="A679" s="465" t="s">
        <v>23</v>
      </c>
      <c r="B679" s="465"/>
      <c r="C679" s="465"/>
      <c r="D679" s="465"/>
      <c r="E679" s="465"/>
    </row>
    <row r="680" spans="1:8" x14ac:dyDescent="0.2">
      <c r="A680" s="561" t="s">
        <v>1031</v>
      </c>
      <c r="B680" s="562"/>
      <c r="C680" s="562"/>
      <c r="D680" s="562"/>
      <c r="E680" s="563"/>
      <c r="F680" s="559"/>
      <c r="G680" s="559"/>
      <c r="H680" s="115"/>
    </row>
    <row r="681" spans="1:8" x14ac:dyDescent="0.2">
      <c r="A681" s="466"/>
      <c r="B681" s="112"/>
      <c r="C681" s="112"/>
      <c r="D681" s="84"/>
      <c r="E681" s="115"/>
      <c r="F681" s="115"/>
      <c r="G681" s="115"/>
      <c r="H681" s="115"/>
    </row>
    <row r="682" spans="1:8" x14ac:dyDescent="0.2">
      <c r="A682" s="286" t="s">
        <v>14</v>
      </c>
      <c r="B682" s="287" t="s">
        <v>643</v>
      </c>
      <c r="C682" s="33" t="s">
        <v>152</v>
      </c>
      <c r="D682" s="35"/>
      <c r="E682" s="35"/>
      <c r="F682" s="35"/>
      <c r="G682" s="35"/>
    </row>
    <row r="683" spans="1:8" x14ac:dyDescent="0.2">
      <c r="A683" s="98" t="s">
        <v>16</v>
      </c>
      <c r="B683" s="113"/>
      <c r="C683" s="113">
        <v>2021</v>
      </c>
      <c r="D683" s="113">
        <v>2022</v>
      </c>
      <c r="E683" s="113">
        <v>2023</v>
      </c>
      <c r="F683" s="461">
        <v>2024</v>
      </c>
    </row>
    <row r="684" spans="1:8" x14ac:dyDescent="0.2">
      <c r="A684" s="36" t="s">
        <v>17</v>
      </c>
      <c r="B684" s="102"/>
      <c r="C684" s="102">
        <v>330</v>
      </c>
      <c r="D684" s="102">
        <v>330</v>
      </c>
      <c r="E684" s="102">
        <v>513</v>
      </c>
      <c r="F684" s="462">
        <v>513</v>
      </c>
    </row>
    <row r="685" spans="1:8" x14ac:dyDescent="0.2">
      <c r="A685" s="36" t="s">
        <v>18</v>
      </c>
      <c r="B685" s="102"/>
      <c r="C685" s="102"/>
      <c r="D685" s="102">
        <f>D684-259.62</f>
        <v>70.38</v>
      </c>
      <c r="E685" s="102">
        <f>E684-507.87</f>
        <v>5.1299999999999955</v>
      </c>
      <c r="F685" s="462">
        <f>F684-507.87</f>
        <v>5.1299999999999955</v>
      </c>
    </row>
    <row r="686" spans="1:8" x14ac:dyDescent="0.2">
      <c r="A686" s="36" t="s">
        <v>19</v>
      </c>
      <c r="B686" s="114"/>
      <c r="C686" s="114"/>
      <c r="D686" s="114"/>
      <c r="E686" s="114"/>
      <c r="F686" s="463"/>
    </row>
    <row r="687" spans="1:8" x14ac:dyDescent="0.2">
      <c r="A687" s="36" t="s">
        <v>20</v>
      </c>
      <c r="B687" s="102"/>
      <c r="C687" s="102">
        <v>326.61</v>
      </c>
      <c r="D687" s="102">
        <v>67.08</v>
      </c>
      <c r="E687" s="102">
        <v>0</v>
      </c>
      <c r="F687" s="462"/>
    </row>
    <row r="688" spans="1:8" x14ac:dyDescent="0.2">
      <c r="A688" s="36" t="s">
        <v>21</v>
      </c>
      <c r="B688" s="102"/>
      <c r="C688" s="102">
        <f>C684-C687</f>
        <v>3.3899999999999864</v>
      </c>
      <c r="D688" s="102">
        <f>D685-D687</f>
        <v>3.2999999999999972</v>
      </c>
      <c r="E688" s="102">
        <f>E685-E687</f>
        <v>5.1299999999999955</v>
      </c>
      <c r="F688" s="462"/>
    </row>
    <row r="689" spans="1:8" x14ac:dyDescent="0.2">
      <c r="A689" s="39" t="s">
        <v>22</v>
      </c>
      <c r="B689" s="40"/>
      <c r="C689" s="40"/>
      <c r="D689" s="40"/>
      <c r="E689" s="40"/>
      <c r="F689" s="464"/>
    </row>
    <row r="690" spans="1:8" ht="13.15" customHeight="1" x14ac:dyDescent="0.2">
      <c r="A690" s="261" t="s">
        <v>23</v>
      </c>
      <c r="B690" s="261"/>
      <c r="C690" s="261"/>
      <c r="D690" s="261"/>
      <c r="E690" s="261"/>
      <c r="F690" s="465"/>
    </row>
    <row r="691" spans="1:8" x14ac:dyDescent="0.2">
      <c r="A691" s="39" t="s">
        <v>662</v>
      </c>
      <c r="B691" s="41"/>
      <c r="C691" s="41"/>
      <c r="D691" s="41"/>
      <c r="E691" s="109"/>
      <c r="F691" s="7"/>
    </row>
    <row r="692" spans="1:8" ht="12.75" customHeight="1" x14ac:dyDescent="0.2">
      <c r="A692" s="553" t="s">
        <v>1029</v>
      </c>
      <c r="B692" s="35"/>
      <c r="C692" s="35"/>
      <c r="D692" s="35"/>
      <c r="E692" s="115"/>
      <c r="F692" s="12"/>
    </row>
    <row r="693" spans="1:8" x14ac:dyDescent="0.2">
      <c r="A693" s="466" t="s">
        <v>967</v>
      </c>
      <c r="B693" s="112"/>
      <c r="C693" s="112"/>
      <c r="D693" s="112"/>
      <c r="E693" s="263"/>
      <c r="F693" s="170"/>
      <c r="G693" s="115"/>
      <c r="H693" s="115"/>
    </row>
    <row r="695" spans="1:8" x14ac:dyDescent="0.2">
      <c r="A695" s="288" t="s">
        <v>12</v>
      </c>
      <c r="B695" s="289" t="s">
        <v>259</v>
      </c>
    </row>
    <row r="696" spans="1:8" x14ac:dyDescent="0.2">
      <c r="A696" s="286" t="s">
        <v>14</v>
      </c>
      <c r="B696" s="287" t="s">
        <v>66</v>
      </c>
      <c r="C696" s="33" t="s">
        <v>152</v>
      </c>
      <c r="D696" s="35"/>
      <c r="E696" s="35"/>
      <c r="F696" s="35"/>
      <c r="G696" s="35"/>
    </row>
    <row r="697" spans="1:8" x14ac:dyDescent="0.2">
      <c r="A697" s="98" t="s">
        <v>16</v>
      </c>
      <c r="B697" s="116" t="s">
        <v>243</v>
      </c>
      <c r="C697" s="113" t="s">
        <v>244</v>
      </c>
      <c r="D697" s="113" t="s">
        <v>286</v>
      </c>
      <c r="E697" s="113" t="s">
        <v>595</v>
      </c>
      <c r="F697" s="113" t="s">
        <v>796</v>
      </c>
    </row>
    <row r="698" spans="1:8" x14ac:dyDescent="0.2">
      <c r="A698" s="36" t="s">
        <v>17</v>
      </c>
      <c r="B698" s="102" t="s">
        <v>47</v>
      </c>
      <c r="C698" s="102" t="s">
        <v>47</v>
      </c>
      <c r="D698" s="102">
        <v>1552.77</v>
      </c>
      <c r="E698" s="102">
        <v>1527.9256800000001</v>
      </c>
      <c r="F698" s="102">
        <v>1540.3478400000001</v>
      </c>
    </row>
    <row r="699" spans="1:8" x14ac:dyDescent="0.2">
      <c r="A699" s="36" t="s">
        <v>18</v>
      </c>
      <c r="B699" s="102" t="s">
        <v>47</v>
      </c>
      <c r="C699" s="102" t="s">
        <v>47</v>
      </c>
      <c r="D699" s="102"/>
      <c r="E699" s="102"/>
      <c r="F699" s="102"/>
    </row>
    <row r="700" spans="1:8" x14ac:dyDescent="0.2">
      <c r="A700" s="36" t="s">
        <v>19</v>
      </c>
      <c r="B700" s="114"/>
      <c r="C700" s="114"/>
      <c r="D700" s="114"/>
      <c r="E700" s="114"/>
      <c r="F700" s="114"/>
    </row>
    <row r="701" spans="1:8" x14ac:dyDescent="0.2">
      <c r="A701" s="36" t="s">
        <v>20</v>
      </c>
      <c r="B701" s="102">
        <v>2633.56</v>
      </c>
      <c r="C701" s="102">
        <v>2463.83</v>
      </c>
      <c r="D701" s="102">
        <v>1518</v>
      </c>
      <c r="E701" s="102">
        <v>1491.84</v>
      </c>
      <c r="F701" s="102">
        <v>1499.98</v>
      </c>
    </row>
    <row r="702" spans="1:8" x14ac:dyDescent="0.2">
      <c r="A702" s="36" t="s">
        <v>21</v>
      </c>
      <c r="B702" s="102" t="s">
        <v>47</v>
      </c>
      <c r="C702" s="102" t="s">
        <v>47</v>
      </c>
      <c r="D702" s="102">
        <f>D698-D701</f>
        <v>34.769999999999982</v>
      </c>
      <c r="E702" s="102">
        <f>E698-E701</f>
        <v>36.085680000000139</v>
      </c>
      <c r="F702" s="102">
        <f>F698-F701</f>
        <v>40.367840000000115</v>
      </c>
    </row>
    <row r="703" spans="1:8" x14ac:dyDescent="0.2">
      <c r="A703" s="39" t="s">
        <v>22</v>
      </c>
      <c r="B703" s="40"/>
      <c r="C703" s="40"/>
      <c r="D703" s="40"/>
      <c r="E703" s="40"/>
      <c r="F703" s="40"/>
    </row>
    <row r="704" spans="1:8" x14ac:dyDescent="0.2">
      <c r="A704" s="736" t="s">
        <v>794</v>
      </c>
      <c r="B704" s="737"/>
      <c r="C704" s="737"/>
      <c r="D704" s="737"/>
      <c r="E704" s="737"/>
      <c r="F704" s="262"/>
      <c r="G704" s="115"/>
      <c r="H704" s="115"/>
    </row>
    <row r="705" spans="1:13" x14ac:dyDescent="0.2">
      <c r="A705" s="10" t="s">
        <v>795</v>
      </c>
      <c r="F705" s="12"/>
    </row>
    <row r="706" spans="1:13" x14ac:dyDescent="0.2">
      <c r="A706" s="1" t="s">
        <v>797</v>
      </c>
      <c r="B706" s="13"/>
      <c r="C706" s="13"/>
      <c r="D706" s="13"/>
      <c r="E706" s="13"/>
      <c r="F706" s="14"/>
    </row>
    <row r="708" spans="1:13" ht="13.15" customHeight="1" x14ac:dyDescent="0.2"/>
    <row r="709" spans="1:13" x14ac:dyDescent="0.2">
      <c r="A709" s="288" t="s">
        <v>12</v>
      </c>
      <c r="B709" s="289" t="s">
        <v>39</v>
      </c>
    </row>
    <row r="710" spans="1:13" x14ac:dyDescent="0.2">
      <c r="A710" s="136" t="s">
        <v>14</v>
      </c>
      <c r="B710" s="353" t="s">
        <v>625</v>
      </c>
      <c r="C710" s="56" t="s">
        <v>15</v>
      </c>
    </row>
    <row r="711" spans="1:13" x14ac:dyDescent="0.2">
      <c r="A711" s="1" t="s">
        <v>16</v>
      </c>
      <c r="B711" s="117">
        <v>2014</v>
      </c>
      <c r="C711" s="2">
        <v>2015</v>
      </c>
      <c r="D711" s="2">
        <v>2016</v>
      </c>
      <c r="E711" s="2">
        <v>2017</v>
      </c>
      <c r="F711" s="2">
        <v>2018</v>
      </c>
      <c r="G711" s="2">
        <v>2019</v>
      </c>
      <c r="H711" s="2">
        <v>2020</v>
      </c>
      <c r="I711" s="2">
        <v>2021</v>
      </c>
      <c r="J711" s="2">
        <v>2022</v>
      </c>
      <c r="K711" s="2">
        <v>2023</v>
      </c>
      <c r="L711" s="468">
        <v>2024</v>
      </c>
    </row>
    <row r="712" spans="1:13" x14ac:dyDescent="0.2">
      <c r="A712" s="46" t="s">
        <v>17</v>
      </c>
      <c r="B712" s="118">
        <v>21551.3</v>
      </c>
      <c r="C712" s="118">
        <v>21551.3</v>
      </c>
      <c r="D712" s="118">
        <v>21551.3</v>
      </c>
      <c r="E712" s="118">
        <v>21551.3</v>
      </c>
      <c r="F712" s="118">
        <v>25861.599999999999</v>
      </c>
      <c r="G712" s="118">
        <v>25861.599999999999</v>
      </c>
      <c r="H712" s="118">
        <v>25861.599999999999</v>
      </c>
      <c r="I712" s="5">
        <v>29095.1</v>
      </c>
      <c r="J712" s="5">
        <v>29095.1</v>
      </c>
      <c r="K712" s="5">
        <v>29095.1</v>
      </c>
      <c r="L712" s="409">
        <v>35815.9</v>
      </c>
    </row>
    <row r="713" spans="1:13" x14ac:dyDescent="0.2">
      <c r="A713" s="46" t="s">
        <v>18</v>
      </c>
      <c r="B713" s="118">
        <v>26534.959999999999</v>
      </c>
      <c r="C713" s="118">
        <v>26939.13</v>
      </c>
      <c r="D713" s="118">
        <v>24541.7</v>
      </c>
      <c r="E713" s="118">
        <v>26939.125</v>
      </c>
      <c r="F713" s="118">
        <v>26094.649999999998</v>
      </c>
      <c r="G713" s="118">
        <v>29536.849000000002</v>
      </c>
      <c r="H713" s="118">
        <v>26869.420999999995</v>
      </c>
      <c r="I713" s="5">
        <f>I712+G716-434.04</f>
        <v>28121.021000000001</v>
      </c>
      <c r="J713" s="5">
        <f>J712+H716-0.0152*J712</f>
        <v>29941.571479999991</v>
      </c>
      <c r="K713" s="5">
        <f>K712+I716-0.0152*I712</f>
        <v>30678.782479999994</v>
      </c>
      <c r="L713" s="409">
        <f>L712+J716</f>
        <v>38912.721479999993</v>
      </c>
      <c r="M713" s="167"/>
    </row>
    <row r="714" spans="1:13" ht="51" x14ac:dyDescent="0.2">
      <c r="A714" s="46" t="s">
        <v>19</v>
      </c>
      <c r="B714" s="120" t="s">
        <v>40</v>
      </c>
      <c r="C714" s="120" t="s">
        <v>41</v>
      </c>
      <c r="D714" s="120" t="s">
        <v>42</v>
      </c>
      <c r="E714" s="354" t="s">
        <v>43</v>
      </c>
      <c r="F714" s="354" t="s">
        <v>44</v>
      </c>
      <c r="G714" s="354" t="s">
        <v>45</v>
      </c>
      <c r="H714" s="354" t="s">
        <v>46</v>
      </c>
      <c r="I714" s="355" t="s">
        <v>471</v>
      </c>
      <c r="J714" s="355" t="s">
        <v>472</v>
      </c>
      <c r="K714" s="355" t="s">
        <v>635</v>
      </c>
      <c r="L714" s="540" t="s">
        <v>1018</v>
      </c>
    </row>
    <row r="715" spans="1:13" ht="12.6" customHeight="1" x14ac:dyDescent="0.2">
      <c r="A715" s="46" t="s">
        <v>20</v>
      </c>
      <c r="B715" s="5">
        <v>23544.560000000001</v>
      </c>
      <c r="C715" s="5">
        <v>20891.8</v>
      </c>
      <c r="D715" s="5">
        <v>24308.65</v>
      </c>
      <c r="E715" s="5">
        <v>23263.875999999997</v>
      </c>
      <c r="F715" s="5">
        <v>25086.829000000002</v>
      </c>
      <c r="G715" s="5">
        <v>30076.887999999999</v>
      </c>
      <c r="H715" s="5">
        <v>25580.704000000002</v>
      </c>
      <c r="I715" s="5">
        <v>26095.093000000004</v>
      </c>
      <c r="J715" s="5">
        <v>26844.75</v>
      </c>
      <c r="K715" s="5">
        <v>23360.39</v>
      </c>
      <c r="L715" s="409"/>
    </row>
    <row r="716" spans="1:13" x14ac:dyDescent="0.2">
      <c r="A716" s="46" t="s">
        <v>21</v>
      </c>
      <c r="B716" s="5">
        <v>2990.4</v>
      </c>
      <c r="C716" s="5">
        <v>6047.33</v>
      </c>
      <c r="D716" s="5">
        <v>233.04999999999927</v>
      </c>
      <c r="E716" s="5">
        <v>3675.2490000000034</v>
      </c>
      <c r="F716" s="5">
        <v>1007.8209999999963</v>
      </c>
      <c r="G716" s="5">
        <f>G713-G715</f>
        <v>-540.03899999999703</v>
      </c>
      <c r="H716" s="5">
        <f>H713-H715</f>
        <v>1288.7169999999933</v>
      </c>
      <c r="I716" s="5">
        <f>I713-I715</f>
        <v>2025.9279999999962</v>
      </c>
      <c r="J716" s="5">
        <f>J713-J715</f>
        <v>3096.8214799999914</v>
      </c>
      <c r="K716" s="5">
        <f>K713-K715</f>
        <v>7318.392479999995</v>
      </c>
      <c r="L716" s="409"/>
    </row>
    <row r="717" spans="1:13" x14ac:dyDescent="0.2">
      <c r="A717" s="8" t="s">
        <v>22</v>
      </c>
      <c r="B717" s="28">
        <v>2016</v>
      </c>
      <c r="C717" s="28">
        <v>2017</v>
      </c>
      <c r="D717" s="28">
        <v>2018</v>
      </c>
      <c r="E717" s="28">
        <v>2019</v>
      </c>
      <c r="F717" s="28">
        <v>2020</v>
      </c>
      <c r="G717" s="28">
        <v>2021</v>
      </c>
      <c r="H717" s="28">
        <v>2022</v>
      </c>
      <c r="I717" s="28">
        <v>2023</v>
      </c>
      <c r="J717" s="28">
        <v>2024</v>
      </c>
      <c r="K717" s="28">
        <v>2025</v>
      </c>
      <c r="L717" s="467">
        <v>2026</v>
      </c>
    </row>
    <row r="718" spans="1:13" x14ac:dyDescent="0.2">
      <c r="A718" s="8" t="s">
        <v>469</v>
      </c>
      <c r="B718" s="123"/>
      <c r="C718" s="123"/>
      <c r="D718" s="123"/>
      <c r="E718" s="123"/>
      <c r="F718" s="123"/>
      <c r="G718" s="123"/>
      <c r="H718" s="123"/>
      <c r="I718" s="123"/>
      <c r="J718" s="9"/>
      <c r="K718" s="9"/>
      <c r="L718" s="412"/>
    </row>
    <row r="719" spans="1:13" x14ac:dyDescent="0.2">
      <c r="A719" s="10" t="s">
        <v>470</v>
      </c>
      <c r="B719" s="124"/>
      <c r="C719" s="124"/>
      <c r="D719" s="124"/>
      <c r="E719" s="124"/>
      <c r="F719" s="124"/>
      <c r="G719" s="124"/>
      <c r="H719" s="124"/>
      <c r="I719" s="124"/>
      <c r="L719" s="413"/>
    </row>
    <row r="720" spans="1:13" x14ac:dyDescent="0.2">
      <c r="A720" s="10" t="s">
        <v>473</v>
      </c>
      <c r="B720" s="124"/>
      <c r="C720" s="124"/>
      <c r="D720" s="124"/>
      <c r="E720" s="124"/>
      <c r="F720" s="124"/>
      <c r="G720" s="124"/>
      <c r="H720" s="124"/>
      <c r="I720" s="124"/>
      <c r="L720" s="413"/>
    </row>
    <row r="721" spans="1:13" x14ac:dyDescent="0.2">
      <c r="A721" s="10" t="s">
        <v>474</v>
      </c>
      <c r="B721" s="124"/>
      <c r="C721" s="124"/>
      <c r="D721" s="124"/>
      <c r="E721" s="124"/>
      <c r="F721" s="124"/>
      <c r="G721" s="124"/>
      <c r="H721" s="124"/>
      <c r="I721" s="124"/>
      <c r="L721" s="413"/>
    </row>
    <row r="722" spans="1:13" x14ac:dyDescent="0.2">
      <c r="A722" s="1" t="s">
        <v>636</v>
      </c>
      <c r="B722" s="277"/>
      <c r="C722" s="277"/>
      <c r="D722" s="277"/>
      <c r="E722" s="277"/>
      <c r="F722" s="277"/>
      <c r="G722" s="277"/>
      <c r="H722" s="277"/>
      <c r="I722" s="277"/>
      <c r="J722" s="13"/>
      <c r="K722" s="13"/>
      <c r="L722" s="333"/>
    </row>
    <row r="723" spans="1:13" x14ac:dyDescent="0.2">
      <c r="L723" s="329"/>
    </row>
    <row r="724" spans="1:13" x14ac:dyDescent="0.2">
      <c r="A724" s="43" t="s">
        <v>14</v>
      </c>
      <c r="B724" s="58" t="s">
        <v>639</v>
      </c>
      <c r="C724" s="56" t="s">
        <v>15</v>
      </c>
      <c r="L724" s="329"/>
    </row>
    <row r="725" spans="1:13" x14ac:dyDescent="0.2">
      <c r="A725" s="1" t="s">
        <v>16</v>
      </c>
      <c r="B725" s="117">
        <v>2014</v>
      </c>
      <c r="C725" s="2">
        <v>2015</v>
      </c>
      <c r="D725" s="2">
        <v>2016</v>
      </c>
      <c r="E725" s="2">
        <v>2017</v>
      </c>
      <c r="F725" s="2">
        <v>2018</v>
      </c>
      <c r="G725" s="2">
        <v>2019</v>
      </c>
      <c r="H725" s="2">
        <v>2020</v>
      </c>
      <c r="I725" s="2">
        <v>2021</v>
      </c>
      <c r="J725" s="2">
        <v>2022</v>
      </c>
      <c r="K725" s="2">
        <v>2023</v>
      </c>
      <c r="L725" s="468">
        <v>2024</v>
      </c>
      <c r="M725" s="468">
        <v>2025</v>
      </c>
    </row>
    <row r="726" spans="1:13" x14ac:dyDescent="0.2">
      <c r="A726" s="46" t="s">
        <v>17</v>
      </c>
      <c r="B726" s="118">
        <v>1470</v>
      </c>
      <c r="C726" s="118">
        <v>1470</v>
      </c>
      <c r="D726" s="118">
        <v>1470</v>
      </c>
      <c r="E726" s="118">
        <v>1470</v>
      </c>
      <c r="F726" s="118">
        <v>1470</v>
      </c>
      <c r="G726" s="118">
        <v>1470</v>
      </c>
      <c r="H726" s="118">
        <v>1470</v>
      </c>
      <c r="I726" s="5">
        <v>1470</v>
      </c>
      <c r="J726" s="5">
        <v>1470</v>
      </c>
      <c r="K726" s="5">
        <v>1765</v>
      </c>
      <c r="L726" s="409">
        <v>1765</v>
      </c>
      <c r="M726" s="409">
        <v>1765</v>
      </c>
    </row>
    <row r="727" spans="1:13" x14ac:dyDescent="0.2">
      <c r="A727" s="46" t="s">
        <v>18</v>
      </c>
      <c r="B727" s="118">
        <v>1470</v>
      </c>
      <c r="C727" s="118">
        <v>1719</v>
      </c>
      <c r="D727" s="118">
        <v>1837.5</v>
      </c>
      <c r="E727" s="118">
        <v>1837.5</v>
      </c>
      <c r="F727" s="118">
        <v>1837.5</v>
      </c>
      <c r="G727" s="118">
        <v>1837.5</v>
      </c>
      <c r="H727" s="118">
        <v>1837.5</v>
      </c>
      <c r="I727" s="118">
        <f>+I726+G726*0.25</f>
        <v>1837.5</v>
      </c>
      <c r="J727" s="118">
        <f>+J726+H726*0.25</f>
        <v>1837.5</v>
      </c>
      <c r="K727" s="118">
        <f>K726+I726*0.25</f>
        <v>2132.5</v>
      </c>
      <c r="L727" s="425"/>
      <c r="M727" s="425">
        <f>M726+0.25*K726</f>
        <v>2206.25</v>
      </c>
    </row>
    <row r="728" spans="1:13" ht="25.5" x14ac:dyDescent="0.2">
      <c r="A728" s="46" t="s">
        <v>19</v>
      </c>
      <c r="B728" s="120" t="s">
        <v>47</v>
      </c>
      <c r="C728" s="120" t="s">
        <v>48</v>
      </c>
      <c r="D728" s="120" t="s">
        <v>49</v>
      </c>
      <c r="E728" s="354" t="s">
        <v>43</v>
      </c>
      <c r="F728" s="354" t="s">
        <v>50</v>
      </c>
      <c r="G728" s="354" t="s">
        <v>51</v>
      </c>
      <c r="H728" s="354" t="s">
        <v>52</v>
      </c>
      <c r="I728" s="355" t="s">
        <v>263</v>
      </c>
      <c r="J728" s="355" t="s">
        <v>478</v>
      </c>
      <c r="K728" s="355" t="s">
        <v>714</v>
      </c>
      <c r="L728" s="545" t="s">
        <v>543</v>
      </c>
      <c r="M728" s="540" t="s">
        <v>1128</v>
      </c>
    </row>
    <row r="729" spans="1:13" x14ac:dyDescent="0.2">
      <c r="A729" s="46" t="s">
        <v>20</v>
      </c>
      <c r="B729" s="5">
        <v>335.36</v>
      </c>
      <c r="C729" s="5">
        <v>472.71</v>
      </c>
      <c r="D729" s="5">
        <v>54.77</v>
      </c>
      <c r="E729" s="5">
        <v>178.2</v>
      </c>
      <c r="F729" s="5">
        <v>102.81099999999999</v>
      </c>
      <c r="G729" s="354">
        <v>81.733813276999982</v>
      </c>
      <c r="H729" s="5">
        <v>60.466000000000008</v>
      </c>
      <c r="I729" s="5">
        <v>70.94</v>
      </c>
      <c r="J729" s="5">
        <v>71.53</v>
      </c>
      <c r="K729" s="5">
        <v>41.71</v>
      </c>
      <c r="L729" s="409"/>
      <c r="M729" s="409"/>
    </row>
    <row r="730" spans="1:13" x14ac:dyDescent="0.2">
      <c r="A730" s="46" t="s">
        <v>21</v>
      </c>
      <c r="B730" s="5">
        <v>1135</v>
      </c>
      <c r="C730" s="5">
        <v>1246.29</v>
      </c>
      <c r="D730" s="5">
        <v>1782.73</v>
      </c>
      <c r="E730" s="5">
        <v>1659.3</v>
      </c>
      <c r="F730" s="5">
        <v>1734.6890000000001</v>
      </c>
      <c r="G730" s="354">
        <f>G727-G729</f>
        <v>1755.7661867229999</v>
      </c>
      <c r="H730" s="5">
        <f>H727-H729</f>
        <v>1777.0340000000001</v>
      </c>
      <c r="I730" s="5">
        <f>I727-I729</f>
        <v>1766.56</v>
      </c>
      <c r="J730" s="5">
        <f>J727-J729</f>
        <v>1765.97</v>
      </c>
      <c r="K730" s="5">
        <f>K727-K729</f>
        <v>2090.79</v>
      </c>
      <c r="L730" s="409"/>
      <c r="M730" s="409"/>
    </row>
    <row r="731" spans="1:13" x14ac:dyDescent="0.2">
      <c r="A731" s="8" t="s">
        <v>22</v>
      </c>
      <c r="B731" s="28">
        <v>2016</v>
      </c>
      <c r="C731" s="28">
        <v>2017</v>
      </c>
      <c r="D731" s="28">
        <v>2018</v>
      </c>
      <c r="E731" s="28">
        <v>2019</v>
      </c>
      <c r="F731" s="28">
        <v>2020</v>
      </c>
      <c r="G731" s="28">
        <v>2021</v>
      </c>
      <c r="H731" s="28">
        <v>2022</v>
      </c>
      <c r="I731" s="28">
        <v>2023</v>
      </c>
      <c r="J731" s="28">
        <v>2024</v>
      </c>
      <c r="K731" s="28">
        <v>2025</v>
      </c>
      <c r="L731" s="467">
        <v>2026</v>
      </c>
      <c r="M731" s="467">
        <v>2027</v>
      </c>
    </row>
    <row r="732" spans="1:13" x14ac:dyDescent="0.2">
      <c r="A732" s="8" t="s">
        <v>476</v>
      </c>
      <c r="B732" s="123"/>
      <c r="C732" s="123"/>
      <c r="D732" s="123"/>
      <c r="E732" s="123"/>
      <c r="F732" s="123"/>
      <c r="G732" s="123"/>
      <c r="H732" s="123"/>
      <c r="I732" s="123"/>
      <c r="J732" s="9"/>
      <c r="K732" s="9"/>
      <c r="L732" s="412"/>
      <c r="M732" s="412"/>
    </row>
    <row r="733" spans="1:13" x14ac:dyDescent="0.2">
      <c r="A733" s="10" t="s">
        <v>475</v>
      </c>
      <c r="L733" s="413"/>
      <c r="M733" s="413"/>
    </row>
    <row r="734" spans="1:13" x14ac:dyDescent="0.2">
      <c r="A734" s="10" t="s">
        <v>477</v>
      </c>
      <c r="L734" s="413"/>
      <c r="M734" s="413"/>
    </row>
    <row r="735" spans="1:13" x14ac:dyDescent="0.2">
      <c r="A735" s="10" t="s">
        <v>715</v>
      </c>
      <c r="L735" s="413"/>
      <c r="M735" s="413"/>
    </row>
    <row r="736" spans="1:13" s="329" customFormat="1" x14ac:dyDescent="0.2">
      <c r="A736" s="414" t="s">
        <v>1044</v>
      </c>
      <c r="L736" s="413"/>
      <c r="M736" s="413"/>
    </row>
    <row r="737" spans="1:13" x14ac:dyDescent="0.2">
      <c r="A737" s="415" t="s">
        <v>1129</v>
      </c>
      <c r="B737" s="13"/>
      <c r="C737" s="13"/>
      <c r="D737" s="13"/>
      <c r="E737" s="13"/>
      <c r="F737" s="13"/>
      <c r="G737" s="13"/>
      <c r="H737" s="13"/>
      <c r="I737" s="13"/>
      <c r="J737" s="13"/>
      <c r="K737" s="13"/>
      <c r="L737" s="333"/>
      <c r="M737" s="333"/>
    </row>
    <row r="738" spans="1:13" x14ac:dyDescent="0.2">
      <c r="L738" s="329"/>
    </row>
    <row r="739" spans="1:13" x14ac:dyDescent="0.2">
      <c r="A739" s="43" t="s">
        <v>14</v>
      </c>
      <c r="B739" s="58" t="s">
        <v>624</v>
      </c>
      <c r="C739" s="56" t="s">
        <v>15</v>
      </c>
      <c r="L739" s="329"/>
    </row>
    <row r="740" spans="1:13" x14ac:dyDescent="0.2">
      <c r="A740" s="1" t="s">
        <v>16</v>
      </c>
      <c r="B740" s="117">
        <v>2014</v>
      </c>
      <c r="C740" s="2">
        <v>2015</v>
      </c>
      <c r="D740" s="2">
        <v>2016</v>
      </c>
      <c r="E740" s="2">
        <v>2017</v>
      </c>
      <c r="F740" s="2">
        <v>2018</v>
      </c>
      <c r="G740" s="2">
        <v>2019</v>
      </c>
      <c r="H740" s="2">
        <v>2020</v>
      </c>
      <c r="I740" s="2">
        <v>2021</v>
      </c>
      <c r="J740" s="2">
        <v>2022</v>
      </c>
      <c r="K740" s="2">
        <v>2023</v>
      </c>
      <c r="L740" s="468">
        <v>2024</v>
      </c>
    </row>
    <row r="741" spans="1:13" x14ac:dyDescent="0.2">
      <c r="A741" s="46" t="s">
        <v>17</v>
      </c>
      <c r="B741" s="118">
        <v>6718</v>
      </c>
      <c r="C741" s="118">
        <v>6718</v>
      </c>
      <c r="D741" s="118">
        <v>6718</v>
      </c>
      <c r="E741" s="118">
        <v>6718</v>
      </c>
      <c r="F741" s="118">
        <v>6718</v>
      </c>
      <c r="G741" s="118">
        <v>6718</v>
      </c>
      <c r="H741" s="118">
        <v>6718</v>
      </c>
      <c r="I741" s="5">
        <v>6718</v>
      </c>
      <c r="J741" s="5">
        <v>6718</v>
      </c>
      <c r="K741" s="5">
        <v>6717.33</v>
      </c>
      <c r="L741" s="409">
        <v>6717.33</v>
      </c>
    </row>
    <row r="742" spans="1:13" x14ac:dyDescent="0.2">
      <c r="A742" s="46" t="s">
        <v>18</v>
      </c>
      <c r="B742" s="118">
        <v>7887.5</v>
      </c>
      <c r="C742" s="118">
        <v>7897.5</v>
      </c>
      <c r="D742" s="118">
        <v>7390.7</v>
      </c>
      <c r="E742" s="118">
        <v>7425.7</v>
      </c>
      <c r="F742" s="118">
        <v>7385.7</v>
      </c>
      <c r="G742" s="118">
        <v>7385.7</v>
      </c>
      <c r="H742" s="118">
        <f>H741+F741*0.15-100-40</f>
        <v>7585.7</v>
      </c>
      <c r="I742" s="118">
        <f>I741+0.15*G741-40-200-0.67</f>
        <v>7485.03</v>
      </c>
      <c r="J742" s="118">
        <f>J741+0.15*H741-40-250-0.0001*J741</f>
        <v>7435.0281999999997</v>
      </c>
      <c r="K742" s="118">
        <f>K741+0.15*I741-327</f>
        <v>7398.03</v>
      </c>
      <c r="L742" s="425">
        <f>L741+0.15*J741-280-40</f>
        <v>7405.03</v>
      </c>
    </row>
    <row r="743" spans="1:13" ht="38.25" x14ac:dyDescent="0.2">
      <c r="A743" s="46" t="s">
        <v>19</v>
      </c>
      <c r="B743" s="120" t="s">
        <v>53</v>
      </c>
      <c r="C743" s="120" t="s">
        <v>54</v>
      </c>
      <c r="D743" s="120" t="s">
        <v>55</v>
      </c>
      <c r="E743" s="354" t="s">
        <v>56</v>
      </c>
      <c r="F743" s="354" t="s">
        <v>57</v>
      </c>
      <c r="G743" s="354" t="s">
        <v>58</v>
      </c>
      <c r="H743" s="354" t="s">
        <v>517</v>
      </c>
      <c r="I743" s="145" t="s">
        <v>518</v>
      </c>
      <c r="J743" s="145" t="s">
        <v>638</v>
      </c>
      <c r="K743" s="145" t="s">
        <v>1019</v>
      </c>
      <c r="L743" s="495" t="s">
        <v>1021</v>
      </c>
    </row>
    <row r="744" spans="1:13" s="167" customFormat="1" x14ac:dyDescent="0.2">
      <c r="A744" s="122" t="s">
        <v>20</v>
      </c>
      <c r="B744" s="5">
        <v>5020.43</v>
      </c>
      <c r="C744" s="5">
        <v>5449.08</v>
      </c>
      <c r="D744" s="5">
        <v>5765.63</v>
      </c>
      <c r="E744" s="5">
        <v>5573.6610000000001</v>
      </c>
      <c r="F744" s="5">
        <v>4966.4159999999993</v>
      </c>
      <c r="G744" s="5">
        <v>5740.2240000000002</v>
      </c>
      <c r="H744" s="5">
        <v>5960.2599999999993</v>
      </c>
      <c r="I744" s="5">
        <v>5522.9264400000002</v>
      </c>
      <c r="J744" s="5">
        <v>5527.68</v>
      </c>
      <c r="K744" s="5">
        <v>7263.99</v>
      </c>
      <c r="L744" s="409"/>
    </row>
    <row r="745" spans="1:13" x14ac:dyDescent="0.2">
      <c r="A745" s="46" t="s">
        <v>21</v>
      </c>
      <c r="B745" s="5">
        <v>2867.0699999999997</v>
      </c>
      <c r="C745" s="5">
        <v>2448.42</v>
      </c>
      <c r="D745" s="5">
        <v>1625.0699999999997</v>
      </c>
      <c r="E745" s="5">
        <v>1852.039</v>
      </c>
      <c r="F745" s="5">
        <v>2419.2840000000006</v>
      </c>
      <c r="G745" s="5">
        <v>1645.4759999999997</v>
      </c>
      <c r="H745" s="5">
        <f>H742-H744</f>
        <v>1625.4400000000005</v>
      </c>
      <c r="I745" s="5">
        <f>I742-I744</f>
        <v>1962.1035599999996</v>
      </c>
      <c r="J745" s="5">
        <f>J742-J744</f>
        <v>1907.3481999999995</v>
      </c>
      <c r="K745" s="5">
        <f>K742-K744</f>
        <v>134.03999999999996</v>
      </c>
      <c r="L745" s="409"/>
    </row>
    <row r="746" spans="1:13" x14ac:dyDescent="0.2">
      <c r="A746" s="8" t="s">
        <v>22</v>
      </c>
      <c r="B746" s="28">
        <v>2016</v>
      </c>
      <c r="C746" s="28">
        <v>2017</v>
      </c>
      <c r="D746" s="28">
        <v>2018</v>
      </c>
      <c r="E746" s="28">
        <v>2019</v>
      </c>
      <c r="F746" s="28">
        <v>2020</v>
      </c>
      <c r="G746" s="28">
        <v>2021</v>
      </c>
      <c r="H746" s="28">
        <v>2022</v>
      </c>
      <c r="I746" s="28">
        <v>2023</v>
      </c>
      <c r="J746" s="28">
        <v>2024</v>
      </c>
      <c r="K746" s="28">
        <v>2025</v>
      </c>
      <c r="L746" s="467">
        <v>2025</v>
      </c>
    </row>
    <row r="747" spans="1:13" x14ac:dyDescent="0.2">
      <c r="A747" s="8" t="s">
        <v>479</v>
      </c>
      <c r="B747" s="211"/>
      <c r="C747" s="211"/>
      <c r="D747" s="211"/>
      <c r="E747" s="211"/>
      <c r="F747" s="211"/>
      <c r="G747" s="211"/>
      <c r="H747" s="211"/>
      <c r="I747" s="211"/>
      <c r="J747" s="9"/>
      <c r="K747" s="9"/>
      <c r="L747" s="412"/>
    </row>
    <row r="748" spans="1:13" x14ac:dyDescent="0.2">
      <c r="A748" s="10" t="s">
        <v>519</v>
      </c>
      <c r="B748" s="135"/>
      <c r="C748" s="135"/>
      <c r="D748" s="135"/>
      <c r="E748" s="135"/>
      <c r="F748" s="135"/>
      <c r="G748" s="135"/>
      <c r="H748" s="135"/>
      <c r="I748" s="135"/>
      <c r="L748" s="413"/>
    </row>
    <row r="749" spans="1:13" x14ac:dyDescent="0.2">
      <c r="A749" s="10" t="s">
        <v>480</v>
      </c>
      <c r="B749" s="135"/>
      <c r="C749" s="135"/>
      <c r="D749" s="135"/>
      <c r="E749" s="135"/>
      <c r="F749" s="135"/>
      <c r="G749" s="135"/>
      <c r="H749" s="135"/>
      <c r="I749" s="135"/>
      <c r="L749" s="413"/>
    </row>
    <row r="750" spans="1:13" x14ac:dyDescent="0.2">
      <c r="A750" s="10" t="s">
        <v>520</v>
      </c>
      <c r="B750" s="135"/>
      <c r="C750" s="135"/>
      <c r="D750" s="135"/>
      <c r="E750" s="135"/>
      <c r="F750" s="135"/>
      <c r="G750" s="135"/>
      <c r="H750" s="135"/>
      <c r="I750" s="135"/>
      <c r="L750" s="413"/>
    </row>
    <row r="751" spans="1:13" x14ac:dyDescent="0.2">
      <c r="A751" s="10" t="s">
        <v>481</v>
      </c>
      <c r="B751" s="135"/>
      <c r="C751" s="135"/>
      <c r="D751" s="135"/>
      <c r="E751" s="135"/>
      <c r="F751" s="135"/>
      <c r="G751" s="135"/>
      <c r="H751" s="135"/>
      <c r="I751" s="135"/>
      <c r="L751" s="413"/>
    </row>
    <row r="752" spans="1:13" x14ac:dyDescent="0.2">
      <c r="A752" s="10" t="s">
        <v>483</v>
      </c>
      <c r="B752" s="135"/>
      <c r="C752" s="135"/>
      <c r="D752" s="135"/>
      <c r="E752" s="135"/>
      <c r="F752" s="135"/>
      <c r="G752" s="135"/>
      <c r="H752" s="135"/>
      <c r="I752" s="135"/>
      <c r="L752" s="413"/>
    </row>
    <row r="753" spans="1:12" x14ac:dyDescent="0.2">
      <c r="A753" s="10" t="s">
        <v>482</v>
      </c>
      <c r="B753" s="135"/>
      <c r="C753" s="135"/>
      <c r="D753" s="135"/>
      <c r="E753" s="135"/>
      <c r="F753" s="135"/>
      <c r="G753" s="135"/>
      <c r="H753" s="135"/>
      <c r="I753" s="135"/>
      <c r="L753" s="413"/>
    </row>
    <row r="754" spans="1:12" ht="44.25" customHeight="1" x14ac:dyDescent="0.2">
      <c r="A754" s="701" t="s">
        <v>637</v>
      </c>
      <c r="B754" s="702"/>
      <c r="C754" s="702"/>
      <c r="D754" s="702"/>
      <c r="E754" s="702"/>
      <c r="F754" s="702"/>
      <c r="G754" s="702"/>
      <c r="H754" s="702"/>
      <c r="I754" s="702"/>
      <c r="J754" s="702"/>
      <c r="K754" s="702"/>
      <c r="L754" s="707"/>
    </row>
    <row r="755" spans="1:12" x14ac:dyDescent="0.2">
      <c r="A755" s="55" t="s">
        <v>1017</v>
      </c>
      <c r="B755" s="255"/>
      <c r="C755" s="255"/>
      <c r="D755" s="255"/>
      <c r="E755" s="255"/>
      <c r="F755" s="255"/>
      <c r="G755" s="255"/>
      <c r="H755" s="255"/>
      <c r="I755" s="255"/>
      <c r="J755" s="255"/>
      <c r="L755" s="413"/>
    </row>
    <row r="756" spans="1:12" x14ac:dyDescent="0.2">
      <c r="A756" s="546" t="s">
        <v>1020</v>
      </c>
      <c r="B756" s="312"/>
      <c r="C756" s="312"/>
      <c r="D756" s="312"/>
      <c r="E756" s="312"/>
      <c r="F756" s="312"/>
      <c r="G756" s="312"/>
      <c r="H756" s="312"/>
      <c r="I756" s="312"/>
      <c r="J756" s="13"/>
      <c r="K756" s="13"/>
      <c r="L756" s="333"/>
    </row>
    <row r="757" spans="1:12" x14ac:dyDescent="0.2">
      <c r="L757" s="329"/>
    </row>
    <row r="758" spans="1:12" x14ac:dyDescent="0.2">
      <c r="A758" s="43" t="s">
        <v>14</v>
      </c>
      <c r="B758" s="58" t="s">
        <v>642</v>
      </c>
      <c r="C758" s="56" t="s">
        <v>15</v>
      </c>
      <c r="L758" s="329"/>
    </row>
    <row r="759" spans="1:12" x14ac:dyDescent="0.2">
      <c r="A759" s="1" t="s">
        <v>16</v>
      </c>
      <c r="B759" s="117">
        <v>2014</v>
      </c>
      <c r="C759" s="2">
        <v>2015</v>
      </c>
      <c r="D759" s="2">
        <v>2016</v>
      </c>
      <c r="E759" s="2">
        <v>2017</v>
      </c>
      <c r="F759" s="2">
        <v>2018</v>
      </c>
      <c r="G759" s="2">
        <v>2019</v>
      </c>
      <c r="H759" s="2">
        <v>2020</v>
      </c>
      <c r="I759" s="2">
        <v>2021</v>
      </c>
      <c r="J759" s="2">
        <v>2022</v>
      </c>
      <c r="K759" s="2">
        <v>2023</v>
      </c>
      <c r="L759" s="468">
        <v>2024</v>
      </c>
    </row>
    <row r="760" spans="1:12" x14ac:dyDescent="0.2">
      <c r="A760" s="46" t="s">
        <v>17</v>
      </c>
      <c r="B760" s="118">
        <v>4824</v>
      </c>
      <c r="C760" s="118">
        <v>4824</v>
      </c>
      <c r="D760" s="118">
        <v>4824</v>
      </c>
      <c r="E760" s="118">
        <v>4824</v>
      </c>
      <c r="F760" s="118">
        <v>4824</v>
      </c>
      <c r="G760" s="118">
        <v>4824</v>
      </c>
      <c r="H760" s="118">
        <v>4824</v>
      </c>
      <c r="I760" s="118">
        <v>4824</v>
      </c>
      <c r="J760" s="118">
        <v>4824</v>
      </c>
      <c r="K760" s="118">
        <v>4824</v>
      </c>
      <c r="L760" s="425">
        <v>4824</v>
      </c>
    </row>
    <row r="761" spans="1:12" x14ac:dyDescent="0.2">
      <c r="A761" s="46" t="s">
        <v>18</v>
      </c>
      <c r="B761" s="118">
        <v>5141.7</v>
      </c>
      <c r="C761" s="118">
        <v>5695.4</v>
      </c>
      <c r="D761" s="118">
        <v>5601.06</v>
      </c>
      <c r="E761" s="118">
        <v>5224.38</v>
      </c>
      <c r="F761" s="118">
        <v>4963.5200000000004</v>
      </c>
      <c r="G761" s="118">
        <v>4928.1499999999996</v>
      </c>
      <c r="H761" s="118">
        <v>5011.2030000000004</v>
      </c>
      <c r="I761" s="118">
        <f>I760+G764</f>
        <v>5243.19</v>
      </c>
      <c r="J761" s="118">
        <f>J760+H764</f>
        <v>5085.0014400000018</v>
      </c>
      <c r="K761" s="118">
        <f>K760+0.1*I760</f>
        <v>5306.4</v>
      </c>
      <c r="L761" s="425">
        <f>L760+0.1*J760</f>
        <v>5306.4</v>
      </c>
    </row>
    <row r="762" spans="1:12" ht="25.5" x14ac:dyDescent="0.2">
      <c r="A762" s="46" t="s">
        <v>19</v>
      </c>
      <c r="B762" s="120" t="s">
        <v>59</v>
      </c>
      <c r="C762" s="120" t="s">
        <v>60</v>
      </c>
      <c r="D762" s="120" t="s">
        <v>61</v>
      </c>
      <c r="E762" s="121" t="s">
        <v>62</v>
      </c>
      <c r="F762" s="121" t="s">
        <v>63</v>
      </c>
      <c r="G762" s="121" t="s">
        <v>64</v>
      </c>
      <c r="H762" s="121" t="s">
        <v>65</v>
      </c>
      <c r="I762" s="27" t="s">
        <v>264</v>
      </c>
      <c r="J762" s="27" t="s">
        <v>487</v>
      </c>
      <c r="K762" s="27" t="s">
        <v>889</v>
      </c>
      <c r="L762" s="496" t="s">
        <v>1023</v>
      </c>
    </row>
    <row r="763" spans="1:12" s="167" customFormat="1" x14ac:dyDescent="0.2">
      <c r="A763" s="122" t="s">
        <v>20</v>
      </c>
      <c r="B763" s="5">
        <v>4364.6400000000003</v>
      </c>
      <c r="C763" s="5">
        <v>5295.02</v>
      </c>
      <c r="D763" s="5">
        <v>5461.54</v>
      </c>
      <c r="E763" s="5">
        <v>5120.2</v>
      </c>
      <c r="F763" s="5">
        <v>4776.317</v>
      </c>
      <c r="G763" s="5">
        <v>4508.96</v>
      </c>
      <c r="H763" s="5">
        <v>4750.2015599999986</v>
      </c>
      <c r="I763" s="5">
        <v>4695.1249299999999</v>
      </c>
      <c r="J763" s="5">
        <v>3802.12</v>
      </c>
      <c r="K763" s="5">
        <v>5277.9290000000001</v>
      </c>
      <c r="L763" s="409"/>
    </row>
    <row r="764" spans="1:12" x14ac:dyDescent="0.2">
      <c r="A764" s="46" t="s">
        <v>21</v>
      </c>
      <c r="B764" s="5">
        <v>777.06</v>
      </c>
      <c r="C764" s="5">
        <v>400.38</v>
      </c>
      <c r="D764" s="5">
        <v>139.52000000000001</v>
      </c>
      <c r="E764" s="5">
        <v>104.2</v>
      </c>
      <c r="F764" s="5">
        <v>187.20300000000043</v>
      </c>
      <c r="G764" s="5">
        <v>419.1899999999996</v>
      </c>
      <c r="H764" s="5">
        <v>261.00144000000182</v>
      </c>
      <c r="I764" s="5">
        <f>I761-I763</f>
        <v>548.06506999999965</v>
      </c>
      <c r="J764" s="5">
        <f>J761-J763</f>
        <v>1282.8814400000019</v>
      </c>
      <c r="K764" s="5">
        <f>K761-K763</f>
        <v>28.470999999999549</v>
      </c>
      <c r="L764" s="408"/>
    </row>
    <row r="765" spans="1:12" x14ac:dyDescent="0.2">
      <c r="A765" s="8" t="s">
        <v>22</v>
      </c>
      <c r="B765" s="28">
        <v>2016</v>
      </c>
      <c r="C765" s="28">
        <v>2017</v>
      </c>
      <c r="D765" s="28">
        <v>2018</v>
      </c>
      <c r="E765" s="28">
        <v>2019</v>
      </c>
      <c r="F765" s="28">
        <v>2020</v>
      </c>
      <c r="G765" s="28">
        <v>2021</v>
      </c>
      <c r="H765" s="28">
        <v>2022</v>
      </c>
      <c r="I765" s="28">
        <v>2023</v>
      </c>
      <c r="J765" s="28">
        <v>2024</v>
      </c>
      <c r="K765" s="467">
        <v>2025</v>
      </c>
      <c r="L765" s="467">
        <v>2026</v>
      </c>
    </row>
    <row r="766" spans="1:12" x14ac:dyDescent="0.2">
      <c r="A766" s="8" t="s">
        <v>484</v>
      </c>
      <c r="B766" s="123"/>
      <c r="C766" s="123"/>
      <c r="D766" s="123"/>
      <c r="E766" s="123"/>
      <c r="F766" s="123"/>
      <c r="G766" s="123"/>
      <c r="H766" s="123"/>
      <c r="I766" s="123"/>
      <c r="J766" s="9"/>
      <c r="K766" s="9"/>
      <c r="L766" s="412"/>
    </row>
    <row r="767" spans="1:12" x14ac:dyDescent="0.2">
      <c r="A767" s="10" t="s">
        <v>485</v>
      </c>
      <c r="B767" s="124"/>
      <c r="C767" s="124"/>
      <c r="D767" s="124"/>
      <c r="E767" s="124"/>
      <c r="F767" s="124"/>
      <c r="G767" s="124"/>
      <c r="H767" s="124"/>
      <c r="I767" s="124"/>
      <c r="L767" s="413"/>
    </row>
    <row r="768" spans="1:12" x14ac:dyDescent="0.2">
      <c r="A768" s="10" t="s">
        <v>486</v>
      </c>
      <c r="B768" s="124"/>
      <c r="C768" s="124"/>
      <c r="D768" s="124"/>
      <c r="E768" s="124"/>
      <c r="F768" s="124"/>
      <c r="G768" s="124"/>
      <c r="H768" s="124"/>
      <c r="I768" s="124"/>
      <c r="L768" s="413"/>
    </row>
    <row r="769" spans="1:12" x14ac:dyDescent="0.2">
      <c r="A769" s="738" t="s">
        <v>888</v>
      </c>
      <c r="B769" s="739"/>
      <c r="C769" s="739"/>
      <c r="D769" s="739"/>
      <c r="E769" s="739"/>
      <c r="F769" s="739"/>
      <c r="G769" s="739"/>
      <c r="H769" s="739"/>
      <c r="I769" s="739"/>
      <c r="J769" s="739"/>
      <c r="L769" s="413"/>
    </row>
    <row r="770" spans="1:12" x14ac:dyDescent="0.2">
      <c r="A770" s="547" t="s">
        <v>1022</v>
      </c>
      <c r="B770" s="539"/>
      <c r="C770" s="539"/>
      <c r="D770" s="539"/>
      <c r="E770" s="539"/>
      <c r="F770" s="539"/>
      <c r="G770" s="539"/>
      <c r="H770" s="539"/>
      <c r="I770" s="539"/>
      <c r="J770" s="539"/>
      <c r="K770" s="13"/>
      <c r="L770" s="333"/>
    </row>
    <row r="771" spans="1:12" s="294" customFormat="1" ht="15" x14ac:dyDescent="0.25">
      <c r="A771" s="11"/>
      <c r="B771" s="11"/>
      <c r="C771" s="11"/>
      <c r="D771" s="11"/>
      <c r="E771" s="11"/>
      <c r="F771" s="11"/>
      <c r="G771" s="11"/>
      <c r="H771" s="11"/>
      <c r="I771" s="11"/>
      <c r="J771" s="11"/>
      <c r="K771" s="11"/>
      <c r="L771" s="407"/>
    </row>
    <row r="772" spans="1:12" s="294" customFormat="1" ht="15" x14ac:dyDescent="0.25">
      <c r="A772" s="43" t="s">
        <v>14</v>
      </c>
      <c r="B772" s="58" t="s">
        <v>643</v>
      </c>
      <c r="C772" s="56" t="s">
        <v>15</v>
      </c>
      <c r="D772" s="11"/>
      <c r="E772" s="11"/>
      <c r="F772" s="11"/>
      <c r="G772" s="11"/>
      <c r="H772" s="11"/>
      <c r="I772" s="11"/>
      <c r="J772" s="11"/>
      <c r="K772" s="11"/>
      <c r="L772" s="407"/>
    </row>
    <row r="773" spans="1:12" s="294" customFormat="1" ht="15" x14ac:dyDescent="0.25">
      <c r="A773" s="1" t="s">
        <v>16</v>
      </c>
      <c r="B773" s="117">
        <v>2020</v>
      </c>
      <c r="C773" s="2">
        <v>2021</v>
      </c>
      <c r="D773" s="2">
        <v>2022</v>
      </c>
      <c r="E773" s="2">
        <v>2023</v>
      </c>
      <c r="F773" s="468">
        <v>2024</v>
      </c>
      <c r="G773" s="2"/>
      <c r="H773" s="2"/>
      <c r="I773" s="2"/>
      <c r="J773" s="2"/>
      <c r="K773" s="11"/>
      <c r="L773" s="407"/>
    </row>
    <row r="774" spans="1:12" s="294" customFormat="1" ht="15" x14ac:dyDescent="0.25">
      <c r="A774" s="46" t="s">
        <v>17</v>
      </c>
      <c r="B774" s="126">
        <v>19460</v>
      </c>
      <c r="C774" s="126">
        <v>19460</v>
      </c>
      <c r="D774" s="126">
        <v>19460</v>
      </c>
      <c r="E774" s="118">
        <v>21503</v>
      </c>
      <c r="F774" s="425">
        <v>21503</v>
      </c>
      <c r="G774" s="118"/>
      <c r="H774" s="119"/>
      <c r="I774" s="15"/>
      <c r="J774" s="15"/>
      <c r="K774" s="11"/>
      <c r="L774" s="407"/>
    </row>
    <row r="775" spans="1:12" s="294" customFormat="1" ht="15" x14ac:dyDescent="0.25">
      <c r="A775" s="46" t="s">
        <v>18</v>
      </c>
      <c r="B775" s="118"/>
      <c r="C775" s="118">
        <f>C774+B778-48.4</f>
        <v>19737.565544000001</v>
      </c>
      <c r="D775" s="409">
        <f>D774+C778-19360*0.0025</f>
        <v>19985.500093000002</v>
      </c>
      <c r="E775" s="425">
        <f>E774+0.05*D774</f>
        <v>22476</v>
      </c>
      <c r="F775" s="425">
        <f>F774+0.05*E774</f>
        <v>22578.15</v>
      </c>
      <c r="G775" s="118"/>
      <c r="H775" s="118"/>
      <c r="I775" s="5"/>
      <c r="J775" s="5"/>
      <c r="K775" s="11"/>
      <c r="L775" s="407"/>
    </row>
    <row r="776" spans="1:12" s="294" customFormat="1" ht="26.25" x14ac:dyDescent="0.25">
      <c r="A776" s="46" t="s">
        <v>19</v>
      </c>
      <c r="B776" s="121"/>
      <c r="C776" s="27" t="s">
        <v>883</v>
      </c>
      <c r="D776" s="127" t="s">
        <v>884</v>
      </c>
      <c r="E776" s="424" t="s">
        <v>962</v>
      </c>
      <c r="F776" s="424" t="s">
        <v>1024</v>
      </c>
      <c r="G776" s="121"/>
      <c r="H776" s="121"/>
      <c r="I776" s="27"/>
      <c r="J776" s="27"/>
      <c r="K776" s="11"/>
      <c r="L776" s="407"/>
    </row>
    <row r="777" spans="1:12" s="294" customFormat="1" ht="15" x14ac:dyDescent="0.25">
      <c r="A777" s="122" t="s">
        <v>20</v>
      </c>
      <c r="B777" s="5">
        <v>19134.034455999998</v>
      </c>
      <c r="C777" s="5">
        <v>19163.665450999997</v>
      </c>
      <c r="D777" s="5">
        <v>18950.900000000001</v>
      </c>
      <c r="E777" s="5">
        <v>21104.23</v>
      </c>
      <c r="F777" s="409"/>
      <c r="G777" s="5"/>
      <c r="H777" s="5"/>
      <c r="I777" s="5"/>
      <c r="J777" s="5"/>
      <c r="K777" s="11"/>
      <c r="L777" s="407"/>
    </row>
    <row r="778" spans="1:12" s="294" customFormat="1" ht="15" x14ac:dyDescent="0.25">
      <c r="A778" s="122" t="s">
        <v>21</v>
      </c>
      <c r="B778" s="5">
        <f>B774-B777</f>
        <v>325.96554400000241</v>
      </c>
      <c r="C778" s="5">
        <f>C775-C777</f>
        <v>573.90009300000384</v>
      </c>
      <c r="D778" s="409">
        <f>D775-D777</f>
        <v>1034.6000930000009</v>
      </c>
      <c r="E778" s="5">
        <f>E775-E777</f>
        <v>1371.7700000000004</v>
      </c>
      <c r="F778" s="409"/>
      <c r="G778" s="5"/>
      <c r="H778" s="5"/>
      <c r="I778" s="5"/>
      <c r="J778" s="5"/>
      <c r="K778" s="11"/>
      <c r="L778" s="407"/>
    </row>
    <row r="779" spans="1:12" s="294" customFormat="1" ht="15" x14ac:dyDescent="0.25">
      <c r="A779" s="8" t="s">
        <v>22</v>
      </c>
      <c r="B779" s="28">
        <v>2021</v>
      </c>
      <c r="C779" s="28">
        <v>2022</v>
      </c>
      <c r="D779" s="28">
        <v>2023</v>
      </c>
      <c r="E779" s="313"/>
      <c r="F779" s="548"/>
      <c r="G779" s="313"/>
      <c r="H779" s="313"/>
      <c r="I779" s="313"/>
      <c r="J779" s="313"/>
      <c r="K779" s="11"/>
      <c r="L779" s="407"/>
    </row>
    <row r="780" spans="1:12" s="294" customFormat="1" ht="15" x14ac:dyDescent="0.25">
      <c r="A780" s="8" t="s">
        <v>882</v>
      </c>
      <c r="B780" s="123"/>
      <c r="C780" s="123"/>
      <c r="D780" s="123"/>
      <c r="E780" s="123"/>
      <c r="F780" s="123"/>
      <c r="G780" s="123"/>
      <c r="H780" s="123"/>
      <c r="I780" s="123"/>
      <c r="J780" s="128"/>
      <c r="K780" s="11"/>
      <c r="L780" s="407"/>
    </row>
    <row r="781" spans="1:12" s="294" customFormat="1" ht="15" x14ac:dyDescent="0.25">
      <c r="A781" s="10" t="s">
        <v>885</v>
      </c>
      <c r="B781" s="124"/>
      <c r="C781" s="124"/>
      <c r="D781" s="124"/>
      <c r="E781" s="124"/>
      <c r="F781" s="124"/>
      <c r="G781" s="124"/>
      <c r="H781" s="124"/>
      <c r="I781" s="124"/>
      <c r="J781" s="129"/>
      <c r="K781" s="11"/>
      <c r="L781" s="407"/>
    </row>
    <row r="782" spans="1:12" s="294" customFormat="1" ht="15" x14ac:dyDescent="0.25">
      <c r="A782" s="10" t="s">
        <v>495</v>
      </c>
      <c r="B782" s="124"/>
      <c r="C782" s="124"/>
      <c r="D782" s="124"/>
      <c r="E782" s="124"/>
      <c r="F782" s="124"/>
      <c r="G782" s="124"/>
      <c r="H782" s="124"/>
      <c r="I782" s="124"/>
      <c r="J782" s="129"/>
      <c r="K782" s="11"/>
      <c r="L782" s="407"/>
    </row>
    <row r="783" spans="1:12" s="294" customFormat="1" ht="15" x14ac:dyDescent="0.25">
      <c r="A783" s="10" t="s">
        <v>496</v>
      </c>
      <c r="B783" s="124"/>
      <c r="C783" s="124"/>
      <c r="D783" s="124"/>
      <c r="E783" s="124"/>
      <c r="F783" s="124"/>
      <c r="G783" s="124"/>
      <c r="H783" s="124"/>
      <c r="I783" s="124"/>
      <c r="J783" s="129"/>
      <c r="K783" s="11"/>
      <c r="L783" s="407"/>
    </row>
    <row r="784" spans="1:12" s="294" customFormat="1" ht="15" x14ac:dyDescent="0.25">
      <c r="A784" s="10" t="s">
        <v>886</v>
      </c>
      <c r="B784" s="124"/>
      <c r="C784" s="124"/>
      <c r="D784" s="124"/>
      <c r="E784" s="124"/>
      <c r="F784" s="124"/>
      <c r="G784" s="124"/>
      <c r="H784" s="124"/>
      <c r="I784" s="124"/>
      <c r="J784" s="129"/>
      <c r="K784" s="11"/>
      <c r="L784" s="407"/>
    </row>
    <row r="785" spans="1:12" s="294" customFormat="1" ht="15" x14ac:dyDescent="0.25">
      <c r="A785" s="551" t="s">
        <v>1025</v>
      </c>
      <c r="B785" s="549"/>
      <c r="C785" s="549"/>
      <c r="D785" s="549"/>
      <c r="E785" s="549"/>
      <c r="F785" s="549"/>
      <c r="G785" s="549"/>
      <c r="H785" s="549"/>
      <c r="I785" s="549"/>
      <c r="J785" s="552"/>
      <c r="K785" s="11"/>
      <c r="L785" s="407"/>
    </row>
    <row r="786" spans="1:12" s="294" customFormat="1" ht="15" x14ac:dyDescent="0.25">
      <c r="A786" s="550" t="s">
        <v>1026</v>
      </c>
      <c r="B786" s="314"/>
      <c r="C786" s="314"/>
      <c r="D786" s="314"/>
      <c r="E786" s="314"/>
      <c r="F786" s="314"/>
      <c r="G786" s="314"/>
      <c r="H786" s="314"/>
      <c r="I786" s="314"/>
      <c r="J786" s="315"/>
      <c r="K786" s="11"/>
      <c r="L786" s="407"/>
    </row>
    <row r="787" spans="1:12" x14ac:dyDescent="0.2">
      <c r="L787" s="329"/>
    </row>
    <row r="788" spans="1:12" x14ac:dyDescent="0.2">
      <c r="A788" s="43" t="s">
        <v>14</v>
      </c>
      <c r="B788" s="58" t="s">
        <v>66</v>
      </c>
      <c r="C788" s="56" t="s">
        <v>15</v>
      </c>
      <c r="L788" s="329"/>
    </row>
    <row r="789" spans="1:12" x14ac:dyDescent="0.2">
      <c r="A789" s="1" t="s">
        <v>16</v>
      </c>
      <c r="B789" s="117">
        <v>2014</v>
      </c>
      <c r="C789" s="2">
        <v>2015</v>
      </c>
      <c r="D789" s="2">
        <v>2016</v>
      </c>
      <c r="E789" s="2">
        <v>2017</v>
      </c>
      <c r="F789" s="2">
        <v>2018</v>
      </c>
      <c r="G789" s="2">
        <v>2019</v>
      </c>
      <c r="H789" s="2">
        <v>2020</v>
      </c>
      <c r="I789" s="2">
        <v>2021</v>
      </c>
      <c r="J789" s="2">
        <v>2022</v>
      </c>
      <c r="K789" s="2">
        <v>2023</v>
      </c>
      <c r="L789" s="468">
        <v>2024</v>
      </c>
    </row>
    <row r="790" spans="1:12" x14ac:dyDescent="0.2">
      <c r="A790" s="46" t="s">
        <v>17</v>
      </c>
      <c r="B790" s="118">
        <v>22667</v>
      </c>
      <c r="C790" s="118">
        <v>22667</v>
      </c>
      <c r="D790" s="118">
        <v>16989</v>
      </c>
      <c r="E790" s="118">
        <v>16989</v>
      </c>
      <c r="F790" s="118">
        <v>16989</v>
      </c>
      <c r="G790" s="118">
        <v>16989</v>
      </c>
      <c r="H790" s="119">
        <v>13421.3</v>
      </c>
      <c r="I790" s="15">
        <v>13206.57</v>
      </c>
      <c r="J790" s="15">
        <v>13313.94</v>
      </c>
      <c r="K790" s="15">
        <v>13313.94</v>
      </c>
      <c r="L790" s="408">
        <v>13313.94</v>
      </c>
    </row>
    <row r="791" spans="1:12" x14ac:dyDescent="0.2">
      <c r="A791" s="46" t="s">
        <v>18</v>
      </c>
      <c r="B791" s="118">
        <v>29467.1</v>
      </c>
      <c r="C791" s="118">
        <v>29467.1</v>
      </c>
      <c r="D791" s="118">
        <v>23789.1</v>
      </c>
      <c r="E791" s="118">
        <v>20389.099999999999</v>
      </c>
      <c r="F791" s="118">
        <v>19537.400000000001</v>
      </c>
      <c r="G791" s="118">
        <v>17157.5</v>
      </c>
      <c r="H791" s="118">
        <f>H790+F794+300</f>
        <v>15842.646000000001</v>
      </c>
      <c r="I791" s="5">
        <f>I790+G794</f>
        <v>13453.544999999998</v>
      </c>
      <c r="J791" s="5">
        <f>J790+0.1*H790</f>
        <v>14656.07</v>
      </c>
      <c r="K791" s="5">
        <f>K790+0.1*I790</f>
        <v>14634.597000000002</v>
      </c>
      <c r="L791" s="409">
        <f>L790+0.1*J790</f>
        <v>14645.334000000001</v>
      </c>
    </row>
    <row r="792" spans="1:12" ht="25.5" x14ac:dyDescent="0.2">
      <c r="A792" s="46" t="s">
        <v>19</v>
      </c>
      <c r="B792" s="120" t="s">
        <v>67</v>
      </c>
      <c r="C792" s="120" t="s">
        <v>67</v>
      </c>
      <c r="D792" s="120" t="s">
        <v>68</v>
      </c>
      <c r="E792" s="121" t="s">
        <v>69</v>
      </c>
      <c r="F792" s="121" t="s">
        <v>70</v>
      </c>
      <c r="G792" s="121" t="s">
        <v>71</v>
      </c>
      <c r="H792" s="121" t="s">
        <v>265</v>
      </c>
      <c r="I792" s="27" t="s">
        <v>266</v>
      </c>
      <c r="J792" s="27" t="s">
        <v>582</v>
      </c>
      <c r="K792" s="27" t="s">
        <v>887</v>
      </c>
      <c r="L792" s="496" t="s">
        <v>1027</v>
      </c>
    </row>
    <row r="793" spans="1:12" x14ac:dyDescent="0.2">
      <c r="A793" s="122" t="s">
        <v>20</v>
      </c>
      <c r="B793" s="5">
        <v>18152.900000000001</v>
      </c>
      <c r="C793" s="5">
        <v>15741.23</v>
      </c>
      <c r="D793" s="5">
        <v>18059.400000000001</v>
      </c>
      <c r="E793" s="5">
        <v>20220.53</v>
      </c>
      <c r="F793" s="5">
        <v>17416.054</v>
      </c>
      <c r="G793" s="5">
        <v>16910.525000000001</v>
      </c>
      <c r="H793" s="5">
        <v>11285.478270000007</v>
      </c>
      <c r="I793" s="5">
        <v>11445.933670000008</v>
      </c>
      <c r="J793" s="5">
        <v>12588.91</v>
      </c>
      <c r="K793" s="5">
        <v>11864.06</v>
      </c>
      <c r="L793" s="409"/>
    </row>
    <row r="794" spans="1:12" x14ac:dyDescent="0.2">
      <c r="A794" s="275" t="s">
        <v>21</v>
      </c>
      <c r="B794" s="276">
        <v>11314.2</v>
      </c>
      <c r="C794" s="276">
        <v>13725.87</v>
      </c>
      <c r="D794" s="276">
        <v>5729.68</v>
      </c>
      <c r="E794" s="276">
        <v>168.52</v>
      </c>
      <c r="F794" s="276">
        <v>2121.3460000000014</v>
      </c>
      <c r="G794" s="276">
        <f>G791-G793</f>
        <v>246.97499999999854</v>
      </c>
      <c r="H794" s="276">
        <f>H791-H793</f>
        <v>4557.1677299999938</v>
      </c>
      <c r="I794" s="276">
        <f>I791-I793</f>
        <v>2007.6113299999906</v>
      </c>
      <c r="J794" s="276">
        <f>J791-J793</f>
        <v>2067.16</v>
      </c>
      <c r="K794" s="276">
        <f>K791-K793</f>
        <v>2770.5370000000021</v>
      </c>
      <c r="L794" s="541"/>
    </row>
    <row r="795" spans="1:12" x14ac:dyDescent="0.2">
      <c r="A795" s="16" t="s">
        <v>22</v>
      </c>
      <c r="B795" s="28">
        <v>2016</v>
      </c>
      <c r="C795" s="28">
        <v>2017</v>
      </c>
      <c r="D795" s="28">
        <v>2018</v>
      </c>
      <c r="E795" s="28">
        <v>2019</v>
      </c>
      <c r="F795" s="28" t="s">
        <v>72</v>
      </c>
      <c r="G795" s="28" t="s">
        <v>73</v>
      </c>
      <c r="H795" s="28">
        <v>2022</v>
      </c>
      <c r="I795" s="28">
        <v>2023</v>
      </c>
      <c r="J795" s="28">
        <v>2024</v>
      </c>
      <c r="K795" s="467">
        <v>2025</v>
      </c>
      <c r="L795" s="467">
        <v>2026</v>
      </c>
    </row>
    <row r="796" spans="1:12" x14ac:dyDescent="0.2">
      <c r="A796" s="8" t="s">
        <v>488</v>
      </c>
      <c r="B796" s="123"/>
      <c r="C796" s="123"/>
      <c r="D796" s="123"/>
      <c r="E796" s="123"/>
      <c r="F796" s="123"/>
      <c r="G796" s="123"/>
      <c r="H796" s="123"/>
      <c r="I796" s="123"/>
      <c r="J796" s="9"/>
      <c r="K796" s="9"/>
      <c r="L796" s="412"/>
    </row>
    <row r="797" spans="1:12" x14ac:dyDescent="0.2">
      <c r="A797" s="10" t="s">
        <v>489</v>
      </c>
      <c r="B797" s="124"/>
      <c r="C797" s="124"/>
      <c r="D797" s="124"/>
      <c r="E797" s="124"/>
      <c r="F797" s="124"/>
      <c r="G797" s="124"/>
      <c r="H797" s="124"/>
      <c r="I797" s="124"/>
      <c r="L797" s="413"/>
    </row>
    <row r="798" spans="1:12" ht="15" x14ac:dyDescent="0.2">
      <c r="A798" s="10" t="s">
        <v>736</v>
      </c>
      <c r="B798" s="124"/>
      <c r="C798" s="124"/>
      <c r="D798" s="124"/>
      <c r="E798" s="124"/>
      <c r="F798" s="124"/>
      <c r="G798" s="124"/>
      <c r="H798" s="124"/>
      <c r="I798" s="124"/>
      <c r="L798" s="413"/>
    </row>
    <row r="799" spans="1:12" x14ac:dyDescent="0.2">
      <c r="A799" s="1" t="s">
        <v>583</v>
      </c>
      <c r="B799" s="277"/>
      <c r="C799" s="277"/>
      <c r="D799" s="277"/>
      <c r="E799" s="277"/>
      <c r="F799" s="277"/>
      <c r="G799" s="277"/>
      <c r="H799" s="277"/>
      <c r="I799" s="277"/>
      <c r="J799" s="13"/>
      <c r="K799" s="13"/>
      <c r="L799" s="333"/>
    </row>
    <row r="800" spans="1:12" x14ac:dyDescent="0.2">
      <c r="B800" s="141"/>
      <c r="C800" s="141"/>
      <c r="D800" s="141"/>
      <c r="E800" s="141"/>
      <c r="F800" s="141"/>
      <c r="G800" s="141"/>
      <c r="H800" s="141"/>
      <c r="I800" s="141"/>
      <c r="L800" s="329"/>
    </row>
    <row r="801" spans="1:12" x14ac:dyDescent="0.2">
      <c r="L801" s="329"/>
    </row>
    <row r="802" spans="1:12" x14ac:dyDescent="0.2">
      <c r="A802" s="43" t="s">
        <v>14</v>
      </c>
      <c r="B802" s="58" t="s">
        <v>74</v>
      </c>
      <c r="C802" s="56" t="s">
        <v>15</v>
      </c>
      <c r="L802" s="329"/>
    </row>
    <row r="803" spans="1:12" x14ac:dyDescent="0.2">
      <c r="A803" s="1" t="s">
        <v>16</v>
      </c>
      <c r="B803" s="117">
        <v>2014</v>
      </c>
      <c r="C803" s="2">
        <v>2015</v>
      </c>
      <c r="D803" s="2">
        <v>2016</v>
      </c>
      <c r="E803" s="2">
        <v>2017</v>
      </c>
      <c r="F803" s="2">
        <v>2018</v>
      </c>
      <c r="G803" s="2">
        <v>2019</v>
      </c>
      <c r="H803" s="2">
        <v>2020</v>
      </c>
      <c r="I803" s="2">
        <v>2021</v>
      </c>
      <c r="J803" s="2">
        <v>2022</v>
      </c>
      <c r="K803" s="2">
        <v>2023</v>
      </c>
      <c r="L803" s="468">
        <v>2024</v>
      </c>
    </row>
    <row r="804" spans="1:12" x14ac:dyDescent="0.2">
      <c r="A804" s="46" t="s">
        <v>17</v>
      </c>
      <c r="B804" s="118">
        <v>480</v>
      </c>
      <c r="C804" s="118">
        <v>480</v>
      </c>
      <c r="D804" s="118">
        <v>480</v>
      </c>
      <c r="E804" s="118">
        <v>480</v>
      </c>
      <c r="F804" s="118">
        <v>480</v>
      </c>
      <c r="G804" s="118">
        <v>480</v>
      </c>
      <c r="H804" s="126">
        <v>403.8</v>
      </c>
      <c r="I804" s="15">
        <v>403.8</v>
      </c>
      <c r="J804" s="15">
        <v>403.8</v>
      </c>
      <c r="K804" s="15">
        <v>403.8</v>
      </c>
      <c r="L804" s="408">
        <v>403.8</v>
      </c>
    </row>
    <row r="805" spans="1:12" x14ac:dyDescent="0.2">
      <c r="A805" s="46" t="s">
        <v>18</v>
      </c>
      <c r="B805" s="118">
        <v>480</v>
      </c>
      <c r="C805" s="118">
        <v>528</v>
      </c>
      <c r="D805" s="118">
        <v>407.63</v>
      </c>
      <c r="E805" s="118">
        <v>414.75</v>
      </c>
      <c r="F805" s="118">
        <v>462.75</v>
      </c>
      <c r="G805" s="118">
        <v>528</v>
      </c>
      <c r="H805" s="118">
        <v>449.8</v>
      </c>
      <c r="I805" s="15">
        <f>I804+0.1*G804-2</f>
        <v>449.8</v>
      </c>
      <c r="J805" s="15">
        <v>401.8</v>
      </c>
      <c r="K805" s="15">
        <v>401.8</v>
      </c>
      <c r="L805" s="408">
        <v>401.8</v>
      </c>
    </row>
    <row r="806" spans="1:12" ht="25.5" x14ac:dyDescent="0.2">
      <c r="A806" s="46" t="s">
        <v>19</v>
      </c>
      <c r="B806" s="120">
        <v>480</v>
      </c>
      <c r="C806" s="120">
        <v>528</v>
      </c>
      <c r="D806" s="120" t="s">
        <v>75</v>
      </c>
      <c r="E806" s="121" t="s">
        <v>76</v>
      </c>
      <c r="F806" s="121" t="s">
        <v>77</v>
      </c>
      <c r="G806" s="121" t="s">
        <v>78</v>
      </c>
      <c r="H806" s="121" t="s">
        <v>267</v>
      </c>
      <c r="I806" s="127" t="s">
        <v>268</v>
      </c>
      <c r="J806" s="127" t="s">
        <v>490</v>
      </c>
      <c r="K806" s="127" t="s">
        <v>890</v>
      </c>
      <c r="L806" s="542" t="s">
        <v>1028</v>
      </c>
    </row>
    <row r="807" spans="1:12" x14ac:dyDescent="0.2">
      <c r="A807" s="46" t="s">
        <v>20</v>
      </c>
      <c r="B807" s="5">
        <v>552.37</v>
      </c>
      <c r="C807" s="5">
        <v>658.51</v>
      </c>
      <c r="D807" s="5">
        <v>355.07</v>
      </c>
      <c r="E807" s="5">
        <v>338.75</v>
      </c>
      <c r="F807" s="5">
        <v>120.791</v>
      </c>
      <c r="G807" s="5">
        <v>79.62</v>
      </c>
      <c r="H807" s="5">
        <v>138.81700000000001</v>
      </c>
      <c r="I807" s="15">
        <v>105.06</v>
      </c>
      <c r="J807" s="15">
        <v>282.19</v>
      </c>
      <c r="K807" s="15">
        <v>191.54</v>
      </c>
      <c r="L807" s="408"/>
    </row>
    <row r="808" spans="1:12" x14ac:dyDescent="0.2">
      <c r="A808" s="46" t="s">
        <v>21</v>
      </c>
      <c r="B808" s="5">
        <v>-72.37</v>
      </c>
      <c r="C808" s="5">
        <v>-130.51</v>
      </c>
      <c r="D808" s="5">
        <f>D805-D807</f>
        <v>52.56</v>
      </c>
      <c r="E808" s="5">
        <f>E805-E807</f>
        <v>76</v>
      </c>
      <c r="F808" s="5">
        <v>341.959</v>
      </c>
      <c r="G808" s="5">
        <f>G805-G807</f>
        <v>448.38</v>
      </c>
      <c r="H808" s="5">
        <f>H805-H807</f>
        <v>310.983</v>
      </c>
      <c r="I808" s="15">
        <f>I805-I807</f>
        <v>344.74</v>
      </c>
      <c r="J808" s="15">
        <f>J805-J807</f>
        <v>119.61000000000001</v>
      </c>
      <c r="K808" s="15">
        <f>K805-K807</f>
        <v>210.26000000000002</v>
      </c>
      <c r="L808" s="408"/>
    </row>
    <row r="809" spans="1:12" x14ac:dyDescent="0.2">
      <c r="A809" s="8" t="s">
        <v>22</v>
      </c>
      <c r="B809" s="28">
        <v>2016</v>
      </c>
      <c r="C809" s="28">
        <v>2017</v>
      </c>
      <c r="D809" s="28">
        <v>2018</v>
      </c>
      <c r="E809" s="28">
        <v>2019</v>
      </c>
      <c r="F809" s="28" t="s">
        <v>72</v>
      </c>
      <c r="G809" s="28" t="s">
        <v>73</v>
      </c>
      <c r="H809" s="28" t="s">
        <v>161</v>
      </c>
      <c r="I809" s="28" t="s">
        <v>161</v>
      </c>
      <c r="J809" s="28" t="s">
        <v>161</v>
      </c>
      <c r="K809" s="28" t="s">
        <v>161</v>
      </c>
      <c r="L809" s="467" t="s">
        <v>161</v>
      </c>
    </row>
    <row r="810" spans="1:12" x14ac:dyDescent="0.2">
      <c r="A810" s="8" t="s">
        <v>491</v>
      </c>
      <c r="B810" s="123"/>
      <c r="C810" s="123"/>
      <c r="D810" s="123"/>
      <c r="E810" s="123"/>
      <c r="F810" s="123"/>
      <c r="G810" s="123"/>
      <c r="H810" s="123"/>
      <c r="I810" s="123"/>
      <c r="J810" s="123"/>
      <c r="K810" s="123"/>
      <c r="L810" s="543"/>
    </row>
    <row r="811" spans="1:12" x14ac:dyDescent="0.2">
      <c r="A811" s="10" t="s">
        <v>492</v>
      </c>
      <c r="B811" s="124"/>
      <c r="C811" s="124"/>
      <c r="D811" s="124"/>
      <c r="E811" s="124"/>
      <c r="F811" s="124"/>
      <c r="G811" s="124"/>
      <c r="H811" s="124"/>
      <c r="I811" s="124"/>
      <c r="J811" s="124"/>
      <c r="K811" s="124"/>
      <c r="L811" s="544"/>
    </row>
    <row r="812" spans="1:12" x14ac:dyDescent="0.2">
      <c r="A812" s="502" t="s">
        <v>1091</v>
      </c>
      <c r="B812" s="131"/>
      <c r="C812" s="131"/>
      <c r="D812" s="131"/>
      <c r="E812" s="131"/>
      <c r="F812" s="131"/>
      <c r="G812" s="131"/>
      <c r="H812" s="131"/>
      <c r="I812" s="13"/>
      <c r="J812" s="13"/>
      <c r="K812" s="13"/>
      <c r="L812" s="333"/>
    </row>
    <row r="814" spans="1:12" x14ac:dyDescent="0.2">
      <c r="A814" s="43" t="s">
        <v>14</v>
      </c>
      <c r="B814" s="58" t="s">
        <v>79</v>
      </c>
      <c r="C814" s="56" t="s">
        <v>15</v>
      </c>
    </row>
    <row r="815" spans="1:12" x14ac:dyDescent="0.2">
      <c r="A815" s="1" t="s">
        <v>16</v>
      </c>
      <c r="B815" s="117">
        <v>2014</v>
      </c>
      <c r="C815" s="2">
        <v>2015</v>
      </c>
      <c r="D815" s="2">
        <v>2016</v>
      </c>
      <c r="E815" s="2">
        <v>2017</v>
      </c>
      <c r="F815" s="2">
        <v>2018</v>
      </c>
      <c r="G815" s="2">
        <v>2019</v>
      </c>
      <c r="H815" s="2">
        <v>2020</v>
      </c>
      <c r="I815" s="2">
        <v>2021</v>
      </c>
      <c r="J815" s="2">
        <v>2022</v>
      </c>
    </row>
    <row r="816" spans="1:12" x14ac:dyDescent="0.2">
      <c r="A816" s="46" t="s">
        <v>17</v>
      </c>
      <c r="B816" s="118">
        <v>50</v>
      </c>
      <c r="C816" s="118">
        <v>50</v>
      </c>
      <c r="D816" s="118">
        <v>50</v>
      </c>
      <c r="E816" s="118">
        <v>50</v>
      </c>
      <c r="F816" s="118">
        <v>50</v>
      </c>
      <c r="G816" s="118">
        <v>50</v>
      </c>
      <c r="H816" s="126">
        <v>50</v>
      </c>
      <c r="I816" s="5">
        <v>50</v>
      </c>
      <c r="J816" s="5">
        <v>50</v>
      </c>
    </row>
    <row r="817" spans="1:11" x14ac:dyDescent="0.2">
      <c r="A817" s="46" t="s">
        <v>18</v>
      </c>
      <c r="B817" s="118">
        <v>50</v>
      </c>
      <c r="C817" s="118">
        <v>52.5</v>
      </c>
      <c r="D817" s="118">
        <v>23.9</v>
      </c>
      <c r="E817" s="118">
        <v>23.9</v>
      </c>
      <c r="F817" s="118">
        <v>27.6</v>
      </c>
      <c r="G817" s="118">
        <v>27.6</v>
      </c>
      <c r="H817" s="118">
        <v>32.6</v>
      </c>
      <c r="I817" s="5">
        <v>55</v>
      </c>
      <c r="J817" s="5">
        <v>50</v>
      </c>
    </row>
    <row r="818" spans="1:11" ht="25.5" x14ac:dyDescent="0.2">
      <c r="A818" s="46" t="s">
        <v>19</v>
      </c>
      <c r="B818" s="132">
        <v>50</v>
      </c>
      <c r="C818" s="132">
        <v>52.5</v>
      </c>
      <c r="D818" s="120" t="s">
        <v>80</v>
      </c>
      <c r="E818" s="121" t="s">
        <v>81</v>
      </c>
      <c r="F818" s="121" t="s">
        <v>82</v>
      </c>
      <c r="G818" s="121" t="s">
        <v>83</v>
      </c>
      <c r="H818" s="121" t="s">
        <v>84</v>
      </c>
      <c r="I818" s="27" t="s">
        <v>269</v>
      </c>
      <c r="J818" s="27" t="s">
        <v>572</v>
      </c>
    </row>
    <row r="819" spans="1:11" x14ac:dyDescent="0.2">
      <c r="A819" s="46" t="s">
        <v>20</v>
      </c>
      <c r="B819" s="5">
        <v>102.21</v>
      </c>
      <c r="C819" s="5">
        <v>119.69</v>
      </c>
      <c r="D819" s="5">
        <v>101.54</v>
      </c>
      <c r="E819" s="5">
        <v>14.67</v>
      </c>
      <c r="F819" s="5">
        <v>0.17</v>
      </c>
      <c r="G819" s="5">
        <v>0.7</v>
      </c>
      <c r="H819" s="5">
        <v>3.0670000000000002</v>
      </c>
      <c r="I819" s="5">
        <v>14.32</v>
      </c>
      <c r="J819" s="5">
        <v>1.1000000000000001</v>
      </c>
    </row>
    <row r="820" spans="1:11" x14ac:dyDescent="0.2">
      <c r="A820" s="46" t="s">
        <v>21</v>
      </c>
      <c r="B820" s="5">
        <v>-52.21</v>
      </c>
      <c r="C820" s="5">
        <v>-67.19</v>
      </c>
      <c r="D820" s="5">
        <v>-77.640000000000015</v>
      </c>
      <c r="E820" s="5">
        <f t="shared" ref="E820:J820" si="31">E817-E819</f>
        <v>9.2299999999999986</v>
      </c>
      <c r="F820" s="5">
        <f t="shared" si="31"/>
        <v>27.43</v>
      </c>
      <c r="G820" s="5">
        <f t="shared" si="31"/>
        <v>26.900000000000002</v>
      </c>
      <c r="H820" s="5">
        <f t="shared" si="31"/>
        <v>29.533000000000001</v>
      </c>
      <c r="I820" s="5">
        <f t="shared" si="31"/>
        <v>40.68</v>
      </c>
      <c r="J820" s="5">
        <f t="shared" si="31"/>
        <v>48.9</v>
      </c>
    </row>
    <row r="821" spans="1:11" x14ac:dyDescent="0.2">
      <c r="A821" s="8" t="s">
        <v>22</v>
      </c>
      <c r="B821" s="28">
        <v>2016</v>
      </c>
      <c r="C821" s="28">
        <v>2017</v>
      </c>
      <c r="D821" s="28">
        <v>2018</v>
      </c>
      <c r="E821" s="28">
        <v>2019</v>
      </c>
      <c r="F821" s="28" t="s">
        <v>72</v>
      </c>
      <c r="G821" s="28" t="s">
        <v>73</v>
      </c>
      <c r="H821" s="28" t="s">
        <v>161</v>
      </c>
      <c r="I821" s="28" t="s">
        <v>161</v>
      </c>
      <c r="J821" s="28" t="s">
        <v>161</v>
      </c>
    </row>
    <row r="822" spans="1:11" x14ac:dyDescent="0.2">
      <c r="A822" s="8" t="s">
        <v>493</v>
      </c>
      <c r="B822" s="62"/>
      <c r="C822" s="62"/>
      <c r="D822" s="62"/>
      <c r="E822" s="62"/>
      <c r="F822" s="62"/>
      <c r="G822" s="62"/>
      <c r="H822" s="62"/>
      <c r="I822" s="62"/>
      <c r="J822" s="29"/>
    </row>
    <row r="823" spans="1:11" x14ac:dyDescent="0.2">
      <c r="A823" s="130" t="s">
        <v>494</v>
      </c>
      <c r="B823" s="131"/>
      <c r="C823" s="131"/>
      <c r="D823" s="131"/>
      <c r="E823" s="131"/>
      <c r="F823" s="131"/>
      <c r="G823" s="131"/>
      <c r="H823" s="131"/>
      <c r="I823" s="131"/>
      <c r="J823" s="14"/>
    </row>
    <row r="824" spans="1:11" x14ac:dyDescent="0.2">
      <c r="A824" s="133"/>
      <c r="B824" s="133"/>
      <c r="C824" s="133"/>
      <c r="D824" s="133"/>
      <c r="E824" s="133"/>
      <c r="F824" s="133"/>
      <c r="G824" s="133"/>
      <c r="H824" s="133"/>
      <c r="I824" s="133"/>
    </row>
    <row r="826" spans="1:11" x14ac:dyDescent="0.2">
      <c r="A826" s="134" t="s">
        <v>11</v>
      </c>
      <c r="B826" s="283" t="s">
        <v>361</v>
      </c>
      <c r="C826" s="135"/>
    </row>
    <row r="827" spans="1:11" x14ac:dyDescent="0.2">
      <c r="A827" s="136" t="s">
        <v>1</v>
      </c>
      <c r="B827" s="137" t="s">
        <v>625</v>
      </c>
      <c r="C827" s="45" t="s">
        <v>2</v>
      </c>
    </row>
    <row r="828" spans="1:11" x14ac:dyDescent="0.2">
      <c r="A828" s="46" t="s">
        <v>3</v>
      </c>
      <c r="B828" s="2">
        <v>2015</v>
      </c>
      <c r="C828" s="2">
        <v>2016</v>
      </c>
      <c r="D828" s="57">
        <v>2017</v>
      </c>
      <c r="E828" s="2">
        <v>2018</v>
      </c>
      <c r="F828" s="2">
        <v>2019</v>
      </c>
      <c r="G828" s="2">
        <v>2020</v>
      </c>
      <c r="H828" s="2">
        <v>2021</v>
      </c>
      <c r="I828" s="2">
        <v>2022</v>
      </c>
      <c r="J828" s="2">
        <v>2023</v>
      </c>
      <c r="K828" s="468">
        <v>2024</v>
      </c>
    </row>
    <row r="829" spans="1:11" x14ac:dyDescent="0.2">
      <c r="A829" s="46" t="s">
        <v>4</v>
      </c>
      <c r="B829" s="19">
        <v>200</v>
      </c>
      <c r="C829" s="59">
        <v>200</v>
      </c>
      <c r="D829" s="19">
        <v>200</v>
      </c>
      <c r="E829" s="3">
        <v>200</v>
      </c>
      <c r="F829" s="3">
        <v>215</v>
      </c>
      <c r="G829" s="3">
        <v>215</v>
      </c>
      <c r="H829" s="3">
        <v>242</v>
      </c>
      <c r="I829" s="3">
        <v>242</v>
      </c>
      <c r="J829" s="3">
        <v>242</v>
      </c>
      <c r="K829" s="330">
        <v>302</v>
      </c>
    </row>
    <row r="830" spans="1:11" x14ac:dyDescent="0.2">
      <c r="A830" s="46" t="s">
        <v>5</v>
      </c>
      <c r="B830" s="19">
        <f>200+(200*25%)</f>
        <v>250</v>
      </c>
      <c r="C830" s="19">
        <f>200+(200*25%)</f>
        <v>250</v>
      </c>
      <c r="D830" s="19">
        <f>200+(200*25%)</f>
        <v>250</v>
      </c>
      <c r="E830" s="19">
        <f>200+(200*25%)</f>
        <v>250</v>
      </c>
      <c r="F830" s="3">
        <f t="shared" ref="F830:K830" si="32">F829+0.25*E829</f>
        <v>265</v>
      </c>
      <c r="G830" s="3">
        <f t="shared" si="32"/>
        <v>268.75</v>
      </c>
      <c r="H830" s="3">
        <f t="shared" si="32"/>
        <v>295.75</v>
      </c>
      <c r="I830" s="3">
        <f t="shared" si="32"/>
        <v>302.5</v>
      </c>
      <c r="J830" s="3">
        <f t="shared" si="32"/>
        <v>302.5</v>
      </c>
      <c r="K830" s="330">
        <f t="shared" si="32"/>
        <v>362.5</v>
      </c>
    </row>
    <row r="831" spans="1:11" x14ac:dyDescent="0.2">
      <c r="A831" s="46" t="s">
        <v>6</v>
      </c>
      <c r="B831" s="4">
        <v>2</v>
      </c>
      <c r="C831" s="438">
        <v>3</v>
      </c>
      <c r="D831" s="4">
        <v>4</v>
      </c>
      <c r="E831" s="138">
        <v>5</v>
      </c>
      <c r="F831" s="138">
        <v>6</v>
      </c>
      <c r="G831" s="4">
        <v>7</v>
      </c>
      <c r="H831" s="4">
        <v>8</v>
      </c>
      <c r="I831" s="4">
        <v>9</v>
      </c>
      <c r="J831" s="4">
        <v>10</v>
      </c>
      <c r="K831" s="491">
        <v>11</v>
      </c>
    </row>
    <row r="832" spans="1:11" x14ac:dyDescent="0.2">
      <c r="A832" s="46" t="s">
        <v>7</v>
      </c>
      <c r="B832" s="5">
        <v>0</v>
      </c>
      <c r="C832" s="65">
        <v>0</v>
      </c>
      <c r="D832" s="5">
        <v>0</v>
      </c>
      <c r="E832" s="66">
        <v>0</v>
      </c>
      <c r="F832" s="66">
        <v>0</v>
      </c>
      <c r="G832" s="5">
        <v>0</v>
      </c>
      <c r="H832" s="5">
        <v>0</v>
      </c>
      <c r="I832" s="5">
        <v>0</v>
      </c>
      <c r="J832" s="5">
        <v>0</v>
      </c>
      <c r="K832" s="409"/>
    </row>
    <row r="833" spans="1:11" x14ac:dyDescent="0.2">
      <c r="A833" s="46" t="s">
        <v>8</v>
      </c>
      <c r="B833" s="19">
        <f>B830-B832</f>
        <v>250</v>
      </c>
      <c r="C833" s="19">
        <f>C830-C832</f>
        <v>250</v>
      </c>
      <c r="D833" s="19">
        <f>D830-D832</f>
        <v>250</v>
      </c>
      <c r="E833" s="3">
        <v>250</v>
      </c>
      <c r="F833" s="3">
        <f>F830-F832</f>
        <v>265</v>
      </c>
      <c r="G833" s="3">
        <f>G830-G832</f>
        <v>268.75</v>
      </c>
      <c r="H833" s="3">
        <f>H830-H832</f>
        <v>295.75</v>
      </c>
      <c r="I833" s="3">
        <f>I830-I832</f>
        <v>302.5</v>
      </c>
      <c r="J833" s="3">
        <f>J830-J832</f>
        <v>302.5</v>
      </c>
      <c r="K833" s="330"/>
    </row>
    <row r="834" spans="1:11" x14ac:dyDescent="0.2">
      <c r="A834" s="46" t="s">
        <v>9</v>
      </c>
      <c r="B834" s="6">
        <v>2016</v>
      </c>
      <c r="C834" s="6">
        <v>2017</v>
      </c>
      <c r="D834" s="6">
        <v>2018</v>
      </c>
      <c r="E834" s="6">
        <v>2019</v>
      </c>
      <c r="F834" s="6">
        <v>2020</v>
      </c>
      <c r="G834" s="6">
        <v>2021</v>
      </c>
      <c r="H834" s="6">
        <v>2022</v>
      </c>
      <c r="I834" s="6">
        <v>2023</v>
      </c>
      <c r="J834" s="6">
        <v>2024</v>
      </c>
      <c r="K834" s="492">
        <v>2025</v>
      </c>
    </row>
    <row r="835" spans="1:11" x14ac:dyDescent="0.2">
      <c r="A835" s="8" t="s">
        <v>10</v>
      </c>
      <c r="B835" s="8"/>
      <c r="C835" s="9"/>
      <c r="D835" s="9"/>
      <c r="E835" s="9"/>
      <c r="F835" s="9"/>
      <c r="G835" s="7"/>
      <c r="H835" s="7"/>
      <c r="I835" s="7"/>
      <c r="J835" s="7"/>
      <c r="K835" s="412"/>
    </row>
    <row r="836" spans="1:11" x14ac:dyDescent="0.2">
      <c r="A836" s="8" t="s">
        <v>362</v>
      </c>
      <c r="B836" s="9"/>
      <c r="C836" s="9"/>
      <c r="D836" s="9"/>
      <c r="E836" s="9"/>
      <c r="F836" s="9"/>
      <c r="G836" s="9"/>
      <c r="H836" s="9"/>
      <c r="I836" s="9"/>
      <c r="J836" s="9"/>
      <c r="K836" s="412"/>
    </row>
    <row r="837" spans="1:11" x14ac:dyDescent="0.2">
      <c r="A837" s="10" t="s">
        <v>801</v>
      </c>
      <c r="K837" s="413"/>
    </row>
    <row r="838" spans="1:11" x14ac:dyDescent="0.2">
      <c r="A838" s="10" t="s">
        <v>802</v>
      </c>
      <c r="K838" s="413"/>
    </row>
    <row r="839" spans="1:11" x14ac:dyDescent="0.2">
      <c r="A839" s="10" t="s">
        <v>803</v>
      </c>
      <c r="K839" s="413"/>
    </row>
    <row r="840" spans="1:11" x14ac:dyDescent="0.2">
      <c r="A840" s="10" t="s">
        <v>804</v>
      </c>
      <c r="K840" s="413"/>
    </row>
    <row r="841" spans="1:11" x14ac:dyDescent="0.2">
      <c r="A841" s="10" t="s">
        <v>805</v>
      </c>
      <c r="K841" s="413"/>
    </row>
    <row r="842" spans="1:11" x14ac:dyDescent="0.2">
      <c r="A842" s="10" t="s">
        <v>806</v>
      </c>
      <c r="K842" s="413"/>
    </row>
    <row r="843" spans="1:11" x14ac:dyDescent="0.2">
      <c r="A843" s="10" t="s">
        <v>807</v>
      </c>
      <c r="K843" s="413"/>
    </row>
    <row r="844" spans="1:11" x14ac:dyDescent="0.2">
      <c r="A844" s="10" t="s">
        <v>808</v>
      </c>
      <c r="K844" s="12"/>
    </row>
    <row r="845" spans="1:11" x14ac:dyDescent="0.2">
      <c r="A845" s="10" t="s">
        <v>809</v>
      </c>
      <c r="K845" s="12"/>
    </row>
    <row r="846" spans="1:11" x14ac:dyDescent="0.2">
      <c r="A846" s="415" t="s">
        <v>983</v>
      </c>
      <c r="B846" s="13"/>
      <c r="C846" s="13"/>
      <c r="D846" s="13"/>
      <c r="E846" s="13"/>
      <c r="F846" s="13"/>
      <c r="G846" s="13"/>
      <c r="H846" s="13"/>
      <c r="I846" s="13"/>
      <c r="J846" s="13"/>
      <c r="K846" s="14"/>
    </row>
    <row r="848" spans="1:11" s="141" customFormat="1" x14ac:dyDescent="0.2">
      <c r="A848" s="139" t="s">
        <v>1</v>
      </c>
      <c r="B848" s="140" t="s">
        <v>624</v>
      </c>
      <c r="C848" s="439" t="s">
        <v>2</v>
      </c>
    </row>
    <row r="849" spans="1:11" s="141" customFormat="1" x14ac:dyDescent="0.2">
      <c r="A849" s="142" t="s">
        <v>3</v>
      </c>
      <c r="B849" s="143">
        <v>2015</v>
      </c>
      <c r="C849" s="143">
        <v>2016</v>
      </c>
      <c r="D849" s="144">
        <v>2017</v>
      </c>
      <c r="E849" s="143">
        <v>2018</v>
      </c>
      <c r="F849" s="143">
        <v>2019</v>
      </c>
      <c r="G849" s="143">
        <v>2020</v>
      </c>
      <c r="H849" s="143">
        <v>2021</v>
      </c>
      <c r="I849" s="143">
        <v>2022</v>
      </c>
      <c r="J849" s="143">
        <v>2023</v>
      </c>
      <c r="K849" s="493">
        <v>2024</v>
      </c>
    </row>
    <row r="850" spans="1:11" s="141" customFormat="1" x14ac:dyDescent="0.2">
      <c r="A850" s="142" t="s">
        <v>4</v>
      </c>
      <c r="B850" s="145">
        <v>40</v>
      </c>
      <c r="C850" s="145">
        <v>40</v>
      </c>
      <c r="D850" s="146">
        <v>40</v>
      </c>
      <c r="E850" s="145">
        <v>40</v>
      </c>
      <c r="F850" s="147">
        <v>40</v>
      </c>
      <c r="G850" s="147">
        <v>40</v>
      </c>
      <c r="H850" s="147">
        <v>40</v>
      </c>
      <c r="I850" s="147">
        <v>40</v>
      </c>
      <c r="J850" s="147">
        <v>40</v>
      </c>
      <c r="K850" s="494">
        <v>40</v>
      </c>
    </row>
    <row r="851" spans="1:11" s="141" customFormat="1" x14ac:dyDescent="0.2">
      <c r="A851" s="142" t="s">
        <v>5</v>
      </c>
      <c r="B851" s="145">
        <f>40+(40*50%)+40</f>
        <v>100</v>
      </c>
      <c r="C851" s="145">
        <f>40+(40*50%)+40</f>
        <v>100</v>
      </c>
      <c r="D851" s="145">
        <v>112.75</v>
      </c>
      <c r="E851" s="145">
        <v>108.75</v>
      </c>
      <c r="F851" s="145">
        <v>108.75</v>
      </c>
      <c r="G851" s="145">
        <v>108.75</v>
      </c>
      <c r="H851" s="145">
        <v>108.75</v>
      </c>
      <c r="I851" s="145">
        <f>I850+0.4*G850+40</f>
        <v>96</v>
      </c>
      <c r="J851" s="145">
        <f>J850+0.4*H850</f>
        <v>56</v>
      </c>
      <c r="K851" s="495">
        <f>K850+0.4*I850+40</f>
        <v>96</v>
      </c>
    </row>
    <row r="852" spans="1:11" s="141" customFormat="1" x14ac:dyDescent="0.2">
      <c r="A852" s="142" t="s">
        <v>6</v>
      </c>
      <c r="B852" s="27">
        <v>1</v>
      </c>
      <c r="C852" s="27">
        <v>2</v>
      </c>
      <c r="D852" s="148">
        <v>3</v>
      </c>
      <c r="E852" s="27">
        <v>4</v>
      </c>
      <c r="F852" s="149">
        <v>5</v>
      </c>
      <c r="G852" s="27">
        <v>6</v>
      </c>
      <c r="H852" s="27">
        <v>7</v>
      </c>
      <c r="I852" s="27">
        <v>8</v>
      </c>
      <c r="J852" s="27">
        <v>9</v>
      </c>
      <c r="K852" s="496">
        <v>10</v>
      </c>
    </row>
    <row r="853" spans="1:11" s="141" customFormat="1" x14ac:dyDescent="0.2">
      <c r="A853" s="142" t="s">
        <v>7</v>
      </c>
      <c r="B853" s="145">
        <v>0</v>
      </c>
      <c r="C853" s="145">
        <v>0</v>
      </c>
      <c r="D853" s="146">
        <v>0</v>
      </c>
      <c r="E853" s="145">
        <v>0</v>
      </c>
      <c r="F853" s="147">
        <v>0</v>
      </c>
      <c r="G853" s="145">
        <v>0</v>
      </c>
      <c r="H853" s="145">
        <v>0</v>
      </c>
      <c r="I853" s="145">
        <v>78</v>
      </c>
      <c r="J853" s="145">
        <v>0</v>
      </c>
      <c r="K853" s="495"/>
    </row>
    <row r="854" spans="1:11" s="141" customFormat="1" x14ac:dyDescent="0.2">
      <c r="A854" s="142" t="s">
        <v>8</v>
      </c>
      <c r="B854" s="145">
        <f t="shared" ref="B854:G854" si="33">B851-B853</f>
        <v>100</v>
      </c>
      <c r="C854" s="145">
        <f t="shared" si="33"/>
        <v>100</v>
      </c>
      <c r="D854" s="145">
        <f t="shared" si="33"/>
        <v>112.75</v>
      </c>
      <c r="E854" s="145">
        <f t="shared" si="33"/>
        <v>108.75</v>
      </c>
      <c r="F854" s="145">
        <f t="shared" si="33"/>
        <v>108.75</v>
      </c>
      <c r="G854" s="145">
        <f t="shared" si="33"/>
        <v>108.75</v>
      </c>
      <c r="H854" s="145">
        <v>108.75</v>
      </c>
      <c r="I854" s="145">
        <f>I851-I853</f>
        <v>18</v>
      </c>
      <c r="J854" s="145">
        <f>J851-J853</f>
        <v>56</v>
      </c>
      <c r="K854" s="495"/>
    </row>
    <row r="855" spans="1:11" s="141" customFormat="1" x14ac:dyDescent="0.2">
      <c r="A855" s="150" t="s">
        <v>9</v>
      </c>
      <c r="B855" s="151">
        <v>2017</v>
      </c>
      <c r="C855" s="151">
        <v>2018</v>
      </c>
      <c r="D855" s="151">
        <v>2019</v>
      </c>
      <c r="E855" s="151">
        <v>2020</v>
      </c>
      <c r="F855" s="151">
        <v>2021</v>
      </c>
      <c r="G855" s="151">
        <v>2022</v>
      </c>
      <c r="H855" s="151">
        <v>2023</v>
      </c>
      <c r="I855" s="151">
        <v>2024</v>
      </c>
      <c r="J855" s="151">
        <v>2025</v>
      </c>
      <c r="K855" s="497">
        <v>2026</v>
      </c>
    </row>
    <row r="856" spans="1:11" s="141" customFormat="1" x14ac:dyDescent="0.2">
      <c r="A856" s="703" t="s">
        <v>10</v>
      </c>
      <c r="B856" s="704"/>
      <c r="C856" s="704"/>
      <c r="D856" s="704"/>
      <c r="E856" s="704"/>
      <c r="F856" s="704"/>
      <c r="G856" s="152"/>
      <c r="H856" s="152"/>
      <c r="I856" s="152"/>
      <c r="J856" s="153"/>
      <c r="K856" s="500"/>
    </row>
    <row r="857" spans="1:11" s="141" customFormat="1" x14ac:dyDescent="0.2">
      <c r="A857" s="150" t="s">
        <v>362</v>
      </c>
      <c r="B857" s="152"/>
      <c r="C857" s="152"/>
      <c r="D857" s="152"/>
      <c r="E857" s="152"/>
      <c r="F857" s="152"/>
      <c r="G857" s="152"/>
      <c r="H857" s="152"/>
      <c r="I857" s="152"/>
      <c r="J857" s="152"/>
      <c r="K857" s="500"/>
    </row>
    <row r="858" spans="1:11" s="141" customFormat="1" x14ac:dyDescent="0.2">
      <c r="A858" s="701" t="s">
        <v>363</v>
      </c>
      <c r="B858" s="702"/>
      <c r="C858" s="702"/>
      <c r="D858" s="702"/>
      <c r="E858" s="702"/>
      <c r="F858" s="702"/>
      <c r="K858" s="498"/>
    </row>
    <row r="859" spans="1:11" s="141" customFormat="1" x14ac:dyDescent="0.2">
      <c r="A859" s="701" t="s">
        <v>364</v>
      </c>
      <c r="B859" s="702"/>
      <c r="C859" s="702"/>
      <c r="D859" s="702"/>
      <c r="E859" s="702"/>
      <c r="F859" s="702"/>
      <c r="K859" s="498"/>
    </row>
    <row r="860" spans="1:11" s="141" customFormat="1" ht="45" customHeight="1" x14ac:dyDescent="0.2">
      <c r="A860" s="701" t="s">
        <v>365</v>
      </c>
      <c r="B860" s="702"/>
      <c r="C860" s="702"/>
      <c r="D860" s="702"/>
      <c r="E860" s="702"/>
      <c r="F860" s="702"/>
      <c r="G860" s="702"/>
      <c r="K860" s="498"/>
    </row>
    <row r="861" spans="1:11" s="141" customFormat="1" ht="30" customHeight="1" x14ac:dyDescent="0.2">
      <c r="A861" s="701" t="s">
        <v>989</v>
      </c>
      <c r="B861" s="702"/>
      <c r="C861" s="702"/>
      <c r="D861" s="702"/>
      <c r="E861" s="702"/>
      <c r="F861" s="702"/>
      <c r="G861" s="702"/>
      <c r="K861" s="498"/>
    </row>
    <row r="862" spans="1:11" s="141" customFormat="1" ht="30" customHeight="1" x14ac:dyDescent="0.2">
      <c r="A862" s="701" t="s">
        <v>988</v>
      </c>
      <c r="B862" s="702"/>
      <c r="C862" s="702"/>
      <c r="D862" s="702"/>
      <c r="E862" s="702"/>
      <c r="F862" s="702"/>
      <c r="G862" s="702"/>
      <c r="K862" s="498"/>
    </row>
    <row r="863" spans="1:11" s="141" customFormat="1" ht="30" customHeight="1" x14ac:dyDescent="0.2">
      <c r="A863" s="701" t="s">
        <v>987</v>
      </c>
      <c r="B863" s="702"/>
      <c r="C863" s="702"/>
      <c r="D863" s="702"/>
      <c r="E863" s="702"/>
      <c r="F863" s="702"/>
      <c r="G863" s="702"/>
      <c r="K863" s="498"/>
    </row>
    <row r="864" spans="1:11" s="141" customFormat="1" ht="30" customHeight="1" x14ac:dyDescent="0.2">
      <c r="A864" s="701" t="s">
        <v>986</v>
      </c>
      <c r="B864" s="702"/>
      <c r="C864" s="702"/>
      <c r="D864" s="702"/>
      <c r="E864" s="702"/>
      <c r="F864" s="702"/>
      <c r="G864" s="702"/>
      <c r="K864" s="498"/>
    </row>
    <row r="865" spans="1:11" s="141" customFormat="1" ht="30" customHeight="1" x14ac:dyDescent="0.2">
      <c r="A865" s="55" t="s">
        <v>985</v>
      </c>
      <c r="B865" s="255"/>
      <c r="C865" s="255"/>
      <c r="D865" s="255"/>
      <c r="E865" s="255"/>
      <c r="F865" s="255"/>
      <c r="G865" s="255"/>
      <c r="K865" s="498"/>
    </row>
    <row r="866" spans="1:11" s="141" customFormat="1" ht="30" customHeight="1" x14ac:dyDescent="0.2">
      <c r="A866" s="55" t="s">
        <v>984</v>
      </c>
      <c r="B866" s="255"/>
      <c r="C866" s="255"/>
      <c r="D866" s="255"/>
      <c r="E866" s="255"/>
      <c r="F866" s="255"/>
      <c r="G866" s="255"/>
      <c r="K866" s="498"/>
    </row>
    <row r="867" spans="1:11" s="141" customFormat="1" ht="30" customHeight="1" x14ac:dyDescent="0.2">
      <c r="A867" s="708" t="s">
        <v>990</v>
      </c>
      <c r="B867" s="709"/>
      <c r="C867" s="709"/>
      <c r="D867" s="709"/>
      <c r="E867" s="709"/>
      <c r="F867" s="709"/>
      <c r="G867" s="709"/>
      <c r="H867" s="125"/>
      <c r="I867" s="125"/>
      <c r="J867" s="125"/>
      <c r="K867" s="499"/>
    </row>
    <row r="869" spans="1:11" x14ac:dyDescent="0.2">
      <c r="A869" s="43" t="s">
        <v>1</v>
      </c>
      <c r="B869" s="56" t="s">
        <v>646</v>
      </c>
      <c r="C869" s="439" t="s">
        <v>2</v>
      </c>
    </row>
    <row r="870" spans="1:11" x14ac:dyDescent="0.2">
      <c r="A870" s="46" t="s">
        <v>3</v>
      </c>
      <c r="B870" s="155">
        <v>2015</v>
      </c>
      <c r="C870" s="2">
        <v>2016</v>
      </c>
      <c r="D870" s="156">
        <v>2017</v>
      </c>
      <c r="E870" s="155">
        <v>2018</v>
      </c>
      <c r="F870" s="155">
        <v>2019</v>
      </c>
      <c r="G870" s="2">
        <v>2020</v>
      </c>
      <c r="H870" s="2">
        <v>2021</v>
      </c>
      <c r="I870" s="2">
        <v>2022</v>
      </c>
      <c r="J870" s="2">
        <v>2023</v>
      </c>
      <c r="K870" s="468">
        <v>2024</v>
      </c>
    </row>
    <row r="871" spans="1:11" x14ac:dyDescent="0.2">
      <c r="A871" s="46" t="s">
        <v>4</v>
      </c>
      <c r="B871" s="157">
        <v>4.51</v>
      </c>
      <c r="C871" s="5">
        <v>4.51</v>
      </c>
      <c r="D871" s="158">
        <v>4.51</v>
      </c>
      <c r="E871" s="157">
        <v>5.31</v>
      </c>
      <c r="F871" s="159">
        <v>5.31</v>
      </c>
      <c r="G871" s="5">
        <v>5.31</v>
      </c>
      <c r="H871" s="5">
        <v>5.31</v>
      </c>
      <c r="I871" s="5">
        <v>6.18</v>
      </c>
      <c r="J871" s="5">
        <v>6.18</v>
      </c>
      <c r="K871" s="409">
        <v>6.18</v>
      </c>
    </row>
    <row r="872" spans="1:11" x14ac:dyDescent="0.2">
      <c r="A872" s="46" t="s">
        <v>5</v>
      </c>
      <c r="B872" s="157">
        <v>8.51</v>
      </c>
      <c r="C872" s="5">
        <v>9.02</v>
      </c>
      <c r="D872" s="157">
        <v>4.1899999999999995</v>
      </c>
      <c r="E872" s="157">
        <v>9.5</v>
      </c>
      <c r="F872" s="157">
        <f>2*F871-9.62</f>
        <v>1</v>
      </c>
      <c r="G872" s="5">
        <f>G871+F875-4.78</f>
        <v>1.5299999999999994</v>
      </c>
      <c r="H872" s="5">
        <f>H871+G875-4.78</f>
        <v>2.0599999999999987</v>
      </c>
      <c r="I872" s="5">
        <f>I871+H875-4.78</f>
        <v>3.4599999999999982</v>
      </c>
      <c r="J872" s="5">
        <f>J871+I875-5.18</f>
        <v>4.4599999999999973</v>
      </c>
      <c r="K872" s="409">
        <f>K871+J875</f>
        <v>10.639999999999997</v>
      </c>
    </row>
    <row r="873" spans="1:11" x14ac:dyDescent="0.2">
      <c r="A873" s="46" t="s">
        <v>6</v>
      </c>
      <c r="B873" s="160">
        <v>1</v>
      </c>
      <c r="C873" s="15">
        <v>2</v>
      </c>
      <c r="D873" s="161">
        <v>3</v>
      </c>
      <c r="E873" s="160">
        <v>4</v>
      </c>
      <c r="F873" s="162">
        <v>5</v>
      </c>
      <c r="G873" s="15">
        <v>6</v>
      </c>
      <c r="H873" s="15">
        <v>7</v>
      </c>
      <c r="I873" s="15">
        <v>8</v>
      </c>
      <c r="J873" s="15">
        <v>9</v>
      </c>
      <c r="K873" s="408">
        <v>10</v>
      </c>
    </row>
    <row r="874" spans="1:11" x14ac:dyDescent="0.2">
      <c r="A874" s="46" t="s">
        <v>7</v>
      </c>
      <c r="B874" s="157">
        <v>0.17</v>
      </c>
      <c r="C874" s="5">
        <v>9.34</v>
      </c>
      <c r="D874" s="158">
        <v>0</v>
      </c>
      <c r="E874" s="157">
        <v>0</v>
      </c>
      <c r="F874" s="159">
        <v>0</v>
      </c>
      <c r="G874" s="5">
        <v>0</v>
      </c>
      <c r="H874" s="5">
        <v>0</v>
      </c>
      <c r="I874" s="5">
        <v>0</v>
      </c>
      <c r="J874" s="5">
        <v>0</v>
      </c>
      <c r="K874" s="409"/>
    </row>
    <row r="875" spans="1:11" x14ac:dyDescent="0.2">
      <c r="A875" s="46" t="s">
        <v>8</v>
      </c>
      <c r="B875" s="157">
        <v>8.34</v>
      </c>
      <c r="C875" s="5">
        <v>-0.32000000000000028</v>
      </c>
      <c r="D875" s="157">
        <v>4.1899999999999995</v>
      </c>
      <c r="E875" s="157">
        <v>9.5</v>
      </c>
      <c r="F875" s="159">
        <f>F872-F874</f>
        <v>1</v>
      </c>
      <c r="G875" s="5">
        <f>G872</f>
        <v>1.5299999999999994</v>
      </c>
      <c r="H875" s="5">
        <f>H872</f>
        <v>2.0599999999999987</v>
      </c>
      <c r="I875" s="5">
        <f>I872-I874</f>
        <v>3.4599999999999982</v>
      </c>
      <c r="J875" s="5">
        <f>J872-J874</f>
        <v>4.4599999999999973</v>
      </c>
      <c r="K875" s="409"/>
    </row>
    <row r="876" spans="1:11" x14ac:dyDescent="0.2">
      <c r="A876" s="8" t="s">
        <v>9</v>
      </c>
      <c r="B876" s="163">
        <v>2016</v>
      </c>
      <c r="C876" s="16">
        <v>2017</v>
      </c>
      <c r="D876" s="163">
        <v>2018</v>
      </c>
      <c r="E876" s="163">
        <v>2019</v>
      </c>
      <c r="F876" s="163">
        <v>2020</v>
      </c>
      <c r="G876" s="163">
        <v>2021</v>
      </c>
      <c r="H876" s="163">
        <v>2022</v>
      </c>
      <c r="I876" s="163">
        <v>2023</v>
      </c>
      <c r="J876" s="163">
        <v>2024</v>
      </c>
      <c r="K876" s="501">
        <v>2025</v>
      </c>
    </row>
    <row r="877" spans="1:11" x14ac:dyDescent="0.2">
      <c r="A877" s="8" t="s">
        <v>10</v>
      </c>
      <c r="B877" s="9"/>
      <c r="C877" s="9"/>
      <c r="D877" s="9"/>
      <c r="E877" s="9"/>
      <c r="F877" s="9"/>
      <c r="G877" s="9"/>
      <c r="H877" s="9"/>
      <c r="I877" s="9"/>
      <c r="J877" s="7"/>
      <c r="K877" s="412"/>
    </row>
    <row r="878" spans="1:11" x14ac:dyDescent="0.2">
      <c r="A878" s="8" t="s">
        <v>366</v>
      </c>
      <c r="B878" s="9"/>
      <c r="C878" s="9"/>
      <c r="D878" s="9"/>
      <c r="E878" s="9"/>
      <c r="F878" s="9"/>
      <c r="G878" s="9"/>
      <c r="H878" s="9"/>
      <c r="I878" s="9"/>
      <c r="J878" s="9"/>
      <c r="K878" s="412"/>
    </row>
    <row r="879" spans="1:11" x14ac:dyDescent="0.2">
      <c r="A879" s="10" t="s">
        <v>367</v>
      </c>
      <c r="K879" s="413"/>
    </row>
    <row r="880" spans="1:11" x14ac:dyDescent="0.2">
      <c r="A880" s="10" t="s">
        <v>368</v>
      </c>
      <c r="K880" s="413"/>
    </row>
    <row r="881" spans="1:11" x14ac:dyDescent="0.2">
      <c r="A881" s="10" t="s">
        <v>369</v>
      </c>
      <c r="K881" s="413"/>
    </row>
    <row r="882" spans="1:11" x14ac:dyDescent="0.2">
      <c r="A882" s="10" t="s">
        <v>597</v>
      </c>
      <c r="K882" s="413"/>
    </row>
    <row r="883" spans="1:11" x14ac:dyDescent="0.2">
      <c r="A883" s="10" t="s">
        <v>589</v>
      </c>
      <c r="K883" s="413"/>
    </row>
    <row r="884" spans="1:11" x14ac:dyDescent="0.2">
      <c r="A884" s="10" t="s">
        <v>588</v>
      </c>
      <c r="K884" s="413"/>
    </row>
    <row r="885" spans="1:11" x14ac:dyDescent="0.2">
      <c r="A885" s="10" t="s">
        <v>598</v>
      </c>
      <c r="K885" s="413"/>
    </row>
    <row r="886" spans="1:11" x14ac:dyDescent="0.2">
      <c r="A886" s="10" t="s">
        <v>810</v>
      </c>
      <c r="K886" s="413"/>
    </row>
    <row r="887" spans="1:11" x14ac:dyDescent="0.2">
      <c r="A887" s="415" t="s">
        <v>991</v>
      </c>
      <c r="B887" s="13"/>
      <c r="C887" s="13"/>
      <c r="D887" s="13"/>
      <c r="E887" s="13"/>
      <c r="F887" s="13"/>
      <c r="G887" s="13"/>
      <c r="H887" s="13"/>
      <c r="I887" s="13"/>
      <c r="J887" s="13"/>
      <c r="K887" s="333"/>
    </row>
    <row r="890" spans="1:11" x14ac:dyDescent="0.2">
      <c r="A890" s="164" t="s">
        <v>12</v>
      </c>
      <c r="B890" s="284" t="s">
        <v>249</v>
      </c>
      <c r="C890" s="165"/>
      <c r="D890" s="35"/>
      <c r="E890" s="35"/>
      <c r="F890" s="35"/>
    </row>
    <row r="891" spans="1:11" x14ac:dyDescent="0.2">
      <c r="A891" s="32" t="s">
        <v>14</v>
      </c>
      <c r="B891" s="33" t="s">
        <v>66</v>
      </c>
      <c r="C891" s="34" t="s">
        <v>15</v>
      </c>
      <c r="D891" s="35"/>
      <c r="E891" s="35"/>
      <c r="F891" s="35"/>
    </row>
    <row r="892" spans="1:11" x14ac:dyDescent="0.2">
      <c r="A892" s="36" t="s">
        <v>16</v>
      </c>
      <c r="B892" s="113">
        <v>2015</v>
      </c>
      <c r="C892" s="113">
        <v>2016</v>
      </c>
      <c r="D892" s="166">
        <v>2017</v>
      </c>
      <c r="E892" s="113">
        <v>2018</v>
      </c>
      <c r="F892" s="17">
        <v>2019</v>
      </c>
      <c r="G892" s="17">
        <v>2020</v>
      </c>
      <c r="H892" s="17">
        <v>2021</v>
      </c>
      <c r="I892" s="17">
        <v>2022</v>
      </c>
      <c r="J892" s="505">
        <v>2023</v>
      </c>
    </row>
    <row r="893" spans="1:11" x14ac:dyDescent="0.2">
      <c r="A893" s="36" t="s">
        <v>17</v>
      </c>
      <c r="B893" s="5">
        <v>4722</v>
      </c>
      <c r="C893" s="5">
        <v>4250</v>
      </c>
      <c r="D893" s="5">
        <v>4250</v>
      </c>
      <c r="E893" s="5">
        <v>4250</v>
      </c>
      <c r="F893" s="5">
        <v>4250</v>
      </c>
      <c r="G893" s="5">
        <v>3968.23</v>
      </c>
      <c r="H893" s="5">
        <v>3904.7383199999999</v>
      </c>
      <c r="I893" s="5">
        <v>3936.48416</v>
      </c>
      <c r="J893" s="409">
        <v>3936.48416</v>
      </c>
    </row>
    <row r="894" spans="1:11" x14ac:dyDescent="0.2">
      <c r="A894" s="36" t="s">
        <v>18</v>
      </c>
      <c r="B894" s="5">
        <v>6614.6</v>
      </c>
      <c r="C894" s="5">
        <f>C893+70+583-337</f>
        <v>4566</v>
      </c>
      <c r="D894" s="5">
        <f>D893-337+70+B897+C897</f>
        <v>4433.3230000000003</v>
      </c>
      <c r="E894" s="5">
        <f>E893-337+70</f>
        <v>3983</v>
      </c>
      <c r="F894" s="5">
        <f>F893+70+D897</f>
        <v>4667.3230000000003</v>
      </c>
      <c r="G894" s="5">
        <f>G893+E897</f>
        <v>4380.2299999999996</v>
      </c>
      <c r="H894" s="5">
        <f>H893+425</f>
        <v>4329.7383200000004</v>
      </c>
      <c r="I894" s="409">
        <f>I893+396.82</f>
        <v>4333.3041599999997</v>
      </c>
      <c r="J894" s="409">
        <v>4326.9541600000002</v>
      </c>
    </row>
    <row r="895" spans="1:11" x14ac:dyDescent="0.2">
      <c r="A895" s="36" t="s">
        <v>19</v>
      </c>
      <c r="B895" s="4"/>
      <c r="C895" s="4">
        <v>1</v>
      </c>
      <c r="D895" s="4">
        <v>2</v>
      </c>
      <c r="E895" s="4">
        <v>3</v>
      </c>
      <c r="F895" s="4">
        <v>4</v>
      </c>
      <c r="G895" s="4">
        <v>5</v>
      </c>
      <c r="H895" s="4">
        <v>6</v>
      </c>
      <c r="I895" s="4">
        <v>7</v>
      </c>
      <c r="J895" s="491">
        <v>8</v>
      </c>
    </row>
    <row r="896" spans="1:11" x14ac:dyDescent="0.2">
      <c r="A896" s="36" t="s">
        <v>20</v>
      </c>
      <c r="B896" s="5">
        <v>5917.6769999999997</v>
      </c>
      <c r="C896" s="5">
        <v>4812.6000000000004</v>
      </c>
      <c r="D896" s="5">
        <v>4086</v>
      </c>
      <c r="E896" s="5">
        <v>3571</v>
      </c>
      <c r="F896" s="5">
        <v>2864.5</v>
      </c>
      <c r="G896" s="5">
        <v>2932.5</v>
      </c>
      <c r="H896" s="5">
        <v>1925</v>
      </c>
      <c r="I896" s="409">
        <v>3672</v>
      </c>
      <c r="J896" s="409">
        <v>2371</v>
      </c>
    </row>
    <row r="897" spans="1:12" x14ac:dyDescent="0.2">
      <c r="A897" s="36" t="s">
        <v>21</v>
      </c>
      <c r="B897" s="5">
        <f t="shared" ref="B897:H897" si="34">B894-B896</f>
        <v>696.92300000000068</v>
      </c>
      <c r="C897" s="5">
        <f t="shared" si="34"/>
        <v>-246.60000000000036</v>
      </c>
      <c r="D897" s="5">
        <f t="shared" si="34"/>
        <v>347.32300000000032</v>
      </c>
      <c r="E897" s="5">
        <f t="shared" si="34"/>
        <v>412</v>
      </c>
      <c r="F897" s="5">
        <f t="shared" si="34"/>
        <v>1802.8230000000003</v>
      </c>
      <c r="G897" s="5">
        <f t="shared" si="34"/>
        <v>1447.7299999999996</v>
      </c>
      <c r="H897" s="5">
        <f t="shared" si="34"/>
        <v>2404.7383200000004</v>
      </c>
      <c r="I897" s="409">
        <f>I894-I896</f>
        <v>661.30415999999968</v>
      </c>
      <c r="J897" s="409">
        <f>J894-J896</f>
        <v>1955.9541600000002</v>
      </c>
    </row>
    <row r="898" spans="1:12" x14ac:dyDescent="0.2">
      <c r="A898" s="39" t="s">
        <v>22</v>
      </c>
      <c r="B898" s="18">
        <v>2017</v>
      </c>
      <c r="C898" s="18">
        <v>2018</v>
      </c>
      <c r="D898" s="18">
        <v>2019</v>
      </c>
      <c r="E898" s="18">
        <v>2020</v>
      </c>
      <c r="F898" s="18">
        <v>2021</v>
      </c>
      <c r="G898" s="18">
        <v>2022</v>
      </c>
      <c r="H898" s="18">
        <v>2023</v>
      </c>
      <c r="I898" s="18">
        <v>2024</v>
      </c>
      <c r="J898" s="506">
        <v>2025</v>
      </c>
    </row>
    <row r="899" spans="1:12" x14ac:dyDescent="0.2">
      <c r="A899" s="168"/>
      <c r="B899" s="9"/>
      <c r="C899" s="440"/>
      <c r="D899" s="9"/>
      <c r="E899" s="9"/>
      <c r="F899" s="9"/>
      <c r="G899" s="9"/>
      <c r="H899" s="9"/>
      <c r="I899" s="9"/>
      <c r="J899" s="412"/>
    </row>
    <row r="900" spans="1:12" x14ac:dyDescent="0.2">
      <c r="A900" s="10" t="s">
        <v>599</v>
      </c>
      <c r="J900" s="413"/>
    </row>
    <row r="901" spans="1:12" x14ac:dyDescent="0.2">
      <c r="A901" s="10" t="s">
        <v>600</v>
      </c>
      <c r="J901" s="413"/>
    </row>
    <row r="902" spans="1:12" x14ac:dyDescent="0.2">
      <c r="A902" s="10" t="s">
        <v>601</v>
      </c>
      <c r="C902" s="441"/>
      <c r="J902" s="413"/>
    </row>
    <row r="903" spans="1:12" x14ac:dyDescent="0.2">
      <c r="A903" s="10" t="s">
        <v>602</v>
      </c>
      <c r="C903" s="441"/>
      <c r="J903" s="413"/>
    </row>
    <row r="904" spans="1:12" x14ac:dyDescent="0.2">
      <c r="A904" s="10" t="s">
        <v>603</v>
      </c>
      <c r="C904" s="441"/>
      <c r="J904" s="413"/>
    </row>
    <row r="905" spans="1:12" x14ac:dyDescent="0.2">
      <c r="A905" s="10" t="s">
        <v>501</v>
      </c>
      <c r="J905" s="413"/>
    </row>
    <row r="906" spans="1:12" x14ac:dyDescent="0.2">
      <c r="A906" s="10" t="s">
        <v>740</v>
      </c>
      <c r="J906" s="413"/>
    </row>
    <row r="907" spans="1:12" x14ac:dyDescent="0.2">
      <c r="A907" s="10" t="s">
        <v>739</v>
      </c>
      <c r="J907" s="413"/>
    </row>
    <row r="908" spans="1:12" x14ac:dyDescent="0.2">
      <c r="A908" s="415" t="s">
        <v>994</v>
      </c>
      <c r="B908" s="13"/>
      <c r="C908" s="13"/>
      <c r="D908" s="13"/>
      <c r="E908" s="13"/>
      <c r="F908" s="13"/>
      <c r="G908" s="13"/>
      <c r="H908" s="13"/>
      <c r="I908" s="13"/>
      <c r="J908" s="333"/>
    </row>
    <row r="910" spans="1:12" x14ac:dyDescent="0.2">
      <c r="A910" s="339"/>
      <c r="B910" s="135"/>
      <c r="C910" s="135"/>
      <c r="D910" s="135"/>
      <c r="E910" s="135"/>
      <c r="F910" s="339"/>
      <c r="G910" s="135"/>
    </row>
    <row r="911" spans="1:12" s="329" customFormat="1" x14ac:dyDescent="0.2">
      <c r="A911" s="404" t="s">
        <v>12</v>
      </c>
      <c r="B911" s="405" t="s">
        <v>952</v>
      </c>
      <c r="C911" s="442"/>
    </row>
    <row r="912" spans="1:12" s="407" customFormat="1" ht="15" x14ac:dyDescent="0.25">
      <c r="A912" s="416" t="s">
        <v>14</v>
      </c>
      <c r="B912" s="416" t="s">
        <v>624</v>
      </c>
      <c r="C912" s="416" t="s">
        <v>15</v>
      </c>
      <c r="D912" s="417"/>
      <c r="E912" s="417"/>
      <c r="F912" s="417"/>
      <c r="G912" s="417"/>
      <c r="H912" s="417"/>
      <c r="I912" s="417"/>
      <c r="J912" s="417"/>
      <c r="K912" s="406"/>
      <c r="L912" s="406"/>
    </row>
    <row r="913" spans="1:12" s="407" customFormat="1" ht="15" x14ac:dyDescent="0.25">
      <c r="A913" s="408" t="s">
        <v>16</v>
      </c>
      <c r="B913" s="408">
        <v>2016</v>
      </c>
      <c r="C913" s="443">
        <v>2017</v>
      </c>
      <c r="D913" s="408">
        <v>2018</v>
      </c>
      <c r="E913" s="418">
        <v>2019</v>
      </c>
      <c r="F913" s="408">
        <v>2020</v>
      </c>
      <c r="G913" s="418">
        <v>2021</v>
      </c>
      <c r="H913" s="418">
        <v>2022</v>
      </c>
      <c r="I913" s="418">
        <v>2023</v>
      </c>
      <c r="J913" s="418">
        <v>2024</v>
      </c>
    </row>
    <row r="914" spans="1:12" s="407" customFormat="1" ht="15" x14ac:dyDescent="0.25">
      <c r="A914" s="408" t="s">
        <v>17</v>
      </c>
      <c r="B914" s="409">
        <v>0</v>
      </c>
      <c r="C914" s="409">
        <v>0</v>
      </c>
      <c r="D914" s="409">
        <v>0</v>
      </c>
      <c r="E914" s="409">
        <v>0</v>
      </c>
      <c r="F914" s="409">
        <v>0</v>
      </c>
      <c r="G914" s="409">
        <v>0</v>
      </c>
      <c r="H914" s="409">
        <v>0</v>
      </c>
      <c r="I914" s="409">
        <v>0</v>
      </c>
      <c r="J914" s="409">
        <v>0</v>
      </c>
    </row>
    <row r="915" spans="1:12" s="407" customFormat="1" ht="15" x14ac:dyDescent="0.25">
      <c r="A915" s="408" t="s">
        <v>18</v>
      </c>
      <c r="B915" s="409"/>
      <c r="C915" s="409">
        <f>C914+B918</f>
        <v>-28.55546</v>
      </c>
      <c r="D915" s="409">
        <f>D914+C918</f>
        <v>-64.828410000000005</v>
      </c>
      <c r="E915" s="409">
        <f>E914+D918</f>
        <v>-100.71838</v>
      </c>
      <c r="F915" s="409">
        <f>F914+E918</f>
        <v>-122.58440999999999</v>
      </c>
      <c r="G915" s="409">
        <f>G914+F918</f>
        <v>-137.94472999999999</v>
      </c>
      <c r="H915" s="409">
        <f>H914+(G918)</f>
        <v>-142.25473</v>
      </c>
      <c r="I915" s="409">
        <f>I914+(H918)</f>
        <v>-149.03372999999999</v>
      </c>
      <c r="J915" s="409">
        <f>J914+(I918)</f>
        <v>-165.23183999999998</v>
      </c>
    </row>
    <row r="916" spans="1:12" s="407" customFormat="1" ht="15" x14ac:dyDescent="0.25">
      <c r="A916" s="408" t="s">
        <v>19</v>
      </c>
      <c r="B916" s="408"/>
      <c r="C916" s="408">
        <v>1</v>
      </c>
      <c r="D916" s="408">
        <v>2</v>
      </c>
      <c r="E916" s="408">
        <v>3</v>
      </c>
      <c r="F916" s="408">
        <v>4</v>
      </c>
      <c r="G916" s="408">
        <v>5</v>
      </c>
      <c r="H916" s="408">
        <v>6</v>
      </c>
      <c r="I916" s="408">
        <v>7</v>
      </c>
      <c r="J916" s="408">
        <v>8</v>
      </c>
    </row>
    <row r="917" spans="1:12" s="407" customFormat="1" ht="15.75" x14ac:dyDescent="0.25">
      <c r="A917" s="408" t="s">
        <v>20</v>
      </c>
      <c r="B917" s="422">
        <v>28.55546</v>
      </c>
      <c r="C917" s="444">
        <v>36.272950000000002</v>
      </c>
      <c r="D917" s="422">
        <v>35.889969999999998</v>
      </c>
      <c r="E917" s="422">
        <v>21.866029999999999</v>
      </c>
      <c r="F917" s="422">
        <v>15.36032</v>
      </c>
      <c r="G917" s="422">
        <v>4.3099999999999996</v>
      </c>
      <c r="H917" s="422">
        <v>6.7789999999999999</v>
      </c>
      <c r="I917" s="423">
        <v>16.19811</v>
      </c>
      <c r="J917" s="423"/>
    </row>
    <row r="918" spans="1:12" s="407" customFormat="1" ht="15" x14ac:dyDescent="0.25">
      <c r="A918" s="408" t="s">
        <v>21</v>
      </c>
      <c r="B918" s="409">
        <f>B914-B917</f>
        <v>-28.55546</v>
      </c>
      <c r="C918" s="409">
        <f>C915-C917</f>
        <v>-64.828410000000005</v>
      </c>
      <c r="D918" s="409">
        <f t="shared" ref="D918:H918" si="35">D915-D917</f>
        <v>-100.71838</v>
      </c>
      <c r="E918" s="409">
        <f t="shared" si="35"/>
        <v>-122.58440999999999</v>
      </c>
      <c r="F918" s="409">
        <f t="shared" si="35"/>
        <v>-137.94472999999999</v>
      </c>
      <c r="G918" s="409">
        <f t="shared" si="35"/>
        <v>-142.25473</v>
      </c>
      <c r="H918" s="409">
        <f t="shared" si="35"/>
        <v>-149.03372999999999</v>
      </c>
      <c r="I918" s="409">
        <f>I915-I917</f>
        <v>-165.23183999999998</v>
      </c>
      <c r="J918" s="409"/>
    </row>
    <row r="919" spans="1:12" s="407" customFormat="1" ht="15" x14ac:dyDescent="0.25">
      <c r="A919" s="421" t="s">
        <v>22</v>
      </c>
      <c r="B919" s="421">
        <v>2017</v>
      </c>
      <c r="C919" s="421">
        <v>2018</v>
      </c>
      <c r="D919" s="421">
        <v>2019</v>
      </c>
      <c r="E919" s="421">
        <v>2020</v>
      </c>
      <c r="F919" s="421">
        <v>2021</v>
      </c>
      <c r="G919" s="421">
        <v>2022</v>
      </c>
      <c r="H919" s="421">
        <v>2023</v>
      </c>
      <c r="I919" s="421">
        <v>2024</v>
      </c>
      <c r="J919" s="421">
        <v>2025</v>
      </c>
    </row>
    <row r="920" spans="1:12" s="407" customFormat="1" ht="15" x14ac:dyDescent="0.25">
      <c r="A920" s="410">
        <v>1</v>
      </c>
      <c r="B920" s="419" t="s">
        <v>953</v>
      </c>
      <c r="C920" s="411"/>
      <c r="D920" s="411"/>
      <c r="E920" s="411"/>
      <c r="F920" s="411"/>
      <c r="G920" s="411"/>
      <c r="H920" s="411"/>
      <c r="I920" s="411"/>
      <c r="J920" s="412"/>
      <c r="L920" s="329"/>
    </row>
    <row r="921" spans="1:12" s="407" customFormat="1" ht="15" x14ac:dyDescent="0.25">
      <c r="A921" s="414">
        <v>2</v>
      </c>
      <c r="B921" s="679" t="s">
        <v>954</v>
      </c>
      <c r="C921" s="329"/>
      <c r="D921" s="329"/>
      <c r="E921" s="329"/>
      <c r="F921" s="329"/>
      <c r="G921" s="329"/>
      <c r="H921" s="329"/>
      <c r="I921" s="329"/>
      <c r="J921" s="413"/>
      <c r="L921" s="329"/>
    </row>
    <row r="922" spans="1:12" s="407" customFormat="1" ht="15" x14ac:dyDescent="0.25">
      <c r="A922" s="414">
        <v>3</v>
      </c>
      <c r="B922" s="679" t="s">
        <v>955</v>
      </c>
      <c r="C922" s="329"/>
      <c r="D922" s="329"/>
      <c r="E922" s="329"/>
      <c r="F922" s="329"/>
      <c r="G922" s="329"/>
      <c r="H922" s="329"/>
      <c r="I922" s="329"/>
      <c r="J922" s="413"/>
      <c r="L922" s="329"/>
    </row>
    <row r="923" spans="1:12" s="407" customFormat="1" ht="15" x14ac:dyDescent="0.25">
      <c r="A923" s="414">
        <v>4</v>
      </c>
      <c r="B923" s="679" t="s">
        <v>956</v>
      </c>
      <c r="C923" s="329"/>
      <c r="D923" s="329"/>
      <c r="E923" s="329"/>
      <c r="F923" s="329"/>
      <c r="G923" s="329"/>
      <c r="H923" s="329"/>
      <c r="I923" s="329"/>
      <c r="J923" s="413"/>
      <c r="L923" s="329"/>
    </row>
    <row r="924" spans="1:12" s="407" customFormat="1" ht="15" x14ac:dyDescent="0.25">
      <c r="A924" s="414">
        <v>5</v>
      </c>
      <c r="B924" s="679" t="s">
        <v>957</v>
      </c>
      <c r="C924" s="329"/>
      <c r="D924" s="329"/>
      <c r="E924" s="329"/>
      <c r="F924" s="329"/>
      <c r="G924" s="329"/>
      <c r="H924" s="329"/>
      <c r="I924" s="329"/>
      <c r="J924" s="413"/>
      <c r="L924" s="329"/>
    </row>
    <row r="925" spans="1:12" s="407" customFormat="1" ht="15" x14ac:dyDescent="0.25">
      <c r="A925" s="414">
        <v>6</v>
      </c>
      <c r="B925" s="679" t="s">
        <v>960</v>
      </c>
      <c r="C925" s="329"/>
      <c r="D925" s="329"/>
      <c r="E925" s="329"/>
      <c r="F925" s="329"/>
      <c r="G925" s="329"/>
      <c r="H925" s="329"/>
      <c r="I925" s="329"/>
      <c r="J925" s="413"/>
      <c r="L925" s="329"/>
    </row>
    <row r="926" spans="1:12" s="407" customFormat="1" ht="15" x14ac:dyDescent="0.25">
      <c r="A926" s="414">
        <v>7</v>
      </c>
      <c r="B926" s="679" t="s">
        <v>961</v>
      </c>
      <c r="C926" s="329"/>
      <c r="D926" s="329"/>
      <c r="E926" s="329"/>
      <c r="F926" s="329"/>
      <c r="G926" s="329"/>
      <c r="H926" s="329"/>
      <c r="I926" s="329"/>
      <c r="J926" s="413"/>
      <c r="L926" s="329"/>
    </row>
    <row r="927" spans="1:12" s="407" customFormat="1" ht="15" x14ac:dyDescent="0.25">
      <c r="A927" s="415">
        <v>8</v>
      </c>
      <c r="B927" s="420" t="s">
        <v>1117</v>
      </c>
      <c r="C927" s="331"/>
      <c r="D927" s="331"/>
      <c r="E927" s="331"/>
      <c r="F927" s="331"/>
      <c r="G927" s="331"/>
      <c r="H927" s="331"/>
      <c r="I927" s="331"/>
      <c r="J927" s="333"/>
      <c r="L927" s="329"/>
    </row>
    <row r="929" spans="1:12" s="407" customFormat="1" ht="15" x14ac:dyDescent="0.25">
      <c r="A929" s="416" t="s">
        <v>14</v>
      </c>
      <c r="B929" s="416" t="s">
        <v>74</v>
      </c>
      <c r="C929" s="416" t="s">
        <v>15</v>
      </c>
      <c r="D929" s="417"/>
      <c r="E929" s="417"/>
      <c r="F929" s="417"/>
      <c r="G929" s="417"/>
      <c r="H929" s="417"/>
      <c r="I929" s="417"/>
      <c r="J929" s="417"/>
      <c r="K929" s="406"/>
      <c r="L929" s="406"/>
    </row>
    <row r="930" spans="1:12" s="407" customFormat="1" ht="15" x14ac:dyDescent="0.25">
      <c r="A930" s="408" t="s">
        <v>16</v>
      </c>
      <c r="B930" s="408">
        <v>2016</v>
      </c>
      <c r="C930" s="443">
        <v>2017</v>
      </c>
      <c r="D930" s="408">
        <v>2018</v>
      </c>
      <c r="E930" s="418">
        <v>2019</v>
      </c>
      <c r="F930" s="408">
        <v>2020</v>
      </c>
      <c r="G930" s="418">
        <v>2021</v>
      </c>
      <c r="H930" s="418">
        <v>2022</v>
      </c>
      <c r="I930" s="418">
        <v>2023</v>
      </c>
      <c r="J930" s="418">
        <v>2024</v>
      </c>
    </row>
    <row r="931" spans="1:12" s="407" customFormat="1" ht="15" x14ac:dyDescent="0.25">
      <c r="A931" s="408" t="s">
        <v>17</v>
      </c>
      <c r="B931" s="409">
        <v>10</v>
      </c>
      <c r="C931" s="409">
        <v>10</v>
      </c>
      <c r="D931" s="409">
        <v>10</v>
      </c>
      <c r="E931" s="409">
        <v>10</v>
      </c>
      <c r="F931" s="409">
        <v>10</v>
      </c>
      <c r="G931" s="409">
        <v>10</v>
      </c>
      <c r="H931" s="409">
        <v>10</v>
      </c>
      <c r="I931" s="409">
        <v>10</v>
      </c>
      <c r="J931" s="409">
        <v>10</v>
      </c>
    </row>
    <row r="932" spans="1:12" s="407" customFormat="1" ht="15" x14ac:dyDescent="0.25">
      <c r="A932" s="408" t="s">
        <v>18</v>
      </c>
      <c r="B932" s="409"/>
      <c r="C932" s="409">
        <f>C931+B935</f>
        <v>-32.61403</v>
      </c>
      <c r="D932" s="409">
        <f>D931+C935</f>
        <v>-76.433140000000009</v>
      </c>
      <c r="E932" s="409">
        <f>E931+D935</f>
        <v>-128.10641000000001</v>
      </c>
      <c r="F932" s="409">
        <f>F931+E935</f>
        <v>-187.27213</v>
      </c>
      <c r="G932" s="409">
        <f>G931+F935</f>
        <v>-226.22134</v>
      </c>
      <c r="H932" s="409">
        <f>H931+(1.25*G935)</f>
        <v>-295.64792499999999</v>
      </c>
      <c r="I932" s="409">
        <f>I931+(H935)</f>
        <v>-304.77292499999999</v>
      </c>
      <c r="J932" s="409">
        <f>J931+(I935)</f>
        <v>-363.07112499999999</v>
      </c>
    </row>
    <row r="933" spans="1:12" s="407" customFormat="1" ht="15" x14ac:dyDescent="0.25">
      <c r="A933" s="408" t="s">
        <v>19</v>
      </c>
      <c r="B933" s="408"/>
      <c r="C933" s="408">
        <v>1</v>
      </c>
      <c r="D933" s="408">
        <v>2</v>
      </c>
      <c r="E933" s="408">
        <v>3</v>
      </c>
      <c r="F933" s="408">
        <v>4</v>
      </c>
      <c r="G933" s="408">
        <v>5</v>
      </c>
      <c r="H933" s="408">
        <v>6</v>
      </c>
      <c r="I933" s="408">
        <v>7</v>
      </c>
      <c r="J933" s="408">
        <v>8</v>
      </c>
    </row>
    <row r="934" spans="1:12" s="407" customFormat="1" ht="15.75" x14ac:dyDescent="0.25">
      <c r="A934" s="408" t="s">
        <v>20</v>
      </c>
      <c r="B934" s="422">
        <v>52.61403</v>
      </c>
      <c r="C934" s="444">
        <v>53.819110000000002</v>
      </c>
      <c r="D934" s="422">
        <v>61.673270000000002</v>
      </c>
      <c r="E934" s="422">
        <v>69.165719999999993</v>
      </c>
      <c r="F934" s="422">
        <v>48.949210000000001</v>
      </c>
      <c r="G934" s="422">
        <v>18.297000000000001</v>
      </c>
      <c r="H934" s="422">
        <v>19.125</v>
      </c>
      <c r="I934" s="423">
        <v>68.298199999999994</v>
      </c>
      <c r="J934" s="423"/>
    </row>
    <row r="935" spans="1:12" s="407" customFormat="1" ht="15" x14ac:dyDescent="0.25">
      <c r="A935" s="408" t="s">
        <v>21</v>
      </c>
      <c r="B935" s="409">
        <f>B931-B934</f>
        <v>-42.61403</v>
      </c>
      <c r="C935" s="409">
        <f>C932-C934</f>
        <v>-86.433140000000009</v>
      </c>
      <c r="D935" s="409">
        <f t="shared" ref="D935:I935" si="36">D932-D934</f>
        <v>-138.10641000000001</v>
      </c>
      <c r="E935" s="409">
        <f t="shared" si="36"/>
        <v>-197.27213</v>
      </c>
      <c r="F935" s="409">
        <f t="shared" si="36"/>
        <v>-236.22134</v>
      </c>
      <c r="G935" s="409">
        <f t="shared" si="36"/>
        <v>-244.51833999999999</v>
      </c>
      <c r="H935" s="409">
        <f t="shared" si="36"/>
        <v>-314.77292499999999</v>
      </c>
      <c r="I935" s="409">
        <f t="shared" si="36"/>
        <v>-373.07112499999999</v>
      </c>
      <c r="J935" s="409"/>
    </row>
    <row r="936" spans="1:12" s="407" customFormat="1" ht="15" x14ac:dyDescent="0.25">
      <c r="A936" s="421" t="s">
        <v>22</v>
      </c>
      <c r="B936" s="421">
        <v>2017</v>
      </c>
      <c r="C936" s="421">
        <v>2018</v>
      </c>
      <c r="D936" s="421">
        <v>2019</v>
      </c>
      <c r="E936" s="421">
        <v>2020</v>
      </c>
      <c r="F936" s="421">
        <v>2021</v>
      </c>
      <c r="G936" s="421">
        <v>2022</v>
      </c>
      <c r="H936" s="421">
        <v>2023</v>
      </c>
      <c r="I936" s="421">
        <v>2024</v>
      </c>
      <c r="J936" s="421">
        <v>2025</v>
      </c>
    </row>
    <row r="937" spans="1:12" s="407" customFormat="1" ht="15" x14ac:dyDescent="0.25">
      <c r="A937" s="410">
        <v>1</v>
      </c>
      <c r="B937" s="419" t="s">
        <v>953</v>
      </c>
      <c r="C937" s="411"/>
      <c r="D937" s="411"/>
      <c r="E937" s="411"/>
      <c r="F937" s="411"/>
      <c r="G937" s="411"/>
      <c r="H937" s="411"/>
      <c r="I937" s="411"/>
      <c r="J937" s="412"/>
      <c r="L937" s="329"/>
    </row>
    <row r="938" spans="1:12" s="407" customFormat="1" ht="15" x14ac:dyDescent="0.25">
      <c r="A938" s="414">
        <v>2</v>
      </c>
      <c r="B938" s="679" t="s">
        <v>954</v>
      </c>
      <c r="C938" s="329"/>
      <c r="D938" s="329"/>
      <c r="E938" s="329"/>
      <c r="F938" s="329"/>
      <c r="G938" s="329"/>
      <c r="H938" s="329"/>
      <c r="I938" s="329"/>
      <c r="J938" s="413"/>
      <c r="L938" s="329"/>
    </row>
    <row r="939" spans="1:12" s="407" customFormat="1" ht="15" x14ac:dyDescent="0.25">
      <c r="A939" s="414">
        <v>3</v>
      </c>
      <c r="B939" s="679" t="s">
        <v>955</v>
      </c>
      <c r="C939" s="329"/>
      <c r="D939" s="329"/>
      <c r="E939" s="329"/>
      <c r="F939" s="329"/>
      <c r="G939" s="329"/>
      <c r="H939" s="329"/>
      <c r="I939" s="329"/>
      <c r="J939" s="413"/>
      <c r="L939" s="329"/>
    </row>
    <row r="940" spans="1:12" s="407" customFormat="1" ht="15" x14ac:dyDescent="0.25">
      <c r="A940" s="414">
        <v>4</v>
      </c>
      <c r="B940" s="679" t="s">
        <v>956</v>
      </c>
      <c r="C940" s="329"/>
      <c r="D940" s="329"/>
      <c r="E940" s="329"/>
      <c r="F940" s="329"/>
      <c r="G940" s="329"/>
      <c r="H940" s="329"/>
      <c r="I940" s="329"/>
      <c r="J940" s="413"/>
      <c r="L940" s="329"/>
    </row>
    <row r="941" spans="1:12" s="407" customFormat="1" ht="15" x14ac:dyDescent="0.25">
      <c r="A941" s="414">
        <v>5</v>
      </c>
      <c r="B941" s="679" t="s">
        <v>957</v>
      </c>
      <c r="C941" s="329"/>
      <c r="D941" s="329"/>
      <c r="E941" s="329"/>
      <c r="F941" s="329"/>
      <c r="G941" s="329"/>
      <c r="H941" s="329"/>
      <c r="I941" s="329"/>
      <c r="J941" s="413"/>
      <c r="L941" s="329"/>
    </row>
    <row r="942" spans="1:12" s="407" customFormat="1" ht="15" x14ac:dyDescent="0.25">
      <c r="A942" s="414">
        <v>6</v>
      </c>
      <c r="B942" s="679" t="s">
        <v>958</v>
      </c>
      <c r="C942" s="329"/>
      <c r="D942" s="329"/>
      <c r="E942" s="329"/>
      <c r="F942" s="329"/>
      <c r="G942" s="329"/>
      <c r="H942" s="329"/>
      <c r="I942" s="329"/>
      <c r="J942" s="413"/>
      <c r="L942" s="329"/>
    </row>
    <row r="943" spans="1:12" s="407" customFormat="1" ht="15" x14ac:dyDescent="0.25">
      <c r="A943" s="414">
        <v>7</v>
      </c>
      <c r="B943" s="679" t="s">
        <v>961</v>
      </c>
      <c r="C943" s="329"/>
      <c r="D943" s="329"/>
      <c r="E943" s="329"/>
      <c r="F943" s="329"/>
      <c r="G943" s="329"/>
      <c r="H943" s="329"/>
      <c r="I943" s="329"/>
      <c r="J943" s="413"/>
      <c r="L943" s="329"/>
    </row>
    <row r="944" spans="1:12" s="407" customFormat="1" ht="15" x14ac:dyDescent="0.25">
      <c r="A944" s="415">
        <v>8</v>
      </c>
      <c r="B944" s="420" t="s">
        <v>1117</v>
      </c>
      <c r="C944" s="331"/>
      <c r="D944" s="331"/>
      <c r="E944" s="331"/>
      <c r="F944" s="331"/>
      <c r="G944" s="331"/>
      <c r="H944" s="331"/>
      <c r="I944" s="331"/>
      <c r="J944" s="333"/>
      <c r="L944" s="329"/>
    </row>
    <row r="946" spans="1:12" s="407" customFormat="1" ht="15" x14ac:dyDescent="0.25">
      <c r="A946" s="416" t="s">
        <v>14</v>
      </c>
      <c r="B946" s="416" t="s">
        <v>79</v>
      </c>
      <c r="C946" s="416" t="s">
        <v>15</v>
      </c>
      <c r="D946" s="417"/>
      <c r="E946" s="417"/>
      <c r="F946" s="417"/>
      <c r="G946" s="417"/>
      <c r="H946" s="417"/>
      <c r="I946" s="417"/>
      <c r="J946" s="417"/>
      <c r="K946" s="406"/>
      <c r="L946" s="406"/>
    </row>
    <row r="947" spans="1:12" s="407" customFormat="1" ht="15" x14ac:dyDescent="0.25">
      <c r="A947" s="408" t="s">
        <v>16</v>
      </c>
      <c r="B947" s="408">
        <v>2016</v>
      </c>
      <c r="C947" s="443">
        <v>2017</v>
      </c>
      <c r="D947" s="408">
        <v>2018</v>
      </c>
      <c r="E947" s="418">
        <v>2019</v>
      </c>
      <c r="F947" s="408">
        <v>2020</v>
      </c>
      <c r="G947" s="418">
        <v>2021</v>
      </c>
      <c r="H947" s="418">
        <v>2022</v>
      </c>
      <c r="I947" s="418">
        <v>2023</v>
      </c>
      <c r="J947" s="418">
        <v>2024</v>
      </c>
    </row>
    <row r="948" spans="1:12" s="407" customFormat="1" ht="15" x14ac:dyDescent="0.25">
      <c r="A948" s="408" t="s">
        <v>17</v>
      </c>
      <c r="B948" s="409">
        <v>2</v>
      </c>
      <c r="C948" s="409">
        <v>2</v>
      </c>
      <c r="D948" s="409">
        <v>2</v>
      </c>
      <c r="E948" s="409">
        <v>2</v>
      </c>
      <c r="F948" s="409">
        <v>2</v>
      </c>
      <c r="G948" s="409">
        <v>2</v>
      </c>
      <c r="H948" s="409">
        <v>2</v>
      </c>
      <c r="I948" s="409">
        <v>2</v>
      </c>
      <c r="J948" s="409">
        <v>2</v>
      </c>
    </row>
    <row r="949" spans="1:12" s="407" customFormat="1" ht="15" x14ac:dyDescent="0.25">
      <c r="A949" s="408" t="s">
        <v>18</v>
      </c>
      <c r="B949" s="409"/>
      <c r="C949" s="409">
        <f>C948+B952</f>
        <v>-11.25929</v>
      </c>
      <c r="D949" s="409">
        <f>D948+C952</f>
        <v>-18.250970000000002</v>
      </c>
      <c r="E949" s="409">
        <f>E948+D952</f>
        <v>-26.929000000000002</v>
      </c>
      <c r="F949" s="409">
        <f>F948+E952</f>
        <v>-43.615989999999996</v>
      </c>
      <c r="G949" s="409">
        <f>G948+F952</f>
        <v>-55.136309999999995</v>
      </c>
      <c r="H949" s="409">
        <f>H948+(1.25*G952)</f>
        <v>-68.606637499999991</v>
      </c>
      <c r="I949" s="409">
        <f>I948+(H952)</f>
        <v>-71.317637499999989</v>
      </c>
      <c r="J949" s="409">
        <f>J948+(I952)</f>
        <v>-81.973067499999985</v>
      </c>
    </row>
    <row r="950" spans="1:12" s="407" customFormat="1" ht="15" x14ac:dyDescent="0.25">
      <c r="A950" s="408" t="s">
        <v>19</v>
      </c>
      <c r="B950" s="408"/>
      <c r="C950" s="408">
        <v>1</v>
      </c>
      <c r="D950" s="408">
        <v>2</v>
      </c>
      <c r="E950" s="408">
        <v>3</v>
      </c>
      <c r="F950" s="408">
        <v>4</v>
      </c>
      <c r="G950" s="408">
        <v>5</v>
      </c>
      <c r="H950" s="408">
        <v>6</v>
      </c>
      <c r="I950" s="408">
        <v>7</v>
      </c>
      <c r="J950" s="408">
        <v>8</v>
      </c>
    </row>
    <row r="951" spans="1:12" s="407" customFormat="1" ht="15.75" x14ac:dyDescent="0.25">
      <c r="A951" s="408" t="s">
        <v>20</v>
      </c>
      <c r="B951" s="422">
        <v>15.25929</v>
      </c>
      <c r="C951" s="444">
        <v>8.9916800000000006</v>
      </c>
      <c r="D951" s="422">
        <v>10.67803</v>
      </c>
      <c r="E951" s="422">
        <v>18.686989999999998</v>
      </c>
      <c r="F951" s="422">
        <v>13.52032</v>
      </c>
      <c r="G951" s="422">
        <v>1.349</v>
      </c>
      <c r="H951" s="422">
        <v>4.7110000000000003</v>
      </c>
      <c r="I951" s="423">
        <v>12.655430000000001</v>
      </c>
      <c r="J951" s="423"/>
    </row>
    <row r="952" spans="1:12" s="407" customFormat="1" ht="15" x14ac:dyDescent="0.25">
      <c r="A952" s="408" t="s">
        <v>21</v>
      </c>
      <c r="B952" s="409">
        <f>B948-B951</f>
        <v>-13.25929</v>
      </c>
      <c r="C952" s="409">
        <f>C949-C951</f>
        <v>-20.250970000000002</v>
      </c>
      <c r="D952" s="409">
        <f t="shared" ref="D952:I952" si="37">D949-D951</f>
        <v>-28.929000000000002</v>
      </c>
      <c r="E952" s="409">
        <f t="shared" si="37"/>
        <v>-45.615989999999996</v>
      </c>
      <c r="F952" s="409">
        <f t="shared" si="37"/>
        <v>-57.136309999999995</v>
      </c>
      <c r="G952" s="409">
        <f t="shared" si="37"/>
        <v>-56.485309999999991</v>
      </c>
      <c r="H952" s="409">
        <f t="shared" si="37"/>
        <v>-73.317637499999989</v>
      </c>
      <c r="I952" s="409">
        <f t="shared" si="37"/>
        <v>-83.973067499999985</v>
      </c>
      <c r="J952" s="409"/>
    </row>
    <row r="953" spans="1:12" s="407" customFormat="1" ht="15" x14ac:dyDescent="0.25">
      <c r="A953" s="421" t="s">
        <v>22</v>
      </c>
      <c r="B953" s="421">
        <v>2017</v>
      </c>
      <c r="C953" s="421">
        <v>2018</v>
      </c>
      <c r="D953" s="421">
        <v>2019</v>
      </c>
      <c r="E953" s="421">
        <v>2020</v>
      </c>
      <c r="F953" s="421">
        <v>2021</v>
      </c>
      <c r="G953" s="421">
        <v>2022</v>
      </c>
      <c r="H953" s="421">
        <v>2023</v>
      </c>
      <c r="I953" s="421">
        <v>2024</v>
      </c>
      <c r="J953" s="421">
        <v>2025</v>
      </c>
    </row>
    <row r="954" spans="1:12" s="407" customFormat="1" ht="15" x14ac:dyDescent="0.25">
      <c r="A954" s="410">
        <v>1</v>
      </c>
      <c r="B954" s="419" t="s">
        <v>953</v>
      </c>
      <c r="C954" s="411"/>
      <c r="D954" s="411"/>
      <c r="E954" s="411"/>
      <c r="F954" s="411"/>
      <c r="G954" s="411"/>
      <c r="H954" s="411"/>
      <c r="I954" s="411"/>
      <c r="J954" s="412"/>
      <c r="L954" s="329"/>
    </row>
    <row r="955" spans="1:12" s="407" customFormat="1" ht="15" x14ac:dyDescent="0.25">
      <c r="A955" s="414">
        <v>2</v>
      </c>
      <c r="B955" s="679" t="s">
        <v>954</v>
      </c>
      <c r="C955" s="329"/>
      <c r="D955" s="329"/>
      <c r="E955" s="329"/>
      <c r="F955" s="329"/>
      <c r="G955" s="329"/>
      <c r="H955" s="329"/>
      <c r="I955" s="329"/>
      <c r="J955" s="413"/>
      <c r="L955" s="329"/>
    </row>
    <row r="956" spans="1:12" s="407" customFormat="1" ht="15" x14ac:dyDescent="0.25">
      <c r="A956" s="414">
        <v>3</v>
      </c>
      <c r="B956" s="679" t="s">
        <v>955</v>
      </c>
      <c r="C956" s="329"/>
      <c r="D956" s="329"/>
      <c r="E956" s="329"/>
      <c r="F956" s="329"/>
      <c r="G956" s="329"/>
      <c r="H956" s="329"/>
      <c r="I956" s="329"/>
      <c r="J956" s="413"/>
      <c r="L956" s="329"/>
    </row>
    <row r="957" spans="1:12" s="407" customFormat="1" ht="15" x14ac:dyDescent="0.25">
      <c r="A957" s="414">
        <v>4</v>
      </c>
      <c r="B957" s="679" t="s">
        <v>956</v>
      </c>
      <c r="C957" s="329"/>
      <c r="D957" s="329"/>
      <c r="E957" s="329"/>
      <c r="F957" s="329"/>
      <c r="G957" s="329"/>
      <c r="H957" s="329"/>
      <c r="I957" s="329"/>
      <c r="J957" s="413"/>
      <c r="L957" s="329"/>
    </row>
    <row r="958" spans="1:12" s="407" customFormat="1" ht="15" x14ac:dyDescent="0.25">
      <c r="A958" s="414">
        <v>5</v>
      </c>
      <c r="B958" s="679" t="s">
        <v>957</v>
      </c>
      <c r="C958" s="329"/>
      <c r="D958" s="329"/>
      <c r="E958" s="329"/>
      <c r="F958" s="329"/>
      <c r="G958" s="329"/>
      <c r="H958" s="329"/>
      <c r="I958" s="329"/>
      <c r="J958" s="413"/>
      <c r="L958" s="329"/>
    </row>
    <row r="959" spans="1:12" s="407" customFormat="1" ht="15" x14ac:dyDescent="0.25">
      <c r="A959" s="414">
        <v>6</v>
      </c>
      <c r="B959" s="679" t="s">
        <v>958</v>
      </c>
      <c r="C959" s="329"/>
      <c r="D959" s="329"/>
      <c r="E959" s="329"/>
      <c r="F959" s="329"/>
      <c r="G959" s="329"/>
      <c r="H959" s="329"/>
      <c r="I959" s="329"/>
      <c r="J959" s="413"/>
      <c r="L959" s="329"/>
    </row>
    <row r="960" spans="1:12" s="407" customFormat="1" ht="15" x14ac:dyDescent="0.25">
      <c r="A960" s="414">
        <v>7</v>
      </c>
      <c r="B960" s="679" t="s">
        <v>959</v>
      </c>
      <c r="C960" s="329"/>
      <c r="D960" s="329"/>
      <c r="E960" s="329"/>
      <c r="F960" s="329"/>
      <c r="G960" s="329"/>
      <c r="H960" s="329"/>
      <c r="I960" s="329"/>
      <c r="J960" s="413"/>
      <c r="L960" s="329"/>
    </row>
    <row r="961" spans="1:16" s="407" customFormat="1" ht="15" x14ac:dyDescent="0.25">
      <c r="A961" s="415">
        <v>8</v>
      </c>
      <c r="B961" s="420" t="s">
        <v>1117</v>
      </c>
      <c r="C961" s="331"/>
      <c r="D961" s="331"/>
      <c r="E961" s="331"/>
      <c r="F961" s="331"/>
      <c r="G961" s="331"/>
      <c r="H961" s="331"/>
      <c r="I961" s="331"/>
      <c r="J961" s="333"/>
      <c r="L961" s="329"/>
    </row>
    <row r="963" spans="1:16" x14ac:dyDescent="0.2">
      <c r="A963" s="133"/>
      <c r="C963" s="441"/>
    </row>
    <row r="964" spans="1:16" x14ac:dyDescent="0.2">
      <c r="A964" s="316" t="s">
        <v>12</v>
      </c>
      <c r="B964" s="647" t="s">
        <v>173</v>
      </c>
      <c r="C964" s="649" t="s">
        <v>1059</v>
      </c>
      <c r="D964" s="165"/>
      <c r="E964" s="165"/>
      <c r="F964" s="165"/>
      <c r="G964" s="165"/>
      <c r="H964" s="165"/>
      <c r="I964" s="165"/>
      <c r="J964" s="165"/>
      <c r="K964" s="165"/>
      <c r="L964" s="165"/>
    </row>
    <row r="965" spans="1:16" x14ac:dyDescent="0.2">
      <c r="A965" s="356" t="s">
        <v>14</v>
      </c>
      <c r="B965" s="357" t="s">
        <v>625</v>
      </c>
      <c r="C965" s="172" t="s">
        <v>15</v>
      </c>
      <c r="D965" s="165"/>
      <c r="E965" s="165"/>
      <c r="F965" s="165"/>
      <c r="G965" s="165"/>
      <c r="H965" s="165"/>
      <c r="I965" s="165"/>
      <c r="J965" s="165"/>
      <c r="K965" s="165"/>
      <c r="L965" s="165"/>
    </row>
    <row r="966" spans="1:16" s="294" customFormat="1" ht="15" x14ac:dyDescent="0.25">
      <c r="A966" s="358" t="s">
        <v>16</v>
      </c>
      <c r="B966" s="359">
        <v>2009</v>
      </c>
      <c r="C966" s="174">
        <v>2010</v>
      </c>
      <c r="D966" s="174">
        <v>2011</v>
      </c>
      <c r="E966" s="174">
        <v>2012</v>
      </c>
      <c r="F966" s="174">
        <v>2013</v>
      </c>
      <c r="G966" s="174">
        <v>2014</v>
      </c>
      <c r="H966" s="174">
        <v>2015</v>
      </c>
      <c r="I966" s="174">
        <v>2016</v>
      </c>
      <c r="J966" s="174">
        <v>2017</v>
      </c>
      <c r="K966" s="174">
        <v>2018</v>
      </c>
      <c r="L966" s="174">
        <v>2019</v>
      </c>
      <c r="M966" s="174">
        <v>2020</v>
      </c>
      <c r="N966" s="174">
        <v>2021</v>
      </c>
      <c r="O966" s="174">
        <v>2022</v>
      </c>
      <c r="P966" s="594">
        <v>2023</v>
      </c>
    </row>
    <row r="967" spans="1:16" s="294" customFormat="1" ht="15" x14ac:dyDescent="0.25">
      <c r="A967" s="173" t="s">
        <v>17</v>
      </c>
      <c r="B967" s="360"/>
      <c r="C967" s="360"/>
      <c r="D967" s="360"/>
      <c r="E967" s="360"/>
      <c r="F967" s="360"/>
      <c r="G967" s="360"/>
      <c r="H967" s="360"/>
      <c r="I967" s="360"/>
      <c r="J967" s="360"/>
      <c r="K967" s="360"/>
      <c r="L967" s="360"/>
      <c r="M967" s="360"/>
      <c r="N967" s="360"/>
      <c r="O967" s="360"/>
      <c r="P967" s="595"/>
    </row>
    <row r="968" spans="1:16" s="294" customFormat="1" ht="15" x14ac:dyDescent="0.25">
      <c r="A968" s="173" t="s">
        <v>18</v>
      </c>
      <c r="B968" s="360">
        <v>525.11158760000001</v>
      </c>
      <c r="C968" s="360">
        <v>516.79334119999999</v>
      </c>
      <c r="D968" s="360">
        <v>478.68400000000003</v>
      </c>
      <c r="E968" s="360">
        <v>638.87599999999998</v>
      </c>
      <c r="F968" s="360">
        <v>573.67999999999995</v>
      </c>
      <c r="G968" s="360">
        <v>503.80800000000005</v>
      </c>
      <c r="H968" s="360">
        <v>407.19200000000001</v>
      </c>
      <c r="I968" s="360">
        <v>449.52</v>
      </c>
      <c r="J968" s="360">
        <v>394.88799999999998</v>
      </c>
      <c r="K968" s="360">
        <v>393.98364000000004</v>
      </c>
      <c r="L968" s="360">
        <v>397.32737956000005</v>
      </c>
      <c r="M968" s="360">
        <v>371.77199999999999</v>
      </c>
      <c r="N968" s="360">
        <v>505.18</v>
      </c>
      <c r="O968" s="360">
        <v>556.85249999999996</v>
      </c>
      <c r="P968" s="595">
        <v>601.17999999999995</v>
      </c>
    </row>
    <row r="969" spans="1:16" s="294" customFormat="1" ht="15" x14ac:dyDescent="0.25">
      <c r="A969" s="173" t="s">
        <v>19</v>
      </c>
      <c r="B969" s="360"/>
      <c r="C969" s="360"/>
      <c r="D969" s="360"/>
      <c r="E969" s="360"/>
      <c r="F969" s="360"/>
      <c r="G969" s="360"/>
      <c r="H969" s="360"/>
      <c r="I969" s="360"/>
      <c r="J969" s="360"/>
      <c r="K969" s="360"/>
      <c r="L969" s="360"/>
      <c r="M969" s="360"/>
      <c r="N969" s="360"/>
      <c r="O969" s="360"/>
      <c r="P969" s="595"/>
    </row>
    <row r="970" spans="1:16" s="294" customFormat="1" ht="15" x14ac:dyDescent="0.25">
      <c r="A970" s="173" t="s">
        <v>20</v>
      </c>
      <c r="B970" s="360">
        <v>419.55900000000003</v>
      </c>
      <c r="C970" s="360">
        <v>483.41500000000002</v>
      </c>
      <c r="D970" s="360">
        <v>285.3</v>
      </c>
      <c r="E970" s="360">
        <v>1822.1</v>
      </c>
      <c r="F970" s="360">
        <v>266.39999999999998</v>
      </c>
      <c r="G970" s="360">
        <v>305.2</v>
      </c>
      <c r="H970" s="360">
        <v>329.8</v>
      </c>
      <c r="I970" s="360">
        <v>254.9</v>
      </c>
      <c r="J970" s="360">
        <v>335</v>
      </c>
      <c r="K970" s="360">
        <v>210.6</v>
      </c>
      <c r="L970" s="360">
        <v>319.27300000000002</v>
      </c>
      <c r="M970" s="360">
        <v>282.8</v>
      </c>
      <c r="N970" s="360">
        <v>223.4</v>
      </c>
      <c r="O970" s="360">
        <v>241.6</v>
      </c>
      <c r="P970" s="595">
        <v>219.1</v>
      </c>
    </row>
    <row r="971" spans="1:16" s="294" customFormat="1" ht="15" x14ac:dyDescent="0.25">
      <c r="A971" s="176" t="s">
        <v>21</v>
      </c>
      <c r="B971" s="361">
        <v>105.55258759999998</v>
      </c>
      <c r="C971" s="361">
        <v>33.378341199999966</v>
      </c>
      <c r="D971" s="361">
        <v>193.38400000000001</v>
      </c>
      <c r="E971" s="362">
        <v>-1183.2239999999999</v>
      </c>
      <c r="F971" s="361">
        <v>307.28000000000009</v>
      </c>
      <c r="G971" s="361">
        <v>198.60800000000006</v>
      </c>
      <c r="H971" s="361">
        <v>77.391999999999996</v>
      </c>
      <c r="I971" s="361">
        <v>194.61999999999998</v>
      </c>
      <c r="J971" s="361">
        <v>59.888000000000034</v>
      </c>
      <c r="K971" s="361">
        <v>183.38364000000004</v>
      </c>
      <c r="L971" s="361">
        <v>78.054379560000029</v>
      </c>
      <c r="M971" s="361">
        <v>88.971999999999994</v>
      </c>
      <c r="N971" s="361">
        <f>N968-N970</f>
        <v>281.77999999999997</v>
      </c>
      <c r="O971" s="361">
        <f>O968-O970</f>
        <v>315.25249999999994</v>
      </c>
      <c r="P971" s="596">
        <v>382.07999999999993</v>
      </c>
    </row>
    <row r="972" spans="1:16" s="294" customFormat="1" ht="15" x14ac:dyDescent="0.25">
      <c r="A972" s="173" t="s">
        <v>22</v>
      </c>
      <c r="B972" s="363"/>
      <c r="C972" s="363"/>
      <c r="D972" s="363"/>
      <c r="E972" s="363"/>
      <c r="F972" s="363"/>
      <c r="G972" s="363"/>
      <c r="H972" s="363"/>
      <c r="I972" s="363"/>
      <c r="J972" s="363"/>
      <c r="K972" s="363"/>
      <c r="L972" s="363"/>
      <c r="M972" s="363"/>
      <c r="N972" s="363"/>
      <c r="O972" s="363"/>
      <c r="P972" s="597"/>
    </row>
    <row r="973" spans="1:16" s="294" customFormat="1" ht="15" x14ac:dyDescent="0.25">
      <c r="A973" s="176" t="s">
        <v>23</v>
      </c>
      <c r="B973" s="264"/>
      <c r="C973" s="264"/>
      <c r="D973" s="264"/>
      <c r="E973" s="264"/>
      <c r="F973" s="264"/>
      <c r="G973" s="264"/>
      <c r="H973" s="264"/>
      <c r="I973" s="264"/>
      <c r="J973" s="264"/>
      <c r="K973" s="264"/>
      <c r="L973" s="264"/>
      <c r="M973" s="264"/>
      <c r="N973" s="264"/>
      <c r="O973" s="264"/>
      <c r="P973" s="601"/>
    </row>
    <row r="974" spans="1:16" s="294" customFormat="1" ht="15" x14ac:dyDescent="0.25">
      <c r="A974" s="178" t="s">
        <v>174</v>
      </c>
      <c r="B974" s="165"/>
      <c r="C974" s="165"/>
      <c r="D974" s="165"/>
      <c r="E974" s="165"/>
      <c r="F974" s="165"/>
      <c r="G974" s="165"/>
      <c r="H974" s="165"/>
      <c r="I974" s="165"/>
      <c r="J974" s="165"/>
      <c r="K974" s="165"/>
      <c r="L974" s="165"/>
      <c r="M974" s="165"/>
      <c r="N974" s="165"/>
      <c r="O974" s="165"/>
      <c r="P974" s="602"/>
    </row>
    <row r="975" spans="1:16" s="294" customFormat="1" ht="15" x14ac:dyDescent="0.25">
      <c r="A975" s="10" t="s">
        <v>220</v>
      </c>
      <c r="B975" s="165"/>
      <c r="C975" s="165"/>
      <c r="D975" s="165"/>
      <c r="E975" s="165"/>
      <c r="F975" s="165"/>
      <c r="G975" s="165"/>
      <c r="H975" s="165"/>
      <c r="I975" s="165"/>
      <c r="J975" s="165"/>
      <c r="K975" s="165"/>
      <c r="L975" s="165"/>
      <c r="M975" s="165"/>
      <c r="N975" s="165"/>
      <c r="O975" s="165"/>
      <c r="P975" s="602"/>
    </row>
    <row r="976" spans="1:16" s="294" customFormat="1" ht="15" x14ac:dyDescent="0.25">
      <c r="A976" s="178" t="s">
        <v>270</v>
      </c>
      <c r="B976" s="165"/>
      <c r="C976" s="165"/>
      <c r="D976" s="165"/>
      <c r="E976" s="165"/>
      <c r="F976" s="165"/>
      <c r="G976" s="165"/>
      <c r="H976" s="165"/>
      <c r="I976" s="165"/>
      <c r="J976" s="165"/>
      <c r="K976" s="165"/>
      <c r="L976" s="165"/>
      <c r="M976" s="165"/>
      <c r="N976" s="165"/>
      <c r="O976" s="165"/>
      <c r="P976" s="602"/>
    </row>
    <row r="977" spans="1:18" s="294" customFormat="1" ht="15" x14ac:dyDescent="0.25">
      <c r="A977" s="178" t="s">
        <v>460</v>
      </c>
      <c r="B977" s="165"/>
      <c r="C977" s="165"/>
      <c r="D977" s="165"/>
      <c r="E977" s="165"/>
      <c r="F977" s="165"/>
      <c r="G977" s="165"/>
      <c r="H977" s="165"/>
      <c r="I977" s="165"/>
      <c r="J977" s="165"/>
      <c r="K977" s="165"/>
      <c r="L977" s="165"/>
      <c r="M977" s="165"/>
      <c r="N977" s="165"/>
      <c r="O977" s="165"/>
      <c r="P977" s="602"/>
    </row>
    <row r="978" spans="1:18" s="294" customFormat="1" ht="15" x14ac:dyDescent="0.25">
      <c r="A978" s="178" t="s">
        <v>711</v>
      </c>
      <c r="B978" s="165"/>
      <c r="C978" s="165"/>
      <c r="D978" s="165"/>
      <c r="E978" s="165"/>
      <c r="F978" s="165"/>
      <c r="G978" s="165"/>
      <c r="H978" s="165"/>
      <c r="I978" s="165"/>
      <c r="J978" s="165"/>
      <c r="K978" s="165"/>
      <c r="L978" s="165"/>
      <c r="M978" s="165"/>
      <c r="N978" s="165"/>
      <c r="O978" s="165"/>
      <c r="P978" s="602"/>
    </row>
    <row r="979" spans="1:18" s="294" customFormat="1" ht="15" x14ac:dyDescent="0.25">
      <c r="A979" s="178" t="s">
        <v>813</v>
      </c>
      <c r="B979" s="165"/>
      <c r="C979" s="165"/>
      <c r="D979" s="165"/>
      <c r="E979" s="165"/>
      <c r="F979" s="165"/>
      <c r="G979" s="165"/>
      <c r="H979" s="165"/>
      <c r="I979" s="165"/>
      <c r="J979" s="165"/>
      <c r="K979" s="165"/>
      <c r="L979" s="165"/>
      <c r="M979" s="165"/>
      <c r="N979" s="165"/>
      <c r="O979" s="165"/>
      <c r="P979" s="602"/>
    </row>
    <row r="980" spans="1:18" s="294" customFormat="1" ht="15" x14ac:dyDescent="0.25">
      <c r="A980" s="598" t="s">
        <v>1052</v>
      </c>
      <c r="B980" s="165"/>
      <c r="C980" s="165"/>
      <c r="D980" s="165"/>
      <c r="E980" s="165"/>
      <c r="F980" s="165"/>
      <c r="G980" s="165"/>
      <c r="H980" s="165"/>
      <c r="I980" s="165"/>
      <c r="J980" s="165"/>
      <c r="K980" s="165"/>
      <c r="L980" s="165"/>
      <c r="M980" s="165"/>
      <c r="N980" s="165"/>
      <c r="O980" s="165"/>
      <c r="P980" s="602"/>
    </row>
    <row r="981" spans="1:18" s="294" customFormat="1" ht="15" x14ac:dyDescent="0.25">
      <c r="A981" s="178"/>
      <c r="B981" s="165"/>
      <c r="C981" s="165"/>
      <c r="D981" s="165"/>
      <c r="E981" s="165"/>
      <c r="F981" s="165" t="s">
        <v>175</v>
      </c>
      <c r="G981" s="165"/>
      <c r="H981" s="165"/>
      <c r="I981" s="165"/>
      <c r="J981" s="165"/>
      <c r="K981" s="165"/>
      <c r="L981" s="165"/>
      <c r="M981" s="165"/>
      <c r="N981" s="165"/>
      <c r="O981" s="165"/>
      <c r="P981" s="602"/>
    </row>
    <row r="982" spans="1:18" s="294" customFormat="1" ht="15" x14ac:dyDescent="0.25">
      <c r="A982" s="178"/>
      <c r="B982" s="364" t="s">
        <v>176</v>
      </c>
      <c r="C982" s="600">
        <v>1.6354139265717185E-2</v>
      </c>
      <c r="D982" s="11"/>
      <c r="E982" s="165"/>
      <c r="F982" s="365" t="s">
        <v>177</v>
      </c>
      <c r="G982" s="23">
        <v>2019</v>
      </c>
      <c r="H982" s="23">
        <v>2020</v>
      </c>
      <c r="I982" s="23">
        <v>2021</v>
      </c>
      <c r="J982" s="23">
        <v>2022</v>
      </c>
      <c r="K982" s="599">
        <v>2023</v>
      </c>
      <c r="L982" s="165"/>
      <c r="M982" s="165"/>
      <c r="N982" s="165"/>
      <c r="O982" s="165"/>
      <c r="P982" s="602"/>
    </row>
    <row r="983" spans="1:18" s="294" customFormat="1" ht="15" x14ac:dyDescent="0.25">
      <c r="A983" s="178"/>
      <c r="B983" s="165"/>
      <c r="C983" s="165"/>
      <c r="D983" s="165"/>
      <c r="E983" s="165"/>
      <c r="F983" s="365" t="s">
        <v>14</v>
      </c>
      <c r="G983" s="23" t="s">
        <v>66</v>
      </c>
      <c r="H983" s="23" t="s">
        <v>66</v>
      </c>
      <c r="I983" s="23" t="s">
        <v>66</v>
      </c>
      <c r="J983" s="23" t="s">
        <v>66</v>
      </c>
      <c r="K983" s="599" t="s">
        <v>66</v>
      </c>
      <c r="L983" s="165"/>
      <c r="M983" s="165"/>
      <c r="N983" s="165"/>
      <c r="O983" s="165"/>
      <c r="P983" s="602"/>
    </row>
    <row r="984" spans="1:18" s="294" customFormat="1" ht="15" x14ac:dyDescent="0.25">
      <c r="A984" s="178"/>
      <c r="B984" s="165"/>
      <c r="C984" s="165"/>
      <c r="D984" s="165"/>
      <c r="E984" s="165"/>
      <c r="F984" s="365" t="s">
        <v>178</v>
      </c>
      <c r="G984" s="650">
        <v>9933.1844890000011</v>
      </c>
      <c r="H984" s="650">
        <v>9294.2999999999993</v>
      </c>
      <c r="I984" s="650">
        <v>11226.4</v>
      </c>
      <c r="J984" s="650">
        <v>12374.5</v>
      </c>
      <c r="K984" s="651">
        <v>13359.6</v>
      </c>
      <c r="L984" s="165"/>
      <c r="M984" s="165"/>
      <c r="N984" s="165"/>
      <c r="O984" s="165"/>
      <c r="P984" s="602"/>
    </row>
    <row r="985" spans="1:18" s="294" customFormat="1" ht="15" x14ac:dyDescent="0.25">
      <c r="A985" s="358"/>
      <c r="B985" s="366"/>
      <c r="C985" s="366"/>
      <c r="D985" s="366"/>
      <c r="E985" s="366"/>
      <c r="F985" s="366"/>
      <c r="G985" s="366"/>
      <c r="H985" s="366"/>
      <c r="I985" s="366"/>
      <c r="J985" s="366"/>
      <c r="K985" s="366"/>
      <c r="L985" s="366"/>
      <c r="M985" s="366"/>
      <c r="N985" s="366"/>
      <c r="O985" s="366"/>
      <c r="P985" s="603"/>
    </row>
    <row r="986" spans="1:18" x14ac:dyDescent="0.2">
      <c r="A986" s="133"/>
      <c r="C986" s="441"/>
    </row>
    <row r="987" spans="1:18" x14ac:dyDescent="0.2">
      <c r="A987" s="171" t="s">
        <v>14</v>
      </c>
      <c r="B987" s="172" t="s">
        <v>639</v>
      </c>
      <c r="C987" s="172" t="s">
        <v>15</v>
      </c>
      <c r="D987" s="165"/>
      <c r="E987" s="165"/>
      <c r="F987" s="165"/>
      <c r="G987" s="165"/>
      <c r="H987" s="165"/>
      <c r="I987" s="165"/>
      <c r="J987" s="165"/>
      <c r="K987" s="165"/>
      <c r="L987" s="165"/>
      <c r="M987" s="165"/>
      <c r="N987" s="165"/>
      <c r="O987" s="165"/>
      <c r="P987" s="165"/>
      <c r="Q987" s="165"/>
      <c r="R987" s="165"/>
    </row>
    <row r="988" spans="1:18" s="368" customFormat="1" ht="14.25" x14ac:dyDescent="0.2">
      <c r="A988" s="358" t="s">
        <v>16</v>
      </c>
      <c r="B988" s="359">
        <v>2009</v>
      </c>
      <c r="C988" s="174">
        <v>2010</v>
      </c>
      <c r="D988" s="174">
        <v>2011</v>
      </c>
      <c r="E988" s="174">
        <v>2012</v>
      </c>
      <c r="F988" s="174">
        <v>2013</v>
      </c>
      <c r="G988" s="174">
        <v>2014</v>
      </c>
      <c r="H988" s="174">
        <v>2015</v>
      </c>
      <c r="I988" s="174">
        <v>2016</v>
      </c>
      <c r="J988" s="174">
        <v>2017</v>
      </c>
      <c r="K988" s="174">
        <v>2018</v>
      </c>
      <c r="L988" s="174">
        <v>2019</v>
      </c>
      <c r="M988" s="174">
        <v>2020</v>
      </c>
      <c r="N988" s="174">
        <v>2021</v>
      </c>
      <c r="O988" s="174">
        <v>2022</v>
      </c>
      <c r="P988" s="174">
        <v>2023</v>
      </c>
      <c r="Q988" s="174">
        <v>2024</v>
      </c>
      <c r="R988" s="594">
        <v>2025</v>
      </c>
    </row>
    <row r="989" spans="1:18" s="368" customFormat="1" ht="14.25" x14ac:dyDescent="0.2">
      <c r="A989" s="173" t="s">
        <v>17</v>
      </c>
      <c r="B989" s="24"/>
      <c r="C989" s="24"/>
      <c r="D989" s="24"/>
      <c r="E989" s="24"/>
      <c r="F989" s="24"/>
      <c r="G989" s="24">
        <v>1355</v>
      </c>
      <c r="H989" s="24">
        <v>1355</v>
      </c>
      <c r="I989" s="24">
        <v>1355</v>
      </c>
      <c r="J989" s="24">
        <v>1355</v>
      </c>
      <c r="K989" s="24">
        <v>1355</v>
      </c>
      <c r="L989" s="24">
        <v>1355</v>
      </c>
      <c r="M989" s="24">
        <v>1355</v>
      </c>
      <c r="N989" s="24">
        <v>1355</v>
      </c>
      <c r="O989" s="24">
        <v>1355</v>
      </c>
      <c r="P989" s="24">
        <v>1630</v>
      </c>
      <c r="Q989" s="24">
        <v>1630</v>
      </c>
      <c r="R989" s="607">
        <v>1630</v>
      </c>
    </row>
    <row r="990" spans="1:18" s="368" customFormat="1" ht="14.25" x14ac:dyDescent="0.2">
      <c r="A990" s="173" t="s">
        <v>18</v>
      </c>
      <c r="B990" s="24">
        <v>237.31834029985683</v>
      </c>
      <c r="C990" s="24">
        <v>315.5295404143024</v>
      </c>
      <c r="D990" s="24">
        <v>275.05599999999998</v>
      </c>
      <c r="E990" s="24">
        <v>415.68</v>
      </c>
      <c r="F990" s="24">
        <v>341.67599999999999</v>
      </c>
      <c r="G990" s="24">
        <v>1725</v>
      </c>
      <c r="H990" s="24">
        <v>1555</v>
      </c>
      <c r="I990" s="24">
        <v>1693.75</v>
      </c>
      <c r="J990" s="24">
        <v>1717.1</v>
      </c>
      <c r="K990" s="24">
        <v>1893.75</v>
      </c>
      <c r="L990" s="24">
        <v>1936.3</v>
      </c>
      <c r="M990" s="24">
        <v>2693.75</v>
      </c>
      <c r="N990" s="24">
        <f>N989+0.25*L989</f>
        <v>1693.75</v>
      </c>
      <c r="O990" s="24">
        <v>1693.75</v>
      </c>
      <c r="P990" s="24">
        <f>P989+N993+300</f>
        <v>2136.15</v>
      </c>
      <c r="Q990" s="607">
        <f>Q989+O993+100+100+100</f>
        <v>1882.55</v>
      </c>
      <c r="R990" s="607">
        <f>R989+P993+100+100+100+148.15</f>
        <v>2337.5000000000005</v>
      </c>
    </row>
    <row r="991" spans="1:18" s="368" customFormat="1" ht="14.25" x14ac:dyDescent="0.2">
      <c r="A991" s="173" t="s">
        <v>19</v>
      </c>
      <c r="B991" s="24"/>
      <c r="C991" s="24"/>
      <c r="D991" s="24"/>
      <c r="E991" s="24"/>
      <c r="F991" s="24"/>
      <c r="G991" s="24"/>
      <c r="H991" s="24"/>
      <c r="I991" s="24"/>
      <c r="J991" s="24"/>
      <c r="K991" s="24"/>
      <c r="L991" s="24"/>
      <c r="M991" s="24"/>
      <c r="N991" s="24"/>
      <c r="O991" s="24"/>
      <c r="P991" s="24"/>
      <c r="Q991" s="24"/>
      <c r="R991" s="607"/>
    </row>
    <row r="992" spans="1:18" s="368" customFormat="1" ht="14.25" x14ac:dyDescent="0.2">
      <c r="A992" s="173" t="s">
        <v>20</v>
      </c>
      <c r="B992" s="24">
        <v>958.10900000000004</v>
      </c>
      <c r="C992" s="24">
        <v>1217.827</v>
      </c>
      <c r="D992" s="24">
        <v>1776.4</v>
      </c>
      <c r="E992" s="24">
        <v>3550.6</v>
      </c>
      <c r="F992" s="24">
        <v>1713.8</v>
      </c>
      <c r="G992" s="24">
        <v>1198.9000000000001</v>
      </c>
      <c r="H992" s="24">
        <v>1392.9</v>
      </c>
      <c r="I992" s="24">
        <v>1212.8</v>
      </c>
      <c r="J992" s="24">
        <v>2135.8000000000002</v>
      </c>
      <c r="K992" s="24">
        <v>1654.5</v>
      </c>
      <c r="L992" s="24">
        <v>1465.57</v>
      </c>
      <c r="M992" s="24">
        <v>1621.8</v>
      </c>
      <c r="N992" s="24">
        <v>1487.6</v>
      </c>
      <c r="O992" s="24">
        <v>1741.2</v>
      </c>
      <c r="P992" s="607">
        <v>1876.8</v>
      </c>
      <c r="Q992" s="24"/>
      <c r="R992" s="607"/>
    </row>
    <row r="993" spans="1:18" s="368" customFormat="1" ht="14.25" x14ac:dyDescent="0.2">
      <c r="A993" s="173" t="s">
        <v>21</v>
      </c>
      <c r="B993" s="24">
        <v>-720.79065970014324</v>
      </c>
      <c r="C993" s="24">
        <v>-902.29745958569765</v>
      </c>
      <c r="D993" s="24">
        <v>-1501.3440000000001</v>
      </c>
      <c r="E993" s="24">
        <v>-3134.92</v>
      </c>
      <c r="F993" s="24">
        <v>-1372.124</v>
      </c>
      <c r="G993" s="24">
        <v>526.09999999999991</v>
      </c>
      <c r="H993" s="24">
        <v>162.09999999999991</v>
      </c>
      <c r="I993" s="24">
        <v>480.95000000000005</v>
      </c>
      <c r="J993" s="24">
        <v>-418.70000000000027</v>
      </c>
      <c r="K993" s="24">
        <v>239.25</v>
      </c>
      <c r="L993" s="24">
        <v>470.73</v>
      </c>
      <c r="M993" s="24">
        <v>1071.95</v>
      </c>
      <c r="N993" s="24">
        <f>N990-N992</f>
        <v>206.15000000000009</v>
      </c>
      <c r="O993" s="24">
        <f>O990-O992</f>
        <v>-47.450000000000045</v>
      </c>
      <c r="P993" s="607">
        <f>P990-P992</f>
        <v>259.35000000000014</v>
      </c>
      <c r="Q993" s="24"/>
      <c r="R993" s="607"/>
    </row>
    <row r="994" spans="1:18" s="368" customFormat="1" ht="14.25" x14ac:dyDescent="0.2">
      <c r="A994" s="176" t="s">
        <v>22</v>
      </c>
      <c r="B994" s="177"/>
      <c r="C994" s="177"/>
      <c r="D994" s="177"/>
      <c r="E994" s="177"/>
      <c r="F994" s="177"/>
      <c r="G994" s="369">
        <v>2016</v>
      </c>
      <c r="H994" s="369">
        <v>2017</v>
      </c>
      <c r="I994" s="369">
        <v>2018</v>
      </c>
      <c r="J994" s="369">
        <v>2019</v>
      </c>
      <c r="K994" s="369">
        <v>2020</v>
      </c>
      <c r="L994" s="369">
        <v>2021</v>
      </c>
      <c r="M994" s="369">
        <v>2022</v>
      </c>
      <c r="N994" s="369">
        <v>2023</v>
      </c>
      <c r="O994" s="369">
        <v>2024</v>
      </c>
      <c r="P994" s="369">
        <v>2025</v>
      </c>
      <c r="Q994" s="369">
        <v>2026</v>
      </c>
      <c r="R994" s="652">
        <v>2027</v>
      </c>
    </row>
    <row r="995" spans="1:18" s="368" customFormat="1" ht="14.25" x14ac:dyDescent="0.2">
      <c r="A995" s="176" t="s">
        <v>179</v>
      </c>
      <c r="B995" s="264"/>
      <c r="C995" s="264"/>
      <c r="D995" s="264"/>
      <c r="E995" s="264"/>
      <c r="F995" s="264"/>
      <c r="G995" s="264"/>
      <c r="H995" s="264"/>
      <c r="I995" s="264"/>
      <c r="J995" s="264"/>
      <c r="K995" s="264"/>
      <c r="L995" s="264"/>
      <c r="M995" s="264"/>
      <c r="N995" s="264"/>
      <c r="O995" s="264"/>
      <c r="P995" s="264"/>
      <c r="Q995" s="264"/>
      <c r="R995" s="609"/>
    </row>
    <row r="996" spans="1:18" s="368" customFormat="1" ht="14.25" x14ac:dyDescent="0.2">
      <c r="A996" s="176" t="s">
        <v>180</v>
      </c>
      <c r="B996" s="264"/>
      <c r="C996" s="264"/>
      <c r="D996" s="264"/>
      <c r="E996" s="264"/>
      <c r="F996" s="264"/>
      <c r="G996" s="264"/>
      <c r="H996" s="264"/>
      <c r="I996" s="264"/>
      <c r="J996" s="264"/>
      <c r="K996" s="264"/>
      <c r="L996" s="264"/>
      <c r="M996" s="264"/>
      <c r="N996" s="264"/>
      <c r="O996" s="264"/>
      <c r="P996" s="264"/>
      <c r="Q996" s="264"/>
      <c r="R996" s="609"/>
    </row>
    <row r="997" spans="1:18" s="368" customFormat="1" ht="14.25" x14ac:dyDescent="0.2">
      <c r="A997" s="178" t="s">
        <v>181</v>
      </c>
      <c r="B997" s="165"/>
      <c r="C997" s="165"/>
      <c r="D997" s="165"/>
      <c r="E997" s="165"/>
      <c r="F997" s="165"/>
      <c r="G997" s="165"/>
      <c r="H997" s="165"/>
      <c r="I997" s="165"/>
      <c r="J997" s="165"/>
      <c r="K997" s="165"/>
      <c r="L997" s="165"/>
      <c r="M997" s="165"/>
      <c r="N997" s="165"/>
      <c r="O997" s="165"/>
      <c r="P997" s="165"/>
      <c r="Q997" s="165"/>
      <c r="R997" s="610"/>
    </row>
    <row r="998" spans="1:18" s="368" customFormat="1" ht="14.25" x14ac:dyDescent="0.2">
      <c r="A998" s="178" t="s">
        <v>182</v>
      </c>
      <c r="B998" s="165"/>
      <c r="C998" s="165"/>
      <c r="D998" s="165"/>
      <c r="E998" s="165"/>
      <c r="F998" s="165"/>
      <c r="G998" s="165"/>
      <c r="H998" s="165"/>
      <c r="I998" s="165"/>
      <c r="J998" s="165"/>
      <c r="K998" s="165"/>
      <c r="L998" s="165"/>
      <c r="M998" s="165"/>
      <c r="N998" s="165"/>
      <c r="O998" s="165"/>
      <c r="P998" s="165"/>
      <c r="Q998" s="165"/>
      <c r="R998" s="610"/>
    </row>
    <row r="999" spans="1:18" s="368" customFormat="1" ht="14.25" x14ac:dyDescent="0.2">
      <c r="A999" s="178" t="s">
        <v>183</v>
      </c>
      <c r="B999" s="266"/>
      <c r="C999" s="267"/>
      <c r="D999" s="268"/>
      <c r="E999" s="165"/>
      <c r="F999" s="165"/>
      <c r="G999" s="267"/>
      <c r="H999" s="165"/>
      <c r="I999" s="165"/>
      <c r="J999" s="165"/>
      <c r="K999" s="165"/>
      <c r="L999" s="165"/>
      <c r="M999" s="165"/>
      <c r="N999" s="165"/>
      <c r="O999" s="165"/>
      <c r="P999" s="165"/>
      <c r="Q999" s="165"/>
      <c r="R999" s="610"/>
    </row>
    <row r="1000" spans="1:18" s="368" customFormat="1" ht="14.25" x14ac:dyDescent="0.2">
      <c r="A1000" s="178" t="s">
        <v>184</v>
      </c>
      <c r="B1000" s="165"/>
      <c r="C1000" s="165"/>
      <c r="D1000" s="165"/>
      <c r="E1000" s="165"/>
      <c r="F1000" s="165"/>
      <c r="G1000" s="165"/>
      <c r="H1000" s="165"/>
      <c r="I1000" s="165"/>
      <c r="J1000" s="165"/>
      <c r="K1000" s="165"/>
      <c r="L1000" s="165"/>
      <c r="M1000" s="165"/>
      <c r="N1000" s="165"/>
      <c r="O1000" s="165"/>
      <c r="P1000" s="165"/>
      <c r="Q1000" s="165"/>
      <c r="R1000" s="610"/>
    </row>
    <row r="1001" spans="1:18" s="368" customFormat="1" ht="14.25" x14ac:dyDescent="0.2">
      <c r="A1001" s="178" t="s">
        <v>185</v>
      </c>
      <c r="B1001" s="165"/>
      <c r="C1001" s="165"/>
      <c r="D1001" s="165"/>
      <c r="E1001" s="165"/>
      <c r="F1001" s="165"/>
      <c r="G1001" s="165"/>
      <c r="H1001" s="165"/>
      <c r="I1001" s="165"/>
      <c r="J1001" s="165"/>
      <c r="K1001" s="165"/>
      <c r="L1001" s="165"/>
      <c r="M1001" s="165"/>
      <c r="N1001" s="165"/>
      <c r="O1001" s="165"/>
      <c r="P1001" s="165"/>
      <c r="Q1001" s="165"/>
      <c r="R1001" s="610"/>
    </row>
    <row r="1002" spans="1:18" s="368" customFormat="1" ht="14.25" x14ac:dyDescent="0.2">
      <c r="A1002" s="180" t="s">
        <v>221</v>
      </c>
      <c r="B1002" s="165"/>
      <c r="C1002" s="165"/>
      <c r="D1002" s="165"/>
      <c r="E1002" s="165"/>
      <c r="F1002" s="165"/>
      <c r="G1002" s="165"/>
      <c r="H1002" s="165"/>
      <c r="I1002" s="165"/>
      <c r="J1002" s="165"/>
      <c r="K1002" s="165"/>
      <c r="L1002" s="165"/>
      <c r="M1002" s="165"/>
      <c r="N1002" s="165"/>
      <c r="O1002" s="165"/>
      <c r="P1002" s="165"/>
      <c r="Q1002" s="165"/>
      <c r="R1002" s="610"/>
    </row>
    <row r="1003" spans="1:18" s="368" customFormat="1" ht="14.25" x14ac:dyDescent="0.2">
      <c r="A1003" s="178" t="s">
        <v>222</v>
      </c>
      <c r="B1003" s="165"/>
      <c r="C1003" s="165"/>
      <c r="D1003" s="165"/>
      <c r="E1003" s="165"/>
      <c r="F1003" s="165"/>
      <c r="G1003" s="267"/>
      <c r="H1003" s="165"/>
      <c r="I1003" s="165"/>
      <c r="J1003" s="165"/>
      <c r="K1003" s="165"/>
      <c r="L1003" s="165"/>
      <c r="M1003" s="165"/>
      <c r="N1003" s="165"/>
      <c r="O1003" s="165"/>
      <c r="P1003" s="165"/>
      <c r="Q1003" s="165"/>
      <c r="R1003" s="610"/>
    </row>
    <row r="1004" spans="1:18" s="370" customFormat="1" x14ac:dyDescent="0.2">
      <c r="A1004" s="178" t="s">
        <v>223</v>
      </c>
      <c r="B1004" s="655"/>
      <c r="C1004" s="655"/>
      <c r="D1004" s="655"/>
      <c r="E1004" s="655"/>
      <c r="F1004" s="655"/>
      <c r="G1004" s="656"/>
      <c r="H1004" s="655"/>
      <c r="I1004" s="655"/>
      <c r="J1004" s="655"/>
      <c r="K1004" s="655"/>
      <c r="L1004" s="655"/>
      <c r="M1004" s="655"/>
      <c r="N1004" s="655"/>
      <c r="O1004" s="655"/>
      <c r="P1004" s="655"/>
      <c r="Q1004" s="655"/>
      <c r="R1004" s="653"/>
    </row>
    <row r="1005" spans="1:18" s="370" customFormat="1" x14ac:dyDescent="0.2">
      <c r="A1005" s="178" t="s">
        <v>224</v>
      </c>
      <c r="B1005" s="655"/>
      <c r="C1005" s="655"/>
      <c r="D1005" s="655"/>
      <c r="E1005" s="655"/>
      <c r="F1005" s="655"/>
      <c r="G1005" s="657"/>
      <c r="H1005" s="655"/>
      <c r="I1005" s="655"/>
      <c r="J1005" s="655"/>
      <c r="K1005" s="655"/>
      <c r="L1005" s="655"/>
      <c r="M1005" s="655"/>
      <c r="N1005" s="655"/>
      <c r="O1005" s="655"/>
      <c r="P1005" s="655"/>
      <c r="Q1005" s="655"/>
      <c r="R1005" s="653"/>
    </row>
    <row r="1006" spans="1:18" s="370" customFormat="1" x14ac:dyDescent="0.2">
      <c r="A1006" s="178" t="s">
        <v>271</v>
      </c>
      <c r="B1006" s="655"/>
      <c r="C1006" s="655"/>
      <c r="D1006" s="655"/>
      <c r="E1006" s="655"/>
      <c r="F1006" s="655"/>
      <c r="G1006" s="657"/>
      <c r="H1006" s="655"/>
      <c r="I1006" s="655"/>
      <c r="J1006" s="655"/>
      <c r="K1006" s="655"/>
      <c r="L1006" s="655"/>
      <c r="M1006" s="655"/>
      <c r="N1006" s="655"/>
      <c r="O1006" s="655"/>
      <c r="P1006" s="655"/>
      <c r="Q1006" s="655"/>
      <c r="R1006" s="653"/>
    </row>
    <row r="1007" spans="1:18" s="368" customFormat="1" ht="14.25" x14ac:dyDescent="0.2">
      <c r="A1007" s="317" t="s">
        <v>225</v>
      </c>
      <c r="B1007" s="658"/>
      <c r="C1007" s="658"/>
      <c r="D1007" s="658"/>
      <c r="E1007" s="658"/>
      <c r="F1007" s="658"/>
      <c r="G1007" s="658"/>
      <c r="H1007" s="658"/>
      <c r="I1007" s="658"/>
      <c r="J1007" s="658"/>
      <c r="K1007" s="658"/>
      <c r="L1007" s="658"/>
      <c r="M1007" s="658"/>
      <c r="N1007" s="658"/>
      <c r="O1007" s="658"/>
      <c r="P1007" s="165"/>
      <c r="Q1007" s="165"/>
      <c r="R1007" s="610"/>
    </row>
    <row r="1008" spans="1:18" s="368" customFormat="1" ht="27" customHeight="1" x14ac:dyDescent="0.2">
      <c r="A1008" s="731" t="s">
        <v>347</v>
      </c>
      <c r="B1008" s="732"/>
      <c r="C1008" s="732"/>
      <c r="D1008" s="732"/>
      <c r="E1008" s="732"/>
      <c r="F1008" s="732"/>
      <c r="G1008" s="732"/>
      <c r="H1008" s="732"/>
      <c r="I1008" s="732"/>
      <c r="J1008" s="732"/>
      <c r="K1008" s="732"/>
      <c r="L1008" s="732"/>
      <c r="M1008" s="732"/>
      <c r="N1008" s="732"/>
      <c r="O1008" s="658"/>
      <c r="P1008" s="165"/>
      <c r="Q1008" s="165"/>
      <c r="R1008" s="610"/>
    </row>
    <row r="1009" spans="1:18" s="368" customFormat="1" ht="13.9" customHeight="1" x14ac:dyDescent="0.2">
      <c r="A1009" s="317" t="s">
        <v>406</v>
      </c>
      <c r="B1009" s="658"/>
      <c r="C1009" s="658"/>
      <c r="D1009" s="658"/>
      <c r="E1009" s="658"/>
      <c r="F1009" s="658"/>
      <c r="G1009" s="658"/>
      <c r="H1009" s="658"/>
      <c r="I1009" s="658"/>
      <c r="J1009" s="658"/>
      <c r="K1009" s="658"/>
      <c r="L1009" s="658"/>
      <c r="M1009" s="658"/>
      <c r="N1009" s="658"/>
      <c r="O1009" s="658"/>
      <c r="P1009" s="165"/>
      <c r="Q1009" s="165"/>
      <c r="R1009" s="610"/>
    </row>
    <row r="1010" spans="1:18" s="368" customFormat="1" ht="13.9" customHeight="1" x14ac:dyDescent="0.2">
      <c r="A1010" s="317" t="s">
        <v>640</v>
      </c>
      <c r="B1010" s="658"/>
      <c r="C1010" s="658"/>
      <c r="D1010" s="658"/>
      <c r="E1010" s="658"/>
      <c r="F1010" s="658"/>
      <c r="G1010" s="658"/>
      <c r="H1010" s="658"/>
      <c r="I1010" s="658"/>
      <c r="J1010" s="658"/>
      <c r="K1010" s="658"/>
      <c r="L1010" s="658"/>
      <c r="M1010" s="658"/>
      <c r="N1010" s="658"/>
      <c r="O1010" s="658"/>
      <c r="P1010" s="165"/>
      <c r="Q1010" s="165"/>
      <c r="R1010" s="610"/>
    </row>
    <row r="1011" spans="1:18" s="368" customFormat="1" ht="13.9" customHeight="1" x14ac:dyDescent="0.2">
      <c r="A1011" s="317" t="s">
        <v>814</v>
      </c>
      <c r="B1011" s="658"/>
      <c r="C1011" s="658"/>
      <c r="D1011" s="658"/>
      <c r="E1011" s="658"/>
      <c r="F1011" s="658"/>
      <c r="G1011" s="658"/>
      <c r="H1011" s="658"/>
      <c r="I1011" s="658"/>
      <c r="J1011" s="658"/>
      <c r="K1011" s="658"/>
      <c r="L1011" s="658"/>
      <c r="M1011" s="658"/>
      <c r="N1011" s="658"/>
      <c r="O1011" s="658"/>
      <c r="P1011" s="165"/>
      <c r="Q1011" s="165"/>
      <c r="R1011" s="610"/>
    </row>
    <row r="1012" spans="1:18" s="368" customFormat="1" ht="13.9" customHeight="1" x14ac:dyDescent="0.2">
      <c r="A1012" s="612" t="s">
        <v>1053</v>
      </c>
      <c r="B1012" s="659"/>
      <c r="C1012" s="659"/>
      <c r="D1012" s="659"/>
      <c r="E1012" s="659"/>
      <c r="F1012" s="659"/>
      <c r="G1012" s="659"/>
      <c r="H1012" s="659"/>
      <c r="I1012" s="659"/>
      <c r="J1012" s="659"/>
      <c r="K1012" s="659"/>
      <c r="L1012" s="659"/>
      <c r="M1012" s="659"/>
      <c r="N1012" s="659"/>
      <c r="O1012" s="659"/>
      <c r="P1012" s="622"/>
      <c r="Q1012" s="165"/>
      <c r="R1012" s="610"/>
    </row>
    <row r="1013" spans="1:18" s="368" customFormat="1" ht="13.9" customHeight="1" x14ac:dyDescent="0.2">
      <c r="A1013" s="604" t="s">
        <v>1130</v>
      </c>
      <c r="B1013" s="605"/>
      <c r="C1013" s="605"/>
      <c r="D1013" s="605"/>
      <c r="E1013" s="605"/>
      <c r="F1013" s="605"/>
      <c r="G1013" s="605"/>
      <c r="H1013" s="605"/>
      <c r="I1013" s="605"/>
      <c r="J1013" s="605"/>
      <c r="K1013" s="605"/>
      <c r="L1013" s="605"/>
      <c r="M1013" s="605"/>
      <c r="N1013" s="605"/>
      <c r="O1013" s="605"/>
      <c r="P1013" s="606"/>
      <c r="Q1013" s="366"/>
      <c r="R1013" s="611"/>
    </row>
    <row r="1014" spans="1:18" x14ac:dyDescent="0.2">
      <c r="A1014" s="133"/>
      <c r="C1014" s="441"/>
    </row>
    <row r="1015" spans="1:18" x14ac:dyDescent="0.2">
      <c r="A1015" s="171" t="s">
        <v>14</v>
      </c>
      <c r="B1015" s="172" t="s">
        <v>624</v>
      </c>
      <c r="C1015" s="172" t="s">
        <v>15</v>
      </c>
      <c r="D1015" s="165"/>
      <c r="E1015" s="165"/>
      <c r="F1015" s="165"/>
      <c r="G1015" s="165"/>
      <c r="H1015" s="165"/>
      <c r="I1015" s="165"/>
      <c r="J1015" s="165"/>
      <c r="K1015" s="165"/>
      <c r="L1015" s="165"/>
      <c r="M1015" s="165"/>
      <c r="N1015" s="165"/>
      <c r="O1015" s="165"/>
      <c r="P1015" s="165"/>
      <c r="Q1015" s="165"/>
      <c r="R1015" s="165"/>
    </row>
    <row r="1016" spans="1:18" x14ac:dyDescent="0.2">
      <c r="A1016" s="358" t="s">
        <v>16</v>
      </c>
      <c r="B1016" s="371">
        <v>2009</v>
      </c>
      <c r="C1016" s="372">
        <v>2010</v>
      </c>
      <c r="D1016" s="372">
        <v>2011</v>
      </c>
      <c r="E1016" s="372">
        <v>2012</v>
      </c>
      <c r="F1016" s="372">
        <v>2013</v>
      </c>
      <c r="G1016" s="372">
        <v>2014</v>
      </c>
      <c r="H1016" s="372">
        <v>2015</v>
      </c>
      <c r="I1016" s="372">
        <v>2016</v>
      </c>
      <c r="J1016" s="372">
        <v>2017</v>
      </c>
      <c r="K1016" s="372">
        <v>2018</v>
      </c>
      <c r="L1016" s="372">
        <v>2019</v>
      </c>
      <c r="M1016" s="372">
        <v>2020</v>
      </c>
      <c r="N1016" s="174">
        <v>2021</v>
      </c>
      <c r="O1016" s="174">
        <v>2022</v>
      </c>
      <c r="P1016" s="174">
        <v>2023</v>
      </c>
      <c r="Q1016" s="594">
        <v>2024</v>
      </c>
      <c r="R1016" s="165"/>
    </row>
    <row r="1017" spans="1:18" x14ac:dyDescent="0.2">
      <c r="A1017" s="173" t="s">
        <v>17</v>
      </c>
      <c r="B1017" s="24">
        <v>842</v>
      </c>
      <c r="C1017" s="24">
        <v>842</v>
      </c>
      <c r="D1017" s="24">
        <v>842</v>
      </c>
      <c r="E1017" s="24">
        <v>842</v>
      </c>
      <c r="F1017" s="24">
        <v>842</v>
      </c>
      <c r="G1017" s="24">
        <v>842</v>
      </c>
      <c r="H1017" s="24">
        <v>842</v>
      </c>
      <c r="I1017" s="24">
        <v>842</v>
      </c>
      <c r="J1017" s="24">
        <v>842</v>
      </c>
      <c r="K1017" s="24">
        <v>842</v>
      </c>
      <c r="L1017" s="24">
        <v>842</v>
      </c>
      <c r="M1017" s="24">
        <v>842</v>
      </c>
      <c r="N1017" s="24">
        <v>842</v>
      </c>
      <c r="O1017" s="24">
        <v>842</v>
      </c>
      <c r="P1017" s="24">
        <v>842</v>
      </c>
      <c r="Q1017" s="607">
        <v>842</v>
      </c>
      <c r="R1017" s="165"/>
    </row>
    <row r="1018" spans="1:18" x14ac:dyDescent="0.2">
      <c r="A1018" s="173" t="s">
        <v>18</v>
      </c>
      <c r="B1018" s="24">
        <v>2717.74</v>
      </c>
      <c r="C1018" s="24">
        <v>2596.7442299999998</v>
      </c>
      <c r="D1018" s="24">
        <v>2707.4306399999996</v>
      </c>
      <c r="E1018" s="24">
        <v>2795.2306399999998</v>
      </c>
      <c r="F1018" s="24">
        <v>3114.7264100000002</v>
      </c>
      <c r="G1018" s="24">
        <v>3408.0264100000004</v>
      </c>
      <c r="H1018" s="24">
        <f>1.15*H1017-(50+35+25)</f>
        <v>858.3</v>
      </c>
      <c r="I1018" s="24">
        <f>I1017+H1021-50-35-25</f>
        <v>1138.1999999999998</v>
      </c>
      <c r="J1018" s="24">
        <f>J1017+I1021-100-35-25</f>
        <v>1422.4999999999998</v>
      </c>
      <c r="K1018" s="24">
        <f>K1017*1.15-100-35</f>
        <v>833.3</v>
      </c>
      <c r="L1018" s="24">
        <f>L1017+K1021-100-35-25</f>
        <v>1226</v>
      </c>
      <c r="M1018" s="24">
        <f>M1017+L1021-150-35-25</f>
        <v>1463.0075420000001</v>
      </c>
      <c r="N1018" s="24">
        <f>N1017+M1021-150-35-25</f>
        <v>1688.2075420000001</v>
      </c>
      <c r="O1018" s="24">
        <f>O1017+N1021-150-35-25</f>
        <v>2032.807542</v>
      </c>
      <c r="P1018" s="607">
        <f>P1017+O1021-150-35-25</f>
        <v>2219.807542</v>
      </c>
      <c r="Q1018" s="607">
        <f>Q1017+P1021-150-35-25</f>
        <v>2355.5075420000003</v>
      </c>
      <c r="R1018" s="165"/>
    </row>
    <row r="1019" spans="1:18" x14ac:dyDescent="0.2">
      <c r="A1019" s="173" t="s">
        <v>19</v>
      </c>
      <c r="B1019" s="24"/>
      <c r="C1019" s="24"/>
      <c r="D1019" s="24"/>
      <c r="E1019" s="24"/>
      <c r="F1019" s="24"/>
      <c r="G1019" s="24"/>
      <c r="H1019" s="373"/>
      <c r="I1019" s="373"/>
      <c r="J1019" s="373"/>
      <c r="K1019" s="373"/>
      <c r="L1019" s="373"/>
      <c r="M1019" s="373"/>
      <c r="N1019" s="373"/>
      <c r="O1019" s="373"/>
      <c r="P1019" s="373"/>
      <c r="Q1019" s="608"/>
      <c r="R1019" s="165"/>
    </row>
    <row r="1020" spans="1:18" x14ac:dyDescent="0.2">
      <c r="A1020" s="173" t="s">
        <v>20</v>
      </c>
      <c r="B1020" s="24">
        <v>962.99576999999999</v>
      </c>
      <c r="C1020" s="24">
        <v>681.31358999999998</v>
      </c>
      <c r="D1020" s="24">
        <v>669.2</v>
      </c>
      <c r="E1020" s="24">
        <v>437.5</v>
      </c>
      <c r="F1020" s="24">
        <v>438.7</v>
      </c>
      <c r="G1020" s="24">
        <v>392.9</v>
      </c>
      <c r="H1020" s="24">
        <v>452.1</v>
      </c>
      <c r="I1020" s="24">
        <v>397.7</v>
      </c>
      <c r="J1020" s="24">
        <v>406</v>
      </c>
      <c r="K1020" s="24">
        <v>289.3</v>
      </c>
      <c r="L1020" s="24">
        <v>394.992458</v>
      </c>
      <c r="M1020" s="24">
        <v>406.79999999999995</v>
      </c>
      <c r="N1020" s="24">
        <v>287.39999999999998</v>
      </c>
      <c r="O1020" s="24">
        <v>445</v>
      </c>
      <c r="P1020" s="607">
        <v>496.3</v>
      </c>
      <c r="Q1020" s="607"/>
      <c r="R1020" s="165"/>
    </row>
    <row r="1021" spans="1:18" x14ac:dyDescent="0.2">
      <c r="A1021" s="173" t="s">
        <v>21</v>
      </c>
      <c r="B1021" s="24">
        <v>1754.7442299999998</v>
      </c>
      <c r="C1021" s="24">
        <v>1915.4306399999998</v>
      </c>
      <c r="D1021" s="24">
        <v>2038.2306399999995</v>
      </c>
      <c r="E1021" s="24">
        <v>2357.7264100000002</v>
      </c>
      <c r="F1021" s="24">
        <v>2676.0264100000004</v>
      </c>
      <c r="G1021" s="24">
        <v>3015.1264100000003</v>
      </c>
      <c r="H1021" s="24">
        <f t="shared" ref="H1021:P1021" si="38">H1018-H1020</f>
        <v>406.19999999999993</v>
      </c>
      <c r="I1021" s="24">
        <f t="shared" si="38"/>
        <v>740.49999999999977</v>
      </c>
      <c r="J1021" s="24">
        <f t="shared" si="38"/>
        <v>1016.4999999999998</v>
      </c>
      <c r="K1021" s="24">
        <f t="shared" si="38"/>
        <v>544</v>
      </c>
      <c r="L1021" s="24">
        <f t="shared" si="38"/>
        <v>831.00754200000006</v>
      </c>
      <c r="M1021" s="24">
        <f t="shared" si="38"/>
        <v>1056.2075420000001</v>
      </c>
      <c r="N1021" s="24">
        <f t="shared" si="38"/>
        <v>1400.807542</v>
      </c>
      <c r="O1021" s="24">
        <f t="shared" si="38"/>
        <v>1587.807542</v>
      </c>
      <c r="P1021" s="607">
        <f t="shared" si="38"/>
        <v>1723.5075420000001</v>
      </c>
      <c r="Q1021" s="607"/>
      <c r="R1021" s="165"/>
    </row>
    <row r="1022" spans="1:18" x14ac:dyDescent="0.2">
      <c r="A1022" s="176" t="s">
        <v>22</v>
      </c>
      <c r="B1022" s="374"/>
      <c r="C1022" s="374"/>
      <c r="D1022" s="374"/>
      <c r="E1022" s="374"/>
      <c r="F1022" s="374"/>
      <c r="G1022" s="374"/>
      <c r="H1022" s="615">
        <v>2016</v>
      </c>
      <c r="I1022" s="615">
        <v>2017</v>
      </c>
      <c r="J1022" s="615">
        <v>2018</v>
      </c>
      <c r="K1022" s="615">
        <v>2019</v>
      </c>
      <c r="L1022" s="615">
        <v>2020</v>
      </c>
      <c r="M1022" s="615">
        <v>2021</v>
      </c>
      <c r="N1022" s="615">
        <v>2022</v>
      </c>
      <c r="O1022" s="615">
        <v>2023</v>
      </c>
      <c r="P1022" s="615">
        <v>2024</v>
      </c>
      <c r="Q1022" s="615">
        <v>2025</v>
      </c>
      <c r="R1022" s="165"/>
    </row>
    <row r="1023" spans="1:18" x14ac:dyDescent="0.2">
      <c r="A1023" s="176" t="s">
        <v>179</v>
      </c>
      <c r="B1023" s="264"/>
      <c r="C1023" s="264"/>
      <c r="D1023" s="264"/>
      <c r="E1023" s="264"/>
      <c r="F1023" s="264"/>
      <c r="G1023" s="264"/>
      <c r="H1023" s="264"/>
      <c r="I1023" s="264"/>
      <c r="J1023" s="264"/>
      <c r="K1023" s="264"/>
      <c r="L1023" s="264"/>
      <c r="M1023" s="264"/>
      <c r="N1023" s="264"/>
      <c r="O1023" s="265"/>
      <c r="P1023" s="265"/>
      <c r="Q1023" s="609"/>
      <c r="R1023" s="165"/>
    </row>
    <row r="1024" spans="1:18" x14ac:dyDescent="0.2">
      <c r="A1024" s="176" t="s">
        <v>186</v>
      </c>
      <c r="B1024" s="264"/>
      <c r="C1024" s="264"/>
      <c r="D1024" s="264"/>
      <c r="E1024" s="264"/>
      <c r="F1024" s="264"/>
      <c r="G1024" s="264"/>
      <c r="H1024" s="264"/>
      <c r="I1024" s="264"/>
      <c r="J1024" s="264"/>
      <c r="K1024" s="264"/>
      <c r="L1024" s="264"/>
      <c r="M1024" s="264"/>
      <c r="N1024" s="264"/>
      <c r="O1024" s="264"/>
      <c r="P1024" s="264"/>
      <c r="Q1024" s="609"/>
      <c r="R1024" s="165"/>
    </row>
    <row r="1025" spans="1:18" x14ac:dyDescent="0.2">
      <c r="A1025" s="178" t="s">
        <v>187</v>
      </c>
      <c r="B1025" s="165"/>
      <c r="C1025" s="165"/>
      <c r="D1025" s="165"/>
      <c r="E1025" s="165"/>
      <c r="F1025" s="165"/>
      <c r="G1025" s="165"/>
      <c r="H1025" s="165"/>
      <c r="I1025" s="165"/>
      <c r="J1025" s="165"/>
      <c r="K1025" s="165"/>
      <c r="L1025" s="165"/>
      <c r="M1025" s="165"/>
      <c r="N1025" s="165"/>
      <c r="O1025" s="165"/>
      <c r="P1025" s="165"/>
      <c r="Q1025" s="610"/>
      <c r="R1025" s="165"/>
    </row>
    <row r="1026" spans="1:18" x14ac:dyDescent="0.2">
      <c r="A1026" s="375" t="s">
        <v>188</v>
      </c>
      <c r="B1026" s="165"/>
      <c r="C1026" s="165"/>
      <c r="D1026" s="165"/>
      <c r="E1026" s="165"/>
      <c r="F1026" s="165"/>
      <c r="G1026" s="165"/>
      <c r="H1026" s="165"/>
      <c r="I1026" s="165"/>
      <c r="J1026" s="165"/>
      <c r="K1026" s="165"/>
      <c r="L1026" s="165"/>
      <c r="M1026" s="165"/>
      <c r="N1026" s="165"/>
      <c r="O1026" s="165"/>
      <c r="P1026" s="165"/>
      <c r="Q1026" s="610"/>
      <c r="R1026" s="165"/>
    </row>
    <row r="1027" spans="1:18" x14ac:dyDescent="0.2">
      <c r="A1027" s="375" t="s">
        <v>189</v>
      </c>
      <c r="B1027" s="165"/>
      <c r="C1027" s="165"/>
      <c r="D1027" s="165"/>
      <c r="E1027" s="165"/>
      <c r="F1027" s="165"/>
      <c r="G1027" s="165"/>
      <c r="H1027" s="165"/>
      <c r="I1027" s="165"/>
      <c r="J1027" s="165"/>
      <c r="K1027" s="165"/>
      <c r="L1027" s="165"/>
      <c r="M1027" s="165"/>
      <c r="N1027" s="165"/>
      <c r="O1027" s="165"/>
      <c r="P1027" s="165"/>
      <c r="Q1027" s="610"/>
      <c r="R1027" s="165"/>
    </row>
    <row r="1028" spans="1:18" x14ac:dyDescent="0.2">
      <c r="A1028" s="375" t="s">
        <v>1055</v>
      </c>
      <c r="B1028" s="165"/>
      <c r="C1028" s="165"/>
      <c r="D1028" s="165"/>
      <c r="E1028" s="165"/>
      <c r="F1028" s="165"/>
      <c r="G1028" s="165"/>
      <c r="H1028" s="165"/>
      <c r="I1028" s="165"/>
      <c r="J1028" s="165"/>
      <c r="K1028" s="165"/>
      <c r="L1028" s="165"/>
      <c r="M1028" s="165"/>
      <c r="N1028" s="165"/>
      <c r="O1028" s="165"/>
      <c r="P1028" s="165"/>
      <c r="Q1028" s="610"/>
      <c r="R1028" s="165"/>
    </row>
    <row r="1029" spans="1:18" x14ac:dyDescent="0.2">
      <c r="A1029" s="180" t="s">
        <v>226</v>
      </c>
      <c r="B1029" s="165"/>
      <c r="C1029" s="165"/>
      <c r="D1029" s="165"/>
      <c r="E1029" s="165"/>
      <c r="F1029" s="165"/>
      <c r="G1029" s="267"/>
      <c r="H1029" s="165"/>
      <c r="I1029" s="165"/>
      <c r="J1029" s="165"/>
      <c r="K1029" s="165"/>
      <c r="L1029" s="165"/>
      <c r="M1029" s="165"/>
      <c r="N1029" s="165"/>
      <c r="O1029" s="165"/>
      <c r="P1029" s="165"/>
      <c r="Q1029" s="610"/>
      <c r="R1029" s="165"/>
    </row>
    <row r="1030" spans="1:18" x14ac:dyDescent="0.2">
      <c r="A1030" s="180" t="s">
        <v>227</v>
      </c>
      <c r="B1030" s="165"/>
      <c r="C1030" s="165"/>
      <c r="D1030" s="165"/>
      <c r="E1030" s="165"/>
      <c r="F1030" s="165"/>
      <c r="G1030" s="267"/>
      <c r="H1030" s="165"/>
      <c r="I1030" s="165"/>
      <c r="J1030" s="165"/>
      <c r="K1030" s="165"/>
      <c r="L1030" s="165"/>
      <c r="M1030" s="165"/>
      <c r="N1030" s="165"/>
      <c r="O1030" s="165"/>
      <c r="P1030" s="165"/>
      <c r="Q1030" s="610"/>
      <c r="R1030" s="165"/>
    </row>
    <row r="1031" spans="1:18" x14ac:dyDescent="0.2">
      <c r="A1031" s="178" t="s">
        <v>190</v>
      </c>
      <c r="B1031" s="266"/>
      <c r="C1031" s="267"/>
      <c r="D1031" s="268"/>
      <c r="E1031" s="165"/>
      <c r="F1031" s="165"/>
      <c r="G1031" s="267"/>
      <c r="H1031" s="165"/>
      <c r="I1031" s="165"/>
      <c r="J1031" s="165"/>
      <c r="K1031" s="165"/>
      <c r="L1031" s="165"/>
      <c r="M1031" s="165"/>
      <c r="N1031" s="165"/>
      <c r="O1031" s="165"/>
      <c r="P1031" s="165"/>
      <c r="Q1031" s="610"/>
      <c r="R1031" s="165"/>
    </row>
    <row r="1032" spans="1:18" x14ac:dyDescent="0.2">
      <c r="A1032" s="178" t="s">
        <v>191</v>
      </c>
      <c r="B1032" s="165"/>
      <c r="C1032" s="165"/>
      <c r="D1032" s="165"/>
      <c r="E1032" s="165"/>
      <c r="F1032" s="165"/>
      <c r="G1032" s="267"/>
      <c r="H1032" s="165"/>
      <c r="I1032" s="165"/>
      <c r="J1032" s="165"/>
      <c r="K1032" s="165"/>
      <c r="L1032" s="165"/>
      <c r="M1032" s="165"/>
      <c r="N1032" s="165"/>
      <c r="O1032" s="165"/>
      <c r="P1032" s="165"/>
      <c r="Q1032" s="610"/>
      <c r="R1032" s="165"/>
    </row>
    <row r="1033" spans="1:18" x14ac:dyDescent="0.2">
      <c r="A1033" s="180" t="s">
        <v>384</v>
      </c>
      <c r="B1033" s="165"/>
      <c r="C1033" s="165"/>
      <c r="D1033" s="165"/>
      <c r="E1033" s="165"/>
      <c r="F1033" s="165"/>
      <c r="G1033" s="267"/>
      <c r="H1033" s="165"/>
      <c r="I1033" s="165"/>
      <c r="J1033" s="165"/>
      <c r="K1033" s="165"/>
      <c r="L1033" s="165"/>
      <c r="M1033" s="165"/>
      <c r="N1033" s="165"/>
      <c r="O1033" s="165"/>
      <c r="P1033" s="165"/>
      <c r="Q1033" s="610"/>
      <c r="R1033" s="165"/>
    </row>
    <row r="1034" spans="1:18" x14ac:dyDescent="0.2">
      <c r="A1034" s="180" t="s">
        <v>385</v>
      </c>
      <c r="B1034" s="165"/>
      <c r="C1034" s="165"/>
      <c r="D1034" s="165"/>
      <c r="E1034" s="165"/>
      <c r="F1034" s="165"/>
      <c r="G1034" s="267"/>
      <c r="H1034" s="165"/>
      <c r="I1034" s="165"/>
      <c r="J1034" s="165"/>
      <c r="K1034" s="165"/>
      <c r="L1034" s="165"/>
      <c r="M1034" s="165"/>
      <c r="N1034" s="165"/>
      <c r="O1034" s="165"/>
      <c r="P1034" s="165"/>
      <c r="Q1034" s="610"/>
      <c r="R1034" s="165"/>
    </row>
    <row r="1035" spans="1:18" x14ac:dyDescent="0.2">
      <c r="A1035" s="180" t="s">
        <v>386</v>
      </c>
      <c r="B1035" s="165"/>
      <c r="C1035" s="165"/>
      <c r="D1035" s="165"/>
      <c r="E1035" s="165"/>
      <c r="F1035" s="165"/>
      <c r="G1035" s="267"/>
      <c r="H1035" s="165"/>
      <c r="I1035" s="165"/>
      <c r="J1035" s="165"/>
      <c r="K1035" s="165"/>
      <c r="L1035" s="165"/>
      <c r="M1035" s="165"/>
      <c r="N1035" s="165"/>
      <c r="O1035" s="165"/>
      <c r="P1035" s="165"/>
      <c r="Q1035" s="610"/>
      <c r="R1035" s="165"/>
    </row>
    <row r="1036" spans="1:18" x14ac:dyDescent="0.2">
      <c r="A1036" s="180" t="s">
        <v>387</v>
      </c>
      <c r="B1036" s="165"/>
      <c r="C1036" s="165"/>
      <c r="D1036" s="165"/>
      <c r="E1036" s="165"/>
      <c r="F1036" s="165"/>
      <c r="G1036" s="613"/>
      <c r="H1036" s="165"/>
      <c r="I1036" s="165"/>
      <c r="J1036" s="165"/>
      <c r="K1036" s="165"/>
      <c r="L1036" s="165"/>
      <c r="M1036" s="165"/>
      <c r="N1036" s="165"/>
      <c r="O1036" s="165"/>
      <c r="P1036" s="165"/>
      <c r="Q1036" s="610"/>
      <c r="R1036" s="165"/>
    </row>
    <row r="1037" spans="1:18" ht="13.15" customHeight="1" x14ac:dyDescent="0.2">
      <c r="A1037" s="317" t="s">
        <v>388</v>
      </c>
      <c r="B1037" s="614"/>
      <c r="C1037" s="614"/>
      <c r="D1037" s="614"/>
      <c r="E1037" s="614"/>
      <c r="F1037" s="614"/>
      <c r="G1037" s="614"/>
      <c r="H1037" s="614"/>
      <c r="I1037" s="614"/>
      <c r="J1037" s="614"/>
      <c r="K1037" s="614"/>
      <c r="L1037" s="614"/>
      <c r="M1037" s="614"/>
      <c r="N1037" s="614"/>
      <c r="O1037" s="614"/>
      <c r="P1037" s="165"/>
      <c r="Q1037" s="610"/>
      <c r="R1037" s="165"/>
    </row>
    <row r="1038" spans="1:18" ht="13.15" customHeight="1" x14ac:dyDescent="0.2">
      <c r="A1038" s="317" t="s">
        <v>389</v>
      </c>
      <c r="B1038" s="614"/>
      <c r="C1038" s="614"/>
      <c r="D1038" s="614"/>
      <c r="E1038" s="614"/>
      <c r="F1038" s="614"/>
      <c r="G1038" s="614"/>
      <c r="H1038" s="614"/>
      <c r="I1038" s="614"/>
      <c r="J1038" s="614"/>
      <c r="K1038" s="614"/>
      <c r="L1038" s="614"/>
      <c r="M1038" s="614"/>
      <c r="N1038" s="614"/>
      <c r="O1038" s="614"/>
      <c r="P1038" s="165"/>
      <c r="Q1038" s="610"/>
      <c r="R1038" s="165"/>
    </row>
    <row r="1039" spans="1:18" ht="13.15" customHeight="1" x14ac:dyDescent="0.2">
      <c r="A1039" s="317" t="s">
        <v>569</v>
      </c>
      <c r="B1039" s="614"/>
      <c r="C1039" s="614"/>
      <c r="D1039" s="614"/>
      <c r="E1039" s="614"/>
      <c r="F1039" s="614"/>
      <c r="G1039" s="614"/>
      <c r="H1039" s="614"/>
      <c r="I1039" s="614"/>
      <c r="J1039" s="614"/>
      <c r="K1039" s="614"/>
      <c r="L1039" s="614"/>
      <c r="M1039" s="614"/>
      <c r="N1039" s="614"/>
      <c r="O1039" s="614"/>
      <c r="P1039" s="165"/>
      <c r="Q1039" s="610"/>
      <c r="R1039" s="165"/>
    </row>
    <row r="1040" spans="1:18" ht="13.15" customHeight="1" x14ac:dyDescent="0.2">
      <c r="A1040" s="317" t="s">
        <v>712</v>
      </c>
      <c r="B1040" s="614"/>
      <c r="C1040" s="614"/>
      <c r="D1040" s="614"/>
      <c r="E1040" s="614"/>
      <c r="F1040" s="614"/>
      <c r="G1040" s="614"/>
      <c r="H1040" s="614"/>
      <c r="I1040" s="614"/>
      <c r="J1040" s="614"/>
      <c r="K1040" s="614"/>
      <c r="L1040" s="614"/>
      <c r="M1040" s="614"/>
      <c r="N1040" s="614"/>
      <c r="O1040" s="614"/>
      <c r="P1040" s="165"/>
      <c r="Q1040" s="610"/>
      <c r="R1040" s="165"/>
    </row>
    <row r="1041" spans="1:18" ht="13.15" customHeight="1" x14ac:dyDescent="0.2">
      <c r="A1041" s="612" t="s">
        <v>1054</v>
      </c>
      <c r="B1041" s="614"/>
      <c r="C1041" s="614"/>
      <c r="D1041" s="614"/>
      <c r="E1041" s="614"/>
      <c r="F1041" s="614"/>
      <c r="G1041" s="614"/>
      <c r="H1041" s="614"/>
      <c r="I1041" s="614"/>
      <c r="J1041" s="614"/>
      <c r="K1041" s="614"/>
      <c r="L1041" s="614"/>
      <c r="M1041" s="614"/>
      <c r="N1041" s="614"/>
      <c r="O1041" s="614"/>
      <c r="P1041" s="165"/>
      <c r="Q1041" s="610"/>
      <c r="R1041" s="165"/>
    </row>
    <row r="1042" spans="1:18" ht="13.15" customHeight="1" x14ac:dyDescent="0.2">
      <c r="A1042" s="604" t="s">
        <v>1110</v>
      </c>
      <c r="B1042" s="376"/>
      <c r="C1042" s="376"/>
      <c r="D1042" s="376"/>
      <c r="E1042" s="376"/>
      <c r="F1042" s="376"/>
      <c r="G1042" s="376"/>
      <c r="H1042" s="376"/>
      <c r="I1042" s="376"/>
      <c r="J1042" s="376"/>
      <c r="K1042" s="376"/>
      <c r="L1042" s="376"/>
      <c r="M1042" s="376"/>
      <c r="N1042" s="376"/>
      <c r="O1042" s="376"/>
      <c r="P1042" s="366"/>
      <c r="Q1042" s="611"/>
      <c r="R1042" s="165"/>
    </row>
    <row r="1043" spans="1:18" x14ac:dyDescent="0.2">
      <c r="A1043" s="133"/>
      <c r="C1043" s="441"/>
    </row>
    <row r="1044" spans="1:18" x14ac:dyDescent="0.2">
      <c r="A1044" s="171" t="s">
        <v>14</v>
      </c>
      <c r="B1044" s="172" t="s">
        <v>642</v>
      </c>
      <c r="C1044" s="172" t="s">
        <v>15</v>
      </c>
      <c r="D1044" s="165"/>
      <c r="E1044" s="165"/>
      <c r="F1044" s="165"/>
      <c r="G1044" s="165"/>
      <c r="H1044" s="165"/>
      <c r="I1044" s="165"/>
      <c r="J1044" s="165"/>
      <c r="K1044" s="165"/>
      <c r="L1044" s="165"/>
      <c r="M1044" s="165"/>
      <c r="N1044" s="165"/>
      <c r="O1044" s="165"/>
      <c r="P1044" s="165"/>
    </row>
    <row r="1045" spans="1:18" x14ac:dyDescent="0.2">
      <c r="A1045" s="358" t="s">
        <v>16</v>
      </c>
      <c r="B1045" s="359">
        <v>2009</v>
      </c>
      <c r="C1045" s="174">
        <v>2010</v>
      </c>
      <c r="D1045" s="174">
        <v>2011</v>
      </c>
      <c r="E1045" s="174">
        <v>2012</v>
      </c>
      <c r="F1045" s="174">
        <v>2013</v>
      </c>
      <c r="G1045" s="174">
        <v>2014</v>
      </c>
      <c r="H1045" s="174">
        <v>2015</v>
      </c>
      <c r="I1045" s="174">
        <v>2016</v>
      </c>
      <c r="J1045" s="372">
        <v>2017</v>
      </c>
      <c r="K1045" s="372">
        <v>2018</v>
      </c>
      <c r="L1045" s="372">
        <v>2019</v>
      </c>
      <c r="M1045" s="372">
        <v>2020</v>
      </c>
      <c r="N1045" s="174">
        <v>2021</v>
      </c>
      <c r="O1045" s="174">
        <v>2022</v>
      </c>
      <c r="P1045" s="174">
        <v>2023</v>
      </c>
      <c r="Q1045" s="594">
        <v>2024</v>
      </c>
      <c r="R1045" s="594">
        <v>2025</v>
      </c>
    </row>
    <row r="1046" spans="1:18" x14ac:dyDescent="0.2">
      <c r="A1046" s="173" t="s">
        <v>17</v>
      </c>
      <c r="B1046" s="24">
        <v>1080</v>
      </c>
      <c r="C1046" s="24">
        <v>901</v>
      </c>
      <c r="D1046" s="24">
        <v>901</v>
      </c>
      <c r="E1046" s="24">
        <v>901</v>
      </c>
      <c r="F1046" s="24">
        <v>901</v>
      </c>
      <c r="G1046" s="24">
        <v>901</v>
      </c>
      <c r="H1046" s="24">
        <v>901</v>
      </c>
      <c r="I1046" s="24">
        <v>901</v>
      </c>
      <c r="J1046" s="24">
        <v>901</v>
      </c>
      <c r="K1046" s="24">
        <v>901</v>
      </c>
      <c r="L1046" s="24">
        <v>901</v>
      </c>
      <c r="M1046" s="24">
        <v>901</v>
      </c>
      <c r="N1046" s="360">
        <v>901</v>
      </c>
      <c r="O1046" s="360">
        <v>901</v>
      </c>
      <c r="P1046" s="360">
        <v>901</v>
      </c>
      <c r="Q1046" s="595">
        <v>901</v>
      </c>
      <c r="R1046" s="595">
        <v>901</v>
      </c>
    </row>
    <row r="1047" spans="1:18" x14ac:dyDescent="0.2">
      <c r="A1047" s="173" t="s">
        <v>18</v>
      </c>
      <c r="B1047" s="24">
        <v>1775.91</v>
      </c>
      <c r="C1047" s="24">
        <v>1651</v>
      </c>
      <c r="D1047" s="24">
        <v>851</v>
      </c>
      <c r="E1047" s="24">
        <v>1288.26477</v>
      </c>
      <c r="F1047" s="24">
        <v>425.70000000000005</v>
      </c>
      <c r="G1047" s="24">
        <v>1298.56477</v>
      </c>
      <c r="H1047" s="24">
        <v>318.5</v>
      </c>
      <c r="I1047" s="24">
        <v>1359.46477</v>
      </c>
      <c r="J1047" s="24">
        <v>999.7</v>
      </c>
      <c r="K1047" s="24">
        <v>1339.56477</v>
      </c>
      <c r="L1047" s="24">
        <v>1191.2</v>
      </c>
      <c r="M1047" s="24">
        <v>1451</v>
      </c>
      <c r="N1047" s="24">
        <v>1380.1631280000001</v>
      </c>
      <c r="O1047" s="24">
        <f>O1046+600-50</f>
        <v>1451</v>
      </c>
      <c r="P1047" s="24">
        <f>P1046+600-50</f>
        <v>1451</v>
      </c>
      <c r="Q1047" s="607">
        <f>Q1046+600-50</f>
        <v>1451</v>
      </c>
      <c r="R1047" s="607">
        <f>R1046+600-50</f>
        <v>1451</v>
      </c>
    </row>
    <row r="1048" spans="1:18" x14ac:dyDescent="0.2">
      <c r="A1048" s="173" t="s">
        <v>19</v>
      </c>
      <c r="B1048" s="24"/>
      <c r="C1048" s="24"/>
      <c r="D1048" s="24"/>
      <c r="E1048" s="24"/>
      <c r="F1048" s="24"/>
      <c r="G1048" s="24"/>
      <c r="H1048" s="24"/>
      <c r="I1048" s="24"/>
      <c r="J1048" s="24"/>
      <c r="K1048" s="24"/>
      <c r="L1048" s="24"/>
      <c r="M1048" s="24"/>
      <c r="N1048" s="360"/>
      <c r="O1048" s="360"/>
      <c r="P1048" s="360"/>
      <c r="Q1048" s="595"/>
      <c r="R1048" s="595"/>
    </row>
    <row r="1049" spans="1:18" x14ac:dyDescent="0.2">
      <c r="A1049" s="173" t="s">
        <v>20</v>
      </c>
      <c r="B1049" s="24">
        <v>900.11276999999995</v>
      </c>
      <c r="C1049" s="24">
        <v>1213.73523</v>
      </c>
      <c r="D1049" s="24">
        <v>1276.3</v>
      </c>
      <c r="E1049" s="24">
        <v>840.7</v>
      </c>
      <c r="F1049" s="24">
        <v>958.2</v>
      </c>
      <c r="G1049" s="24">
        <v>790.1</v>
      </c>
      <c r="H1049" s="24">
        <v>569.79999999999995</v>
      </c>
      <c r="I1049" s="24">
        <v>870.9</v>
      </c>
      <c r="J1049" s="24">
        <v>659.5</v>
      </c>
      <c r="K1049" s="24">
        <v>698</v>
      </c>
      <c r="L1049" s="24">
        <v>662.0368719999999</v>
      </c>
      <c r="M1049" s="24">
        <v>444</v>
      </c>
      <c r="N1049" s="360">
        <v>659</v>
      </c>
      <c r="O1049" s="360">
        <v>516.5</v>
      </c>
      <c r="P1049" s="595">
        <v>332.1</v>
      </c>
      <c r="Q1049" s="595"/>
      <c r="R1049" s="595"/>
    </row>
    <row r="1050" spans="1:18" x14ac:dyDescent="0.2">
      <c r="A1050" s="173" t="s">
        <v>21</v>
      </c>
      <c r="B1050" s="24">
        <v>875.79723000000013</v>
      </c>
      <c r="C1050" s="24">
        <v>437.26477</v>
      </c>
      <c r="D1050" s="24">
        <v>425.3</v>
      </c>
      <c r="E1050" s="24">
        <v>447.56476999999995</v>
      </c>
      <c r="F1050" s="24">
        <v>532.5</v>
      </c>
      <c r="G1050" s="24">
        <v>508.46476999999993</v>
      </c>
      <c r="H1050" s="24">
        <v>148.70000000000005</v>
      </c>
      <c r="I1050" s="24">
        <v>488.56477000000007</v>
      </c>
      <c r="J1050" s="24">
        <v>340.20000000000005</v>
      </c>
      <c r="K1050" s="24">
        <v>641.56476999999995</v>
      </c>
      <c r="L1050" s="24">
        <v>529.16312800000014</v>
      </c>
      <c r="M1050" s="24">
        <f>M1047-M1049</f>
        <v>1007</v>
      </c>
      <c r="N1050" s="360">
        <f>N1047-N1049</f>
        <v>721.16312800000014</v>
      </c>
      <c r="O1050" s="360">
        <f>O1047-O1049</f>
        <v>934.5</v>
      </c>
      <c r="P1050" s="595">
        <f>P1047-P1049</f>
        <v>1118.9000000000001</v>
      </c>
      <c r="Q1050" s="595"/>
      <c r="R1050" s="595"/>
    </row>
    <row r="1051" spans="1:18" x14ac:dyDescent="0.2">
      <c r="A1051" s="176" t="s">
        <v>22</v>
      </c>
      <c r="B1051" s="617">
        <v>2011</v>
      </c>
      <c r="C1051" s="617">
        <v>2012</v>
      </c>
      <c r="D1051" s="617">
        <v>2013</v>
      </c>
      <c r="E1051" s="617">
        <v>2014</v>
      </c>
      <c r="F1051" s="617">
        <v>2015</v>
      </c>
      <c r="G1051" s="617">
        <v>2016</v>
      </c>
      <c r="H1051" s="617">
        <v>2017</v>
      </c>
      <c r="I1051" s="617">
        <v>2018</v>
      </c>
      <c r="J1051" s="617">
        <v>2019</v>
      </c>
      <c r="K1051" s="617">
        <v>2020</v>
      </c>
      <c r="L1051" s="617">
        <v>2021</v>
      </c>
      <c r="M1051" s="617">
        <v>2022</v>
      </c>
      <c r="N1051" s="617">
        <v>2023</v>
      </c>
      <c r="O1051" s="617">
        <v>2024</v>
      </c>
      <c r="P1051" s="617">
        <v>2025</v>
      </c>
      <c r="Q1051" s="617">
        <v>2026</v>
      </c>
      <c r="R1051" s="617">
        <v>2027</v>
      </c>
    </row>
    <row r="1052" spans="1:18" x14ac:dyDescent="0.2">
      <c r="A1052" s="176" t="s">
        <v>179</v>
      </c>
      <c r="B1052" s="264"/>
      <c r="C1052" s="264"/>
      <c r="D1052" s="264"/>
      <c r="E1052" s="264"/>
      <c r="F1052" s="264"/>
      <c r="G1052" s="264"/>
      <c r="H1052" s="264"/>
      <c r="I1052" s="264"/>
      <c r="J1052" s="264"/>
      <c r="K1052" s="264"/>
      <c r="L1052" s="264"/>
      <c r="M1052" s="264"/>
      <c r="N1052" s="264"/>
      <c r="O1052" s="264"/>
      <c r="P1052" s="264"/>
      <c r="Q1052" s="264"/>
      <c r="R1052" s="265"/>
    </row>
    <row r="1053" spans="1:18" x14ac:dyDescent="0.2">
      <c r="A1053" s="176" t="s">
        <v>416</v>
      </c>
      <c r="B1053" s="264"/>
      <c r="C1053" s="264"/>
      <c r="D1053" s="264"/>
      <c r="E1053" s="264"/>
      <c r="F1053" s="264"/>
      <c r="G1053" s="264"/>
      <c r="H1053" s="264"/>
      <c r="I1053" s="264"/>
      <c r="J1053" s="264"/>
      <c r="K1053" s="264"/>
      <c r="L1053" s="264"/>
      <c r="M1053" s="264"/>
      <c r="N1053" s="264"/>
      <c r="O1053" s="264"/>
      <c r="P1053" s="264"/>
      <c r="Q1053" s="264"/>
      <c r="R1053" s="265"/>
    </row>
    <row r="1054" spans="1:18" x14ac:dyDescent="0.2">
      <c r="A1054" s="178" t="s">
        <v>417</v>
      </c>
      <c r="B1054" s="165"/>
      <c r="C1054" s="165"/>
      <c r="D1054" s="165"/>
      <c r="E1054" s="165"/>
      <c r="F1054" s="165"/>
      <c r="G1054" s="165"/>
      <c r="H1054" s="165"/>
      <c r="I1054" s="165"/>
      <c r="J1054" s="165"/>
      <c r="K1054" s="165"/>
      <c r="L1054" s="165"/>
      <c r="M1054" s="165"/>
      <c r="N1054" s="165"/>
      <c r="O1054" s="165"/>
      <c r="P1054" s="165"/>
      <c r="Q1054" s="165"/>
      <c r="R1054" s="179"/>
    </row>
    <row r="1055" spans="1:18" x14ac:dyDescent="0.2">
      <c r="A1055" s="178" t="s">
        <v>418</v>
      </c>
      <c r="B1055" s="165"/>
      <c r="C1055" s="165"/>
      <c r="D1055" s="165"/>
      <c r="E1055" s="165"/>
      <c r="F1055" s="165"/>
      <c r="G1055" s="165"/>
      <c r="H1055" s="165"/>
      <c r="I1055" s="165"/>
      <c r="J1055" s="165"/>
      <c r="K1055" s="165"/>
      <c r="L1055" s="165"/>
      <c r="M1055" s="165"/>
      <c r="N1055" s="165"/>
      <c r="O1055" s="165"/>
      <c r="P1055" s="165"/>
      <c r="Q1055" s="165"/>
      <c r="R1055" s="179"/>
    </row>
    <row r="1056" spans="1:18" x14ac:dyDescent="0.2">
      <c r="A1056" s="178" t="s">
        <v>419</v>
      </c>
      <c r="B1056" s="165"/>
      <c r="C1056" s="165"/>
      <c r="D1056" s="165"/>
      <c r="E1056" s="165"/>
      <c r="F1056" s="165"/>
      <c r="G1056" s="165"/>
      <c r="H1056" s="165"/>
      <c r="I1056" s="165"/>
      <c r="J1056" s="165"/>
      <c r="K1056" s="165"/>
      <c r="L1056" s="165"/>
      <c r="M1056" s="165"/>
      <c r="N1056" s="165"/>
      <c r="O1056" s="165"/>
      <c r="P1056" s="165"/>
      <c r="Q1056" s="165"/>
      <c r="R1056" s="179"/>
    </row>
    <row r="1057" spans="1:18" x14ac:dyDescent="0.2">
      <c r="A1057" s="178" t="s">
        <v>420</v>
      </c>
      <c r="B1057" s="266"/>
      <c r="C1057" s="267"/>
      <c r="D1057" s="268"/>
      <c r="E1057" s="165"/>
      <c r="F1057" s="165"/>
      <c r="G1057" s="267"/>
      <c r="H1057" s="165"/>
      <c r="I1057" s="165"/>
      <c r="J1057" s="165"/>
      <c r="K1057" s="165"/>
      <c r="L1057" s="165"/>
      <c r="M1057" s="165"/>
      <c r="N1057" s="165"/>
      <c r="O1057" s="165"/>
      <c r="P1057" s="165"/>
      <c r="Q1057" s="165"/>
      <c r="R1057" s="179"/>
    </row>
    <row r="1058" spans="1:18" x14ac:dyDescent="0.2">
      <c r="A1058" s="178" t="s">
        <v>421</v>
      </c>
      <c r="B1058" s="165"/>
      <c r="C1058" s="165"/>
      <c r="D1058" s="165"/>
      <c r="E1058" s="165"/>
      <c r="F1058" s="165"/>
      <c r="G1058" s="267"/>
      <c r="H1058" s="165"/>
      <c r="I1058" s="165"/>
      <c r="J1058" s="165"/>
      <c r="K1058" s="165"/>
      <c r="L1058" s="165"/>
      <c r="M1058" s="165"/>
      <c r="N1058" s="165"/>
      <c r="O1058" s="165"/>
      <c r="P1058" s="165"/>
      <c r="Q1058" s="165"/>
      <c r="R1058" s="179"/>
    </row>
    <row r="1059" spans="1:18" x14ac:dyDescent="0.2">
      <c r="A1059" s="178" t="s">
        <v>422</v>
      </c>
      <c r="B1059" s="165"/>
      <c r="C1059" s="165"/>
      <c r="D1059" s="165"/>
      <c r="E1059" s="165"/>
      <c r="F1059" s="165"/>
      <c r="G1059" s="267"/>
      <c r="H1059" s="165"/>
      <c r="I1059" s="165"/>
      <c r="J1059" s="165"/>
      <c r="K1059" s="165"/>
      <c r="L1059" s="165"/>
      <c r="M1059" s="165"/>
      <c r="N1059" s="165"/>
      <c r="O1059" s="165"/>
      <c r="P1059" s="165"/>
      <c r="Q1059" s="165"/>
      <c r="R1059" s="179"/>
    </row>
    <row r="1060" spans="1:18" x14ac:dyDescent="0.2">
      <c r="A1060" s="178" t="s">
        <v>423</v>
      </c>
      <c r="B1060" s="165"/>
      <c r="C1060" s="165"/>
      <c r="D1060" s="165"/>
      <c r="E1060" s="165"/>
      <c r="F1060" s="165"/>
      <c r="G1060" s="267"/>
      <c r="H1060" s="165"/>
      <c r="I1060" s="165"/>
      <c r="J1060" s="165"/>
      <c r="K1060" s="165"/>
      <c r="L1060" s="165"/>
      <c r="M1060" s="165"/>
      <c r="N1060" s="165"/>
      <c r="O1060" s="165"/>
      <c r="P1060" s="165"/>
      <c r="Q1060" s="165"/>
      <c r="R1060" s="179"/>
    </row>
    <row r="1061" spans="1:18" x14ac:dyDescent="0.2">
      <c r="A1061" s="375" t="s">
        <v>424</v>
      </c>
      <c r="B1061" s="165"/>
      <c r="C1061" s="165"/>
      <c r="D1061" s="165"/>
      <c r="E1061" s="165"/>
      <c r="F1061" s="165"/>
      <c r="G1061" s="613"/>
      <c r="H1061" s="165"/>
      <c r="I1061" s="165"/>
      <c r="J1061" s="165"/>
      <c r="K1061" s="165"/>
      <c r="L1061" s="165"/>
      <c r="M1061" s="165"/>
      <c r="N1061" s="165"/>
      <c r="O1061" s="165"/>
      <c r="P1061" s="165"/>
      <c r="Q1061" s="165"/>
      <c r="R1061" s="179"/>
    </row>
    <row r="1062" spans="1:18" x14ac:dyDescent="0.2">
      <c r="A1062" s="180" t="s">
        <v>228</v>
      </c>
      <c r="B1062" s="165"/>
      <c r="C1062" s="165"/>
      <c r="D1062" s="165"/>
      <c r="E1062" s="165"/>
      <c r="F1062" s="165"/>
      <c r="G1062" s="165"/>
      <c r="H1062" s="165"/>
      <c r="I1062" s="165"/>
      <c r="J1062" s="165"/>
      <c r="K1062" s="165"/>
      <c r="L1062" s="165"/>
      <c r="M1062" s="165"/>
      <c r="N1062" s="165"/>
      <c r="O1062" s="165"/>
      <c r="P1062" s="165"/>
      <c r="Q1062" s="165"/>
      <c r="R1062" s="179"/>
    </row>
    <row r="1063" spans="1:18" x14ac:dyDescent="0.2">
      <c r="A1063" s="180" t="s">
        <v>229</v>
      </c>
      <c r="B1063" s="165"/>
      <c r="C1063" s="165"/>
      <c r="D1063" s="165"/>
      <c r="E1063" s="165"/>
      <c r="F1063" s="165"/>
      <c r="G1063" s="165"/>
      <c r="H1063" s="165"/>
      <c r="I1063" s="165"/>
      <c r="J1063" s="165"/>
      <c r="K1063" s="165"/>
      <c r="L1063" s="165"/>
      <c r="M1063" s="165"/>
      <c r="N1063" s="165"/>
      <c r="O1063" s="165"/>
      <c r="P1063" s="165"/>
      <c r="Q1063" s="165"/>
      <c r="R1063" s="179"/>
    </row>
    <row r="1064" spans="1:18" x14ac:dyDescent="0.2">
      <c r="A1064" s="180" t="s">
        <v>425</v>
      </c>
      <c r="B1064" s="165"/>
      <c r="C1064" s="165"/>
      <c r="D1064" s="165"/>
      <c r="E1064" s="165"/>
      <c r="F1064" s="165"/>
      <c r="G1064" s="165"/>
      <c r="H1064" s="165"/>
      <c r="I1064" s="165"/>
      <c r="J1064" s="165"/>
      <c r="K1064" s="165"/>
      <c r="L1064" s="165"/>
      <c r="M1064" s="165"/>
      <c r="N1064" s="165"/>
      <c r="O1064" s="165"/>
      <c r="P1064" s="165"/>
      <c r="Q1064" s="165"/>
      <c r="R1064" s="179"/>
    </row>
    <row r="1065" spans="1:18" x14ac:dyDescent="0.2">
      <c r="A1065" s="180" t="s">
        <v>641</v>
      </c>
      <c r="B1065" s="165"/>
      <c r="C1065" s="165"/>
      <c r="D1065" s="165"/>
      <c r="E1065" s="165"/>
      <c r="F1065" s="165"/>
      <c r="G1065" s="165"/>
      <c r="H1065" s="165"/>
      <c r="I1065" s="165"/>
      <c r="J1065" s="165"/>
      <c r="K1065" s="165"/>
      <c r="L1065" s="165"/>
      <c r="M1065" s="165"/>
      <c r="N1065" s="165"/>
      <c r="O1065" s="165"/>
      <c r="P1065" s="165"/>
      <c r="Q1065" s="165"/>
      <c r="R1065" s="179"/>
    </row>
    <row r="1066" spans="1:18" x14ac:dyDescent="0.2">
      <c r="A1066" s="180" t="s">
        <v>815</v>
      </c>
      <c r="B1066" s="165"/>
      <c r="C1066" s="165"/>
      <c r="D1066" s="165"/>
      <c r="E1066" s="165"/>
      <c r="F1066" s="165"/>
      <c r="G1066" s="165"/>
      <c r="H1066" s="165"/>
      <c r="I1066" s="165"/>
      <c r="J1066" s="165"/>
      <c r="K1066" s="165"/>
      <c r="L1066" s="165"/>
      <c r="M1066" s="165"/>
      <c r="N1066" s="165"/>
      <c r="O1066" s="165"/>
      <c r="P1066" s="165"/>
      <c r="Q1066" s="165"/>
      <c r="R1066" s="179"/>
    </row>
    <row r="1067" spans="1:18" x14ac:dyDescent="0.2">
      <c r="A1067" s="660" t="s">
        <v>1056</v>
      </c>
      <c r="B1067" s="165"/>
      <c r="C1067" s="165"/>
      <c r="D1067" s="165"/>
      <c r="E1067" s="165"/>
      <c r="F1067" s="165"/>
      <c r="G1067" s="165"/>
      <c r="H1067" s="165"/>
      <c r="I1067" s="165"/>
      <c r="J1067" s="165"/>
      <c r="K1067" s="165"/>
      <c r="L1067" s="165"/>
      <c r="M1067" s="165"/>
      <c r="N1067" s="165"/>
      <c r="O1067" s="165"/>
      <c r="P1067" s="165"/>
      <c r="Q1067" s="165"/>
      <c r="R1067" s="179"/>
    </row>
    <row r="1068" spans="1:18" x14ac:dyDescent="0.2">
      <c r="A1068" s="616" t="s">
        <v>1111</v>
      </c>
      <c r="B1068" s="366"/>
      <c r="C1068" s="366"/>
      <c r="D1068" s="366"/>
      <c r="E1068" s="366"/>
      <c r="F1068" s="366"/>
      <c r="G1068" s="366"/>
      <c r="H1068" s="366"/>
      <c r="I1068" s="366"/>
      <c r="J1068" s="366"/>
      <c r="K1068" s="366"/>
      <c r="L1068" s="366"/>
      <c r="M1068" s="366"/>
      <c r="N1068" s="366"/>
      <c r="O1068" s="366"/>
      <c r="P1068" s="366"/>
      <c r="Q1068" s="366"/>
      <c r="R1068" s="367"/>
    </row>
    <row r="1069" spans="1:18" x14ac:dyDescent="0.2">
      <c r="A1069" s="133"/>
      <c r="C1069" s="441"/>
    </row>
    <row r="1070" spans="1:18" x14ac:dyDescent="0.2">
      <c r="A1070" s="171" t="s">
        <v>14</v>
      </c>
      <c r="B1070" s="172" t="s">
        <v>643</v>
      </c>
      <c r="C1070" s="445" t="s">
        <v>15</v>
      </c>
      <c r="D1070" s="165"/>
      <c r="E1070" s="165"/>
      <c r="F1070" s="165"/>
      <c r="G1070" s="165"/>
      <c r="H1070" s="165"/>
      <c r="I1070" s="165"/>
      <c r="J1070" s="165"/>
      <c r="K1070" s="165"/>
      <c r="L1070" s="165"/>
      <c r="M1070" s="165"/>
    </row>
    <row r="1071" spans="1:18" s="294" customFormat="1" ht="15" x14ac:dyDescent="0.25">
      <c r="A1071" s="173" t="s">
        <v>16</v>
      </c>
      <c r="B1071" s="174">
        <v>2009</v>
      </c>
      <c r="C1071" s="174">
        <v>2010</v>
      </c>
      <c r="D1071" s="174">
        <v>2011</v>
      </c>
      <c r="E1071" s="174">
        <v>2012</v>
      </c>
      <c r="F1071" s="174">
        <v>2013</v>
      </c>
      <c r="G1071" s="174">
        <v>2014</v>
      </c>
      <c r="H1071" s="174">
        <v>2015</v>
      </c>
      <c r="I1071" s="174">
        <v>2016</v>
      </c>
      <c r="J1071" s="174">
        <v>2017</v>
      </c>
      <c r="K1071" s="174">
        <v>2018</v>
      </c>
      <c r="L1071" s="174">
        <v>2019</v>
      </c>
      <c r="M1071" s="174">
        <v>2020</v>
      </c>
      <c r="N1071" s="174">
        <v>2021</v>
      </c>
      <c r="O1071" s="174">
        <v>2022</v>
      </c>
      <c r="P1071" s="174">
        <v>2023</v>
      </c>
      <c r="Q1071" s="594">
        <v>2024</v>
      </c>
    </row>
    <row r="1072" spans="1:18" s="294" customFormat="1" ht="15" x14ac:dyDescent="0.25">
      <c r="A1072" s="173" t="s">
        <v>17</v>
      </c>
      <c r="B1072" s="175">
        <v>1871.44</v>
      </c>
      <c r="C1072" s="175">
        <v>1148.05</v>
      </c>
      <c r="D1072" s="175">
        <v>1097.03</v>
      </c>
      <c r="E1072" s="175">
        <v>1097.03</v>
      </c>
      <c r="F1072" s="175">
        <v>1139.55</v>
      </c>
      <c r="G1072" s="175">
        <v>1139.55</v>
      </c>
      <c r="H1072" s="175">
        <v>1345.44</v>
      </c>
      <c r="I1072" s="175">
        <v>1608.21</v>
      </c>
      <c r="J1072" s="175">
        <v>1930.88</v>
      </c>
      <c r="K1072" s="175">
        <v>2279</v>
      </c>
      <c r="L1072" s="175">
        <v>2544</v>
      </c>
      <c r="M1072" s="175">
        <v>2819</v>
      </c>
      <c r="N1072" s="24">
        <v>2819</v>
      </c>
      <c r="O1072" s="24">
        <v>2819</v>
      </c>
      <c r="P1072" s="24">
        <v>3114</v>
      </c>
      <c r="Q1072" s="607">
        <v>3114</v>
      </c>
    </row>
    <row r="1073" spans="1:17" s="294" customFormat="1" ht="15" x14ac:dyDescent="0.25">
      <c r="A1073" s="173" t="s">
        <v>18</v>
      </c>
      <c r="B1073" s="175">
        <v>1871.44</v>
      </c>
      <c r="C1073" s="175">
        <v>1148.05</v>
      </c>
      <c r="D1073" s="175">
        <v>1097.03</v>
      </c>
      <c r="E1073" s="175">
        <v>1097.03</v>
      </c>
      <c r="F1073" s="175">
        <v>1139.55</v>
      </c>
      <c r="G1073" s="175">
        <v>1139.55</v>
      </c>
      <c r="H1073" s="175">
        <v>1390.44</v>
      </c>
      <c r="I1073" s="175">
        <v>1583.21</v>
      </c>
      <c r="J1073" s="175">
        <v>1910.88</v>
      </c>
      <c r="K1073" s="175">
        <v>2279</v>
      </c>
      <c r="L1073" s="175">
        <v>2544</v>
      </c>
      <c r="M1073" s="175">
        <v>2839.27</v>
      </c>
      <c r="N1073" s="24">
        <f>N1072+M1076</f>
        <v>2876.6439600000003</v>
      </c>
      <c r="O1073" s="24">
        <f>O1072+N1076</f>
        <v>2915.6539600000006</v>
      </c>
      <c r="P1073" s="24">
        <f>P1072+O1076</f>
        <v>3158.3939600000003</v>
      </c>
      <c r="Q1073" s="607">
        <f>Q1072+P1076</f>
        <v>3184.4039600000006</v>
      </c>
    </row>
    <row r="1074" spans="1:17" s="294" customFormat="1" ht="15" x14ac:dyDescent="0.25">
      <c r="A1074" s="173" t="s">
        <v>19</v>
      </c>
      <c r="B1074" s="24"/>
      <c r="C1074" s="24"/>
      <c r="D1074" s="24"/>
      <c r="E1074" s="24"/>
      <c r="F1074" s="24"/>
      <c r="G1074" s="24"/>
      <c r="H1074" s="24"/>
      <c r="I1074" s="24"/>
      <c r="J1074" s="24"/>
      <c r="K1074" s="24"/>
      <c r="L1074" s="24"/>
      <c r="M1074" s="24"/>
      <c r="N1074" s="24"/>
      <c r="O1074" s="24"/>
      <c r="P1074" s="24"/>
      <c r="Q1074" s="607"/>
    </row>
    <row r="1075" spans="1:17" s="294" customFormat="1" ht="15" x14ac:dyDescent="0.25">
      <c r="A1075" s="173" t="s">
        <v>20</v>
      </c>
      <c r="B1075" s="175">
        <v>1858.2</v>
      </c>
      <c r="C1075" s="24">
        <v>1139.2777599999999</v>
      </c>
      <c r="D1075" s="24">
        <v>1088.8235599999998</v>
      </c>
      <c r="E1075" s="24">
        <v>1092.5993599999999</v>
      </c>
      <c r="F1075" s="24">
        <v>1128.97</v>
      </c>
      <c r="G1075" s="24">
        <v>1134.47</v>
      </c>
      <c r="H1075" s="24">
        <v>1385.92</v>
      </c>
      <c r="I1075" s="24">
        <v>1578.37</v>
      </c>
      <c r="J1075" s="24">
        <v>1910.65104</v>
      </c>
      <c r="K1075" s="24">
        <v>2269.7609000000002</v>
      </c>
      <c r="L1075" s="24">
        <v>2523.73</v>
      </c>
      <c r="M1075" s="24">
        <v>2781.6260399999996</v>
      </c>
      <c r="N1075" s="24">
        <v>2779.99</v>
      </c>
      <c r="O1075" s="24">
        <v>2871.26</v>
      </c>
      <c r="P1075" s="24">
        <v>3087.99</v>
      </c>
      <c r="Q1075" s="607"/>
    </row>
    <row r="1076" spans="1:17" s="294" customFormat="1" ht="15" x14ac:dyDescent="0.25">
      <c r="A1076" s="173" t="s">
        <v>21</v>
      </c>
      <c r="B1076" s="24">
        <v>13.240000000000009</v>
      </c>
      <c r="C1076" s="24">
        <v>8.7722400000000107</v>
      </c>
      <c r="D1076" s="24">
        <v>8.2064400000001569</v>
      </c>
      <c r="E1076" s="24">
        <v>4.4306400000000394</v>
      </c>
      <c r="F1076" s="24">
        <v>10.579999999999927</v>
      </c>
      <c r="G1076" s="24">
        <v>5.0799999999999272</v>
      </c>
      <c r="H1076" s="24">
        <v>4.5199999999999818</v>
      </c>
      <c r="I1076" s="24">
        <v>4.8400000000001455</v>
      </c>
      <c r="J1076" s="24">
        <v>0.22896000000014283</v>
      </c>
      <c r="K1076" s="24">
        <v>9.2390999999997803</v>
      </c>
      <c r="L1076" s="24">
        <v>20.269999999999982</v>
      </c>
      <c r="M1076" s="24">
        <v>57.643960000000334</v>
      </c>
      <c r="N1076" s="24">
        <f>N1073-N1075</f>
        <v>96.653960000000552</v>
      </c>
      <c r="O1076" s="24">
        <f>O1073-O1075</f>
        <v>44.393960000000334</v>
      </c>
      <c r="P1076" s="24">
        <f>P1073-P1075</f>
        <v>70.403960000000552</v>
      </c>
      <c r="Q1076" s="607"/>
    </row>
    <row r="1077" spans="1:17" s="294" customFormat="1" ht="15" x14ac:dyDescent="0.25">
      <c r="A1077" s="176" t="s">
        <v>22</v>
      </c>
      <c r="B1077" s="177"/>
      <c r="C1077" s="177"/>
      <c r="D1077" s="177"/>
      <c r="E1077" s="177"/>
      <c r="F1077" s="177"/>
      <c r="G1077" s="177"/>
      <c r="H1077" s="177"/>
      <c r="I1077" s="177"/>
      <c r="J1077" s="177"/>
      <c r="K1077" s="177"/>
      <c r="L1077" s="617">
        <v>2020</v>
      </c>
      <c r="M1077" s="617">
        <v>2021</v>
      </c>
      <c r="N1077" s="617">
        <v>2022</v>
      </c>
      <c r="O1077" s="617">
        <v>2023</v>
      </c>
      <c r="P1077" s="617">
        <v>2024</v>
      </c>
      <c r="Q1077" s="617">
        <v>2025</v>
      </c>
    </row>
    <row r="1078" spans="1:17" s="294" customFormat="1" ht="15" x14ac:dyDescent="0.25">
      <c r="A1078" s="176" t="s">
        <v>179</v>
      </c>
      <c r="B1078" s="264"/>
      <c r="C1078" s="264"/>
      <c r="D1078" s="264"/>
      <c r="E1078" s="264"/>
      <c r="F1078" s="264"/>
      <c r="G1078" s="264"/>
      <c r="H1078" s="264"/>
      <c r="I1078" s="264"/>
      <c r="J1078" s="264"/>
      <c r="K1078" s="264"/>
      <c r="L1078" s="264"/>
      <c r="M1078" s="264"/>
      <c r="N1078" s="264"/>
      <c r="O1078" s="265"/>
      <c r="P1078" s="265"/>
      <c r="Q1078" s="609"/>
    </row>
    <row r="1079" spans="1:17" s="294" customFormat="1" ht="15" x14ac:dyDescent="0.25">
      <c r="A1079" s="176" t="s">
        <v>192</v>
      </c>
      <c r="B1079" s="264"/>
      <c r="C1079" s="264"/>
      <c r="D1079" s="264"/>
      <c r="E1079" s="264"/>
      <c r="F1079" s="264"/>
      <c r="G1079" s="264"/>
      <c r="H1079" s="264"/>
      <c r="I1079" s="264"/>
      <c r="J1079" s="264"/>
      <c r="K1079" s="264"/>
      <c r="L1079" s="264"/>
      <c r="M1079" s="264"/>
      <c r="N1079" s="264"/>
      <c r="O1079" s="264"/>
      <c r="P1079" s="264"/>
      <c r="Q1079" s="609"/>
    </row>
    <row r="1080" spans="1:17" s="294" customFormat="1" ht="15" x14ac:dyDescent="0.25">
      <c r="A1080" s="178" t="s">
        <v>193</v>
      </c>
      <c r="B1080" s="165"/>
      <c r="C1080" s="165"/>
      <c r="D1080" s="165"/>
      <c r="E1080" s="165"/>
      <c r="F1080" s="165"/>
      <c r="G1080" s="165"/>
      <c r="H1080" s="165"/>
      <c r="I1080" s="165"/>
      <c r="J1080" s="165"/>
      <c r="K1080" s="165"/>
      <c r="L1080" s="165"/>
      <c r="M1080" s="165"/>
      <c r="N1080" s="165"/>
      <c r="O1080" s="165"/>
      <c r="P1080" s="165"/>
      <c r="Q1080" s="610"/>
    </row>
    <row r="1081" spans="1:17" s="294" customFormat="1" ht="15" x14ac:dyDescent="0.25">
      <c r="A1081" s="178" t="s">
        <v>194</v>
      </c>
      <c r="B1081" s="165"/>
      <c r="C1081" s="165"/>
      <c r="D1081" s="165"/>
      <c r="E1081" s="165"/>
      <c r="F1081" s="165"/>
      <c r="G1081" s="165"/>
      <c r="H1081" s="165"/>
      <c r="I1081" s="165"/>
      <c r="J1081" s="165"/>
      <c r="K1081" s="165"/>
      <c r="L1081" s="165"/>
      <c r="M1081" s="165"/>
      <c r="N1081" s="165"/>
      <c r="O1081" s="165"/>
      <c r="P1081" s="165"/>
      <c r="Q1081" s="610"/>
    </row>
    <row r="1082" spans="1:17" s="294" customFormat="1" ht="15" x14ac:dyDescent="0.25">
      <c r="A1082" s="178" t="s">
        <v>195</v>
      </c>
      <c r="B1082" s="165"/>
      <c r="C1082" s="165"/>
      <c r="D1082" s="165"/>
      <c r="E1082" s="165"/>
      <c r="F1082" s="165"/>
      <c r="G1082" s="165"/>
      <c r="H1082" s="165"/>
      <c r="I1082" s="165"/>
      <c r="J1082" s="165"/>
      <c r="K1082" s="165"/>
      <c r="L1082" s="165"/>
      <c r="M1082" s="165"/>
      <c r="N1082" s="165"/>
      <c r="O1082" s="165"/>
      <c r="P1082" s="165"/>
      <c r="Q1082" s="610"/>
    </row>
    <row r="1083" spans="1:17" s="294" customFormat="1" ht="15" x14ac:dyDescent="0.25">
      <c r="A1083" s="180" t="s">
        <v>230</v>
      </c>
      <c r="B1083" s="266"/>
      <c r="C1083" s="267"/>
      <c r="D1083" s="268"/>
      <c r="E1083" s="165"/>
      <c r="F1083" s="165"/>
      <c r="G1083" s="267"/>
      <c r="H1083" s="165"/>
      <c r="I1083" s="165"/>
      <c r="J1083" s="165"/>
      <c r="K1083" s="165"/>
      <c r="L1083" s="165"/>
      <c r="M1083" s="165"/>
      <c r="N1083" s="165"/>
      <c r="O1083" s="165"/>
      <c r="P1083" s="165"/>
      <c r="Q1083" s="610"/>
    </row>
    <row r="1084" spans="1:17" s="294" customFormat="1" ht="15" x14ac:dyDescent="0.25">
      <c r="A1084" s="180" t="s">
        <v>272</v>
      </c>
      <c r="B1084" s="266"/>
      <c r="C1084" s="267"/>
      <c r="D1084" s="268"/>
      <c r="E1084" s="165"/>
      <c r="F1084" s="165"/>
      <c r="G1084" s="267"/>
      <c r="H1084" s="165"/>
      <c r="I1084" s="165"/>
      <c r="J1084" s="165"/>
      <c r="K1084" s="165"/>
      <c r="L1084" s="165"/>
      <c r="M1084" s="165"/>
      <c r="N1084" s="165"/>
      <c r="O1084" s="165"/>
      <c r="P1084" s="165"/>
      <c r="Q1084" s="610"/>
    </row>
    <row r="1085" spans="1:17" s="294" customFormat="1" ht="15" x14ac:dyDescent="0.25">
      <c r="A1085" s="180" t="s">
        <v>461</v>
      </c>
      <c r="B1085" s="266"/>
      <c r="C1085" s="267"/>
      <c r="D1085" s="268"/>
      <c r="E1085" s="165"/>
      <c r="F1085" s="165"/>
      <c r="G1085" s="267"/>
      <c r="H1085" s="165"/>
      <c r="I1085" s="165"/>
      <c r="J1085" s="165"/>
      <c r="K1085" s="165"/>
      <c r="L1085" s="165"/>
      <c r="M1085" s="165"/>
      <c r="N1085" s="165"/>
      <c r="O1085" s="165"/>
      <c r="P1085" s="165"/>
      <c r="Q1085" s="610"/>
    </row>
    <row r="1086" spans="1:17" s="294" customFormat="1" ht="15" x14ac:dyDescent="0.25">
      <c r="A1086" s="180" t="s">
        <v>644</v>
      </c>
      <c r="B1086" s="266"/>
      <c r="C1086" s="267"/>
      <c r="D1086" s="268"/>
      <c r="E1086" s="165"/>
      <c r="F1086" s="165"/>
      <c r="G1086" s="267"/>
      <c r="H1086" s="165"/>
      <c r="I1086" s="165"/>
      <c r="J1086" s="165"/>
      <c r="K1086" s="165"/>
      <c r="L1086" s="165"/>
      <c r="M1086" s="165"/>
      <c r="N1086" s="165"/>
      <c r="O1086" s="165"/>
      <c r="P1086" s="165"/>
      <c r="Q1086" s="610"/>
    </row>
    <row r="1087" spans="1:17" s="294" customFormat="1" ht="15" x14ac:dyDescent="0.25">
      <c r="A1087" s="180" t="s">
        <v>231</v>
      </c>
      <c r="B1087" s="266"/>
      <c r="C1087" s="267"/>
      <c r="D1087" s="268"/>
      <c r="E1087" s="165"/>
      <c r="F1087" s="165"/>
      <c r="G1087" s="267"/>
      <c r="H1087" s="165"/>
      <c r="I1087" s="165"/>
      <c r="J1087" s="165"/>
      <c r="K1087" s="165"/>
      <c r="L1087" s="165"/>
      <c r="M1087" s="165"/>
      <c r="N1087" s="165"/>
      <c r="O1087" s="165"/>
      <c r="P1087" s="165"/>
      <c r="Q1087" s="610"/>
    </row>
    <row r="1088" spans="1:17" s="294" customFormat="1" ht="15" x14ac:dyDescent="0.25">
      <c r="A1088" s="180" t="s">
        <v>273</v>
      </c>
      <c r="B1088" s="266"/>
      <c r="C1088" s="267"/>
      <c r="D1088" s="268"/>
      <c r="E1088" s="165"/>
      <c r="F1088" s="165"/>
      <c r="G1088" s="267"/>
      <c r="H1088" s="165"/>
      <c r="I1088" s="165"/>
      <c r="J1088" s="165"/>
      <c r="K1088" s="165"/>
      <c r="L1088" s="165"/>
      <c r="M1088" s="165"/>
      <c r="N1088" s="165"/>
      <c r="O1088" s="165"/>
      <c r="P1088" s="165"/>
      <c r="Q1088" s="610"/>
    </row>
    <row r="1089" spans="1:17" s="294" customFormat="1" ht="15" x14ac:dyDescent="0.25">
      <c r="A1089" s="180" t="s">
        <v>462</v>
      </c>
      <c r="B1089" s="266"/>
      <c r="C1089" s="267"/>
      <c r="D1089" s="268"/>
      <c r="E1089" s="165"/>
      <c r="F1089" s="165"/>
      <c r="G1089" s="267"/>
      <c r="H1089" s="165"/>
      <c r="I1089" s="165"/>
      <c r="J1089" s="165"/>
      <c r="K1089" s="165"/>
      <c r="L1089" s="165"/>
      <c r="M1089" s="165"/>
      <c r="N1089" s="165"/>
      <c r="O1089" s="165"/>
      <c r="P1089" s="165"/>
      <c r="Q1089" s="610"/>
    </row>
    <row r="1090" spans="1:17" s="294" customFormat="1" ht="15" x14ac:dyDescent="0.25">
      <c r="A1090" s="180" t="s">
        <v>645</v>
      </c>
      <c r="B1090" s="266"/>
      <c r="C1090" s="267"/>
      <c r="D1090" s="268"/>
      <c r="E1090" s="165"/>
      <c r="F1090" s="165"/>
      <c r="G1090" s="267"/>
      <c r="H1090" s="165"/>
      <c r="I1090" s="165"/>
      <c r="J1090" s="165"/>
      <c r="K1090" s="165"/>
      <c r="L1090" s="165"/>
      <c r="M1090" s="165"/>
      <c r="N1090" s="165"/>
      <c r="O1090" s="165"/>
      <c r="P1090" s="165"/>
      <c r="Q1090" s="610"/>
    </row>
    <row r="1091" spans="1:17" s="294" customFormat="1" ht="15" x14ac:dyDescent="0.25">
      <c r="A1091" s="180" t="s">
        <v>816</v>
      </c>
      <c r="B1091" s="266"/>
      <c r="C1091" s="267"/>
      <c r="D1091" s="268"/>
      <c r="E1091" s="165"/>
      <c r="F1091" s="165"/>
      <c r="G1091" s="267"/>
      <c r="H1091" s="165"/>
      <c r="I1091" s="165"/>
      <c r="J1091" s="165"/>
      <c r="K1091" s="165"/>
      <c r="L1091" s="165"/>
      <c r="M1091" s="165"/>
      <c r="N1091" s="165"/>
      <c r="O1091" s="165"/>
      <c r="P1091" s="165"/>
      <c r="Q1091" s="610"/>
    </row>
    <row r="1092" spans="1:17" s="294" customFormat="1" ht="15" x14ac:dyDescent="0.25">
      <c r="A1092" s="616" t="s">
        <v>1112</v>
      </c>
      <c r="B1092" s="366"/>
      <c r="C1092" s="366"/>
      <c r="D1092" s="366"/>
      <c r="E1092" s="366"/>
      <c r="F1092" s="366"/>
      <c r="G1092" s="377"/>
      <c r="H1092" s="366"/>
      <c r="I1092" s="366"/>
      <c r="J1092" s="366"/>
      <c r="K1092" s="366"/>
      <c r="L1092" s="366"/>
      <c r="M1092" s="366"/>
      <c r="N1092" s="366"/>
      <c r="O1092" s="366"/>
      <c r="P1092" s="366"/>
      <c r="Q1092" s="611"/>
    </row>
    <row r="1093" spans="1:17" x14ac:dyDescent="0.2">
      <c r="A1093" s="133"/>
      <c r="C1093" s="441"/>
    </row>
    <row r="1094" spans="1:17" x14ac:dyDescent="0.2">
      <c r="A1094" s="378" t="s">
        <v>14</v>
      </c>
      <c r="B1094" s="172" t="s">
        <v>646</v>
      </c>
      <c r="C1094" s="445" t="s">
        <v>15</v>
      </c>
      <c r="D1094" s="165"/>
      <c r="E1094" s="165"/>
      <c r="F1094" s="165"/>
      <c r="G1094" s="165"/>
      <c r="H1094" s="165"/>
      <c r="I1094" s="165"/>
      <c r="J1094" s="165"/>
      <c r="K1094" s="165"/>
      <c r="L1094" s="165"/>
      <c r="M1094" s="165"/>
    </row>
    <row r="1095" spans="1:17" x14ac:dyDescent="0.2">
      <c r="A1095" s="365" t="s">
        <v>16</v>
      </c>
      <c r="B1095" s="379">
        <v>2009</v>
      </c>
      <c r="C1095" s="380">
        <v>2010</v>
      </c>
      <c r="D1095" s="380">
        <v>2011</v>
      </c>
      <c r="E1095" s="380">
        <v>2012</v>
      </c>
      <c r="F1095" s="380">
        <v>2013</v>
      </c>
      <c r="G1095" s="380">
        <v>2014</v>
      </c>
      <c r="H1095" s="379">
        <v>2015</v>
      </c>
      <c r="I1095" s="379">
        <v>2016</v>
      </c>
      <c r="J1095" s="379">
        <v>2017</v>
      </c>
      <c r="K1095" s="379">
        <v>2018</v>
      </c>
      <c r="L1095" s="379">
        <v>2019</v>
      </c>
      <c r="M1095" s="379">
        <v>2020</v>
      </c>
      <c r="N1095" s="379">
        <v>2021</v>
      </c>
      <c r="O1095" s="379">
        <v>2022</v>
      </c>
      <c r="P1095" s="379">
        <v>2023</v>
      </c>
      <c r="Q1095" s="618">
        <v>2024</v>
      </c>
    </row>
    <row r="1096" spans="1:17" x14ac:dyDescent="0.2">
      <c r="A1096" s="358" t="s">
        <v>17</v>
      </c>
      <c r="B1096" s="360">
        <v>329.79</v>
      </c>
      <c r="C1096" s="24">
        <v>311.02</v>
      </c>
      <c r="D1096" s="24">
        <v>301.64</v>
      </c>
      <c r="E1096" s="24">
        <v>301.64</v>
      </c>
      <c r="F1096" s="24">
        <v>301.64</v>
      </c>
      <c r="G1096" s="24">
        <v>301.64</v>
      </c>
      <c r="H1096" s="24">
        <v>345.74</v>
      </c>
      <c r="I1096" s="24">
        <v>345.74</v>
      </c>
      <c r="J1096" s="175">
        <v>345.74</v>
      </c>
      <c r="K1096" s="175">
        <v>407.48</v>
      </c>
      <c r="L1096" s="175">
        <v>407.48</v>
      </c>
      <c r="M1096" s="381">
        <v>407.48</v>
      </c>
      <c r="N1096" s="382">
        <v>407.48</v>
      </c>
      <c r="O1096" s="382">
        <v>664.52</v>
      </c>
      <c r="P1096" s="382">
        <v>664.52</v>
      </c>
      <c r="Q1096" s="619">
        <v>664.52</v>
      </c>
    </row>
    <row r="1097" spans="1:17" x14ac:dyDescent="0.2">
      <c r="A1097" s="173" t="s">
        <v>18</v>
      </c>
      <c r="B1097" s="360">
        <v>402.56000000000006</v>
      </c>
      <c r="C1097" s="24">
        <v>431.91</v>
      </c>
      <c r="D1097" s="24">
        <v>308.37</v>
      </c>
      <c r="E1097" s="24">
        <v>306.06</v>
      </c>
      <c r="F1097" s="24">
        <v>304.12</v>
      </c>
      <c r="G1097" s="24">
        <v>303.5</v>
      </c>
      <c r="H1097" s="24">
        <v>346.61</v>
      </c>
      <c r="I1097" s="24">
        <v>346.83000000000004</v>
      </c>
      <c r="J1097" s="175">
        <v>347.08035600000011</v>
      </c>
      <c r="K1097" s="175">
        <v>408.73035600000014</v>
      </c>
      <c r="L1097" s="175">
        <v>409.20815600000014</v>
      </c>
      <c r="M1097" s="381">
        <v>410.39696779704036</v>
      </c>
      <c r="N1097" s="382">
        <v>410.3</v>
      </c>
      <c r="O1097" s="382">
        <f>O1096+N1100</f>
        <v>665.25</v>
      </c>
      <c r="P1097" s="382">
        <f>P1096+O1100</f>
        <v>671.97</v>
      </c>
      <c r="Q1097" s="619">
        <f>Q1096+P1100</f>
        <v>711.8</v>
      </c>
    </row>
    <row r="1098" spans="1:17" x14ac:dyDescent="0.2">
      <c r="A1098" s="173" t="s">
        <v>19</v>
      </c>
      <c r="B1098" s="360"/>
      <c r="C1098" s="24"/>
      <c r="D1098" s="24"/>
      <c r="E1098" s="24"/>
      <c r="F1098" s="24"/>
      <c r="G1098" s="24"/>
      <c r="H1098" s="24"/>
      <c r="I1098" s="24"/>
      <c r="J1098" s="24"/>
      <c r="K1098" s="24"/>
      <c r="L1098" s="24"/>
      <c r="M1098" s="382"/>
      <c r="N1098" s="382"/>
      <c r="O1098" s="382"/>
      <c r="P1098" s="382"/>
      <c r="Q1098" s="619"/>
    </row>
    <row r="1099" spans="1:17" x14ac:dyDescent="0.2">
      <c r="A1099" s="173" t="s">
        <v>20</v>
      </c>
      <c r="B1099" s="360">
        <v>281.67</v>
      </c>
      <c r="C1099" s="24">
        <v>425.18</v>
      </c>
      <c r="D1099" s="24">
        <v>303.95</v>
      </c>
      <c r="E1099" s="24">
        <v>303.58</v>
      </c>
      <c r="F1099" s="24">
        <v>302.26</v>
      </c>
      <c r="G1099" s="24">
        <v>302.63</v>
      </c>
      <c r="H1099" s="24">
        <v>345.52</v>
      </c>
      <c r="I1099" s="24">
        <v>345.48964399999994</v>
      </c>
      <c r="J1099" s="24">
        <v>345.83</v>
      </c>
      <c r="K1099" s="24">
        <v>407.00220000000002</v>
      </c>
      <c r="L1099" s="24">
        <v>406.2911882029598</v>
      </c>
      <c r="M1099" s="382">
        <v>407.58140000000009</v>
      </c>
      <c r="N1099" s="382">
        <v>409.57</v>
      </c>
      <c r="O1099" s="382">
        <v>657.8</v>
      </c>
      <c r="P1099" s="619">
        <v>624.67999999999995</v>
      </c>
      <c r="Q1099" s="619"/>
    </row>
    <row r="1100" spans="1:17" x14ac:dyDescent="0.2">
      <c r="A1100" s="173" t="s">
        <v>21</v>
      </c>
      <c r="B1100" s="360">
        <v>120.89000000000004</v>
      </c>
      <c r="C1100" s="24">
        <v>6.7300000000000182</v>
      </c>
      <c r="D1100" s="24">
        <v>4.4200000000000159</v>
      </c>
      <c r="E1100" s="24">
        <v>2.4800000000000182</v>
      </c>
      <c r="F1100" s="24">
        <v>1.8600000000000136</v>
      </c>
      <c r="G1100" s="24">
        <v>0.87000000000000455</v>
      </c>
      <c r="H1100" s="24">
        <v>1.0900000000000318</v>
      </c>
      <c r="I1100" s="24">
        <v>1.3403560000000994</v>
      </c>
      <c r="J1100" s="24">
        <v>1.2503560000001244</v>
      </c>
      <c r="K1100" s="24">
        <v>1.7281560000001264</v>
      </c>
      <c r="L1100" s="24">
        <v>2.9169677970403427</v>
      </c>
      <c r="M1100" s="382">
        <v>2.8155677970402735</v>
      </c>
      <c r="N1100" s="382">
        <f>N1097-N1099</f>
        <v>0.73000000000001819</v>
      </c>
      <c r="O1100" s="382">
        <f>O1097-O1099</f>
        <v>7.4500000000000455</v>
      </c>
      <c r="P1100" s="619">
        <v>47.28</v>
      </c>
      <c r="Q1100" s="619"/>
    </row>
    <row r="1101" spans="1:17" x14ac:dyDescent="0.2">
      <c r="A1101" s="176" t="s">
        <v>22</v>
      </c>
      <c r="B1101" s="177"/>
      <c r="C1101" s="177"/>
      <c r="D1101" s="177"/>
      <c r="E1101" s="177"/>
      <c r="F1101" s="177"/>
      <c r="G1101" s="177"/>
      <c r="H1101" s="177"/>
      <c r="I1101" s="177"/>
      <c r="J1101" s="177"/>
      <c r="K1101" s="617">
        <v>2019</v>
      </c>
      <c r="L1101" s="617">
        <v>2020</v>
      </c>
      <c r="M1101" s="617">
        <v>2021</v>
      </c>
      <c r="N1101" s="617">
        <v>2022</v>
      </c>
      <c r="O1101" s="617">
        <v>2023</v>
      </c>
      <c r="P1101" s="617">
        <v>2024</v>
      </c>
      <c r="Q1101" s="617">
        <v>2025</v>
      </c>
    </row>
    <row r="1102" spans="1:17" x14ac:dyDescent="0.2">
      <c r="A1102" s="176" t="s">
        <v>179</v>
      </c>
      <c r="B1102" s="264"/>
      <c r="C1102" s="264"/>
      <c r="D1102" s="264"/>
      <c r="E1102" s="264"/>
      <c r="F1102" s="264"/>
      <c r="G1102" s="264"/>
      <c r="H1102" s="264"/>
      <c r="I1102" s="264"/>
      <c r="J1102" s="264"/>
      <c r="K1102" s="264"/>
      <c r="L1102" s="264"/>
      <c r="M1102" s="264"/>
      <c r="N1102" s="264"/>
      <c r="O1102" s="265"/>
      <c r="P1102" s="265"/>
      <c r="Q1102" s="609"/>
    </row>
    <row r="1103" spans="1:17" x14ac:dyDescent="0.2">
      <c r="A1103" s="176" t="s">
        <v>210</v>
      </c>
      <c r="B1103" s="264"/>
      <c r="C1103" s="264"/>
      <c r="D1103" s="264"/>
      <c r="E1103" s="264"/>
      <c r="F1103" s="264"/>
      <c r="G1103" s="264"/>
      <c r="H1103" s="264"/>
      <c r="I1103" s="264"/>
      <c r="J1103" s="264"/>
      <c r="K1103" s="264"/>
      <c r="L1103" s="264"/>
      <c r="M1103" s="264"/>
      <c r="N1103" s="264"/>
      <c r="O1103" s="264"/>
      <c r="P1103" s="264"/>
      <c r="Q1103" s="609"/>
    </row>
    <row r="1104" spans="1:17" x14ac:dyDescent="0.2">
      <c r="A1104" s="180" t="s">
        <v>232</v>
      </c>
      <c r="B1104" s="165"/>
      <c r="C1104" s="165"/>
      <c r="D1104" s="165"/>
      <c r="E1104" s="165"/>
      <c r="F1104" s="165"/>
      <c r="G1104" s="165"/>
      <c r="H1104" s="165"/>
      <c r="I1104" s="165"/>
      <c r="J1104" s="165"/>
      <c r="K1104" s="165"/>
      <c r="L1104" s="165"/>
      <c r="M1104" s="165"/>
      <c r="N1104" s="165"/>
      <c r="O1104" s="165"/>
      <c r="P1104" s="165"/>
      <c r="Q1104" s="610"/>
    </row>
    <row r="1105" spans="1:18" x14ac:dyDescent="0.2">
      <c r="A1105" s="180" t="s">
        <v>274</v>
      </c>
      <c r="B1105" s="165"/>
      <c r="C1105" s="165"/>
      <c r="D1105" s="165"/>
      <c r="E1105" s="165"/>
      <c r="F1105" s="165"/>
      <c r="G1105" s="165"/>
      <c r="H1105" s="165"/>
      <c r="I1105" s="165"/>
      <c r="J1105" s="165"/>
      <c r="K1105" s="165"/>
      <c r="L1105" s="165"/>
      <c r="M1105" s="165"/>
      <c r="N1105" s="165"/>
      <c r="O1105" s="165"/>
      <c r="P1105" s="165"/>
      <c r="Q1105" s="610"/>
    </row>
    <row r="1106" spans="1:18" x14ac:dyDescent="0.2">
      <c r="A1106" s="180" t="s">
        <v>275</v>
      </c>
      <c r="B1106" s="165"/>
      <c r="C1106" s="165"/>
      <c r="D1106" s="165"/>
      <c r="E1106" s="165"/>
      <c r="F1106" s="165"/>
      <c r="G1106" s="165"/>
      <c r="H1106" s="165"/>
      <c r="I1106" s="165"/>
      <c r="J1106" s="165"/>
      <c r="K1106" s="165"/>
      <c r="L1106" s="165"/>
      <c r="M1106" s="165"/>
      <c r="N1106" s="165"/>
      <c r="O1106" s="165"/>
      <c r="P1106" s="165"/>
      <c r="Q1106" s="610"/>
    </row>
    <row r="1107" spans="1:18" x14ac:dyDescent="0.2">
      <c r="A1107" s="180" t="s">
        <v>276</v>
      </c>
      <c r="B1107" s="165"/>
      <c r="C1107" s="165"/>
      <c r="D1107" s="165"/>
      <c r="E1107" s="165"/>
      <c r="F1107" s="165"/>
      <c r="G1107" s="165"/>
      <c r="H1107" s="165"/>
      <c r="I1107" s="165"/>
      <c r="J1107" s="165"/>
      <c r="K1107" s="165"/>
      <c r="L1107" s="165"/>
      <c r="M1107" s="165"/>
      <c r="N1107" s="165"/>
      <c r="O1107" s="165"/>
      <c r="P1107" s="165"/>
      <c r="Q1107" s="610"/>
    </row>
    <row r="1108" spans="1:18" x14ac:dyDescent="0.2">
      <c r="A1108" s="180" t="s">
        <v>463</v>
      </c>
      <c r="B1108" s="165"/>
      <c r="C1108" s="165"/>
      <c r="D1108" s="165"/>
      <c r="E1108" s="165"/>
      <c r="F1108" s="165"/>
      <c r="G1108" s="165"/>
      <c r="H1108" s="165"/>
      <c r="I1108" s="165"/>
      <c r="J1108" s="165"/>
      <c r="K1108" s="165"/>
      <c r="L1108" s="165"/>
      <c r="M1108" s="165"/>
      <c r="N1108" s="165"/>
      <c r="O1108" s="165"/>
      <c r="P1108" s="165"/>
      <c r="Q1108" s="610"/>
    </row>
    <row r="1109" spans="1:18" x14ac:dyDescent="0.2">
      <c r="A1109" s="180" t="s">
        <v>464</v>
      </c>
      <c r="B1109" s="165"/>
      <c r="C1109" s="165"/>
      <c r="D1109" s="165"/>
      <c r="E1109" s="165"/>
      <c r="F1109" s="165"/>
      <c r="G1109" s="165"/>
      <c r="H1109" s="165"/>
      <c r="I1109" s="165"/>
      <c r="J1109" s="165"/>
      <c r="K1109" s="165"/>
      <c r="L1109" s="165"/>
      <c r="M1109" s="165"/>
      <c r="N1109" s="165"/>
      <c r="O1109" s="165"/>
      <c r="P1109" s="165"/>
      <c r="Q1109" s="610"/>
    </row>
    <row r="1110" spans="1:18" x14ac:dyDescent="0.2">
      <c r="A1110" s="180" t="s">
        <v>647</v>
      </c>
      <c r="B1110" s="165"/>
      <c r="C1110" s="165"/>
      <c r="D1110" s="165"/>
      <c r="E1110" s="165"/>
      <c r="F1110" s="165"/>
      <c r="G1110" s="165"/>
      <c r="H1110" s="165"/>
      <c r="I1110" s="165"/>
      <c r="J1110" s="165"/>
      <c r="K1110" s="165"/>
      <c r="L1110" s="165"/>
      <c r="M1110" s="165"/>
      <c r="N1110" s="165"/>
      <c r="O1110" s="165"/>
      <c r="P1110" s="165"/>
      <c r="Q1110" s="610"/>
    </row>
    <row r="1111" spans="1:18" x14ac:dyDescent="0.2">
      <c r="A1111" s="180" t="s">
        <v>817</v>
      </c>
      <c r="B1111" s="165"/>
      <c r="C1111" s="165"/>
      <c r="D1111" s="165"/>
      <c r="E1111" s="165"/>
      <c r="F1111" s="165"/>
      <c r="G1111" s="165"/>
      <c r="H1111" s="165"/>
      <c r="I1111" s="165"/>
      <c r="J1111" s="165"/>
      <c r="K1111" s="165"/>
      <c r="L1111" s="165"/>
      <c r="M1111" s="165"/>
      <c r="N1111" s="165"/>
      <c r="O1111" s="165"/>
      <c r="P1111" s="165"/>
      <c r="Q1111" s="610"/>
    </row>
    <row r="1112" spans="1:18" x14ac:dyDescent="0.2">
      <c r="A1112" s="180" t="s">
        <v>818</v>
      </c>
      <c r="B1112" s="165"/>
      <c r="C1112" s="165"/>
      <c r="D1112" s="165"/>
      <c r="E1112" s="165"/>
      <c r="F1112" s="165"/>
      <c r="G1112" s="165"/>
      <c r="H1112" s="165"/>
      <c r="I1112" s="165"/>
      <c r="J1112" s="165"/>
      <c r="K1112" s="165"/>
      <c r="L1112" s="165"/>
      <c r="M1112" s="165"/>
      <c r="N1112" s="165"/>
      <c r="O1112" s="165"/>
      <c r="P1112" s="165"/>
      <c r="Q1112" s="610"/>
    </row>
    <row r="1113" spans="1:18" x14ac:dyDescent="0.2">
      <c r="A1113" s="616" t="s">
        <v>1116</v>
      </c>
      <c r="B1113" s="366"/>
      <c r="C1113" s="366"/>
      <c r="D1113" s="366"/>
      <c r="E1113" s="366"/>
      <c r="F1113" s="366"/>
      <c r="G1113" s="366"/>
      <c r="H1113" s="366"/>
      <c r="I1113" s="366"/>
      <c r="J1113" s="366"/>
      <c r="K1113" s="366"/>
      <c r="L1113" s="366"/>
      <c r="M1113" s="366"/>
      <c r="N1113" s="366"/>
      <c r="O1113" s="366"/>
      <c r="P1113" s="366"/>
      <c r="Q1113" s="611"/>
    </row>
    <row r="1114" spans="1:18" x14ac:dyDescent="0.2">
      <c r="A1114" s="133"/>
      <c r="C1114" s="441"/>
    </row>
    <row r="1115" spans="1:18" x14ac:dyDescent="0.2">
      <c r="A1115" s="171" t="s">
        <v>14</v>
      </c>
      <c r="B1115" s="172" t="s">
        <v>66</v>
      </c>
      <c r="C1115" s="445" t="s">
        <v>15</v>
      </c>
      <c r="D1115" s="165"/>
      <c r="E1115" s="165"/>
      <c r="F1115" s="165"/>
      <c r="G1115" s="165"/>
      <c r="H1115" s="165"/>
      <c r="I1115" s="165"/>
      <c r="J1115" s="165"/>
      <c r="K1115" s="165"/>
      <c r="L1115" s="165"/>
      <c r="M1115" s="165"/>
      <c r="N1115" s="165"/>
      <c r="O1115" s="165"/>
      <c r="P1115" s="165"/>
    </row>
    <row r="1116" spans="1:18" x14ac:dyDescent="0.2">
      <c r="A1116" s="173" t="s">
        <v>16</v>
      </c>
      <c r="B1116" s="174">
        <v>2009</v>
      </c>
      <c r="C1116" s="174">
        <v>2010</v>
      </c>
      <c r="D1116" s="174">
        <v>2011</v>
      </c>
      <c r="E1116" s="174">
        <v>2012</v>
      </c>
      <c r="F1116" s="174">
        <v>2013</v>
      </c>
      <c r="G1116" s="174">
        <v>2014</v>
      </c>
      <c r="H1116" s="174">
        <v>2015</v>
      </c>
      <c r="I1116" s="174">
        <v>2016</v>
      </c>
      <c r="J1116" s="174">
        <v>2017</v>
      </c>
      <c r="K1116" s="174">
        <v>2018</v>
      </c>
      <c r="L1116" s="174">
        <v>2019</v>
      </c>
      <c r="M1116" s="174">
        <v>2020</v>
      </c>
      <c r="N1116" s="174">
        <v>2021</v>
      </c>
      <c r="O1116" s="174">
        <v>2022</v>
      </c>
      <c r="P1116" s="174">
        <v>2023</v>
      </c>
      <c r="Q1116" s="594">
        <v>2024</v>
      </c>
      <c r="R1116" s="594">
        <v>2025</v>
      </c>
    </row>
    <row r="1117" spans="1:18" x14ac:dyDescent="0.2">
      <c r="A1117" s="173" t="s">
        <v>17</v>
      </c>
      <c r="B1117" s="24">
        <v>25000</v>
      </c>
      <c r="C1117" s="24">
        <v>25000</v>
      </c>
      <c r="D1117" s="24">
        <v>23611</v>
      </c>
      <c r="E1117" s="24">
        <v>23611</v>
      </c>
      <c r="F1117" s="24">
        <v>23611</v>
      </c>
      <c r="G1117" s="24">
        <v>23611</v>
      </c>
      <c r="H1117" s="24">
        <v>23611</v>
      </c>
      <c r="I1117" s="24">
        <v>17696</v>
      </c>
      <c r="J1117" s="175">
        <v>17696</v>
      </c>
      <c r="K1117" s="175">
        <v>17696</v>
      </c>
      <c r="L1117" s="175">
        <v>17696</v>
      </c>
      <c r="M1117" s="175">
        <v>13979.84</v>
      </c>
      <c r="N1117" s="175">
        <v>13756.162560000001</v>
      </c>
      <c r="O1117" s="175">
        <v>13868.00128</v>
      </c>
      <c r="P1117" s="175">
        <v>13868.00128</v>
      </c>
      <c r="Q1117" s="621">
        <v>13868.00128</v>
      </c>
      <c r="R1117" s="621">
        <v>13868.00128</v>
      </c>
    </row>
    <row r="1118" spans="1:18" x14ac:dyDescent="0.2">
      <c r="A1118" s="173" t="s">
        <v>18</v>
      </c>
      <c r="B1118" s="24">
        <v>30500</v>
      </c>
      <c r="C1118" s="24">
        <v>29700</v>
      </c>
      <c r="D1118" s="24">
        <v>26894.3</v>
      </c>
      <c r="E1118" s="24">
        <v>27624.3</v>
      </c>
      <c r="F1118" s="24">
        <v>27624.3</v>
      </c>
      <c r="G1118" s="24">
        <v>27624.3</v>
      </c>
      <c r="H1118" s="24">
        <v>27624.3</v>
      </c>
      <c r="I1118" s="24">
        <v>20167.650000000001</v>
      </c>
      <c r="J1118" s="175">
        <v>19280.400000000001</v>
      </c>
      <c r="K1118" s="175">
        <v>15415.88</v>
      </c>
      <c r="L1118" s="175">
        <v>19280.400000000001</v>
      </c>
      <c r="M1118" s="175">
        <v>13079.84</v>
      </c>
      <c r="N1118" s="175">
        <f>N1117+0.1*L1117-600-300</f>
        <v>14625.762560000001</v>
      </c>
      <c r="O1118" s="175">
        <f>O1117+0.1*M1117-600-300</f>
        <v>14365.985280000001</v>
      </c>
      <c r="P1118" s="175">
        <f>P1117+0.1*N1117-600-300</f>
        <v>14343.617536000002</v>
      </c>
      <c r="Q1118" s="621">
        <f>Q1117+0.1*O1117-600-300</f>
        <v>14354.801408000001</v>
      </c>
      <c r="R1118" s="621">
        <f>R1117+P1121-600-300</f>
        <v>13952.018816000002</v>
      </c>
    </row>
    <row r="1119" spans="1:18" x14ac:dyDescent="0.2">
      <c r="A1119" s="173" t="s">
        <v>19</v>
      </c>
      <c r="B1119" s="24"/>
      <c r="C1119" s="24"/>
      <c r="D1119" s="24"/>
      <c r="E1119" s="24"/>
      <c r="F1119" s="24"/>
      <c r="G1119" s="24"/>
      <c r="H1119" s="24"/>
      <c r="I1119" s="24"/>
      <c r="J1119" s="24"/>
      <c r="K1119" s="24"/>
      <c r="L1119" s="24"/>
      <c r="M1119" s="24"/>
      <c r="N1119" s="24"/>
      <c r="O1119" s="24"/>
      <c r="P1119" s="24"/>
      <c r="Q1119" s="607"/>
      <c r="R1119" s="607"/>
    </row>
    <row r="1120" spans="1:18" x14ac:dyDescent="0.2">
      <c r="A1120" s="173" t="s">
        <v>20</v>
      </c>
      <c r="B1120" s="24">
        <v>13127.78969</v>
      </c>
      <c r="C1120" s="24">
        <v>12919.833529999998</v>
      </c>
      <c r="D1120" s="24">
        <v>11930</v>
      </c>
      <c r="E1120" s="24">
        <v>15971.9</v>
      </c>
      <c r="F1120" s="24">
        <v>14342</v>
      </c>
      <c r="G1120" s="24">
        <v>12595.2</v>
      </c>
      <c r="H1120" s="24">
        <v>10179.799999999999</v>
      </c>
      <c r="I1120" s="24">
        <v>11238</v>
      </c>
      <c r="J1120" s="24">
        <v>9872.2000000000007</v>
      </c>
      <c r="K1120" s="24">
        <v>9849.5910000000003</v>
      </c>
      <c r="L1120" s="24">
        <v>9933.1844890000011</v>
      </c>
      <c r="M1120" s="24">
        <v>9294.3000000000011</v>
      </c>
      <c r="N1120" s="24">
        <v>11226.4</v>
      </c>
      <c r="O1120" s="24">
        <v>12374.5</v>
      </c>
      <c r="P1120" s="607">
        <v>13359.6</v>
      </c>
      <c r="Q1120" s="607"/>
      <c r="R1120" s="607"/>
    </row>
    <row r="1121" spans="1:18" x14ac:dyDescent="0.2">
      <c r="A1121" s="173" t="s">
        <v>21</v>
      </c>
      <c r="B1121" s="24">
        <v>17372.210310000002</v>
      </c>
      <c r="C1121" s="24">
        <v>16780.166470000004</v>
      </c>
      <c r="D1121" s="24">
        <v>14964.3</v>
      </c>
      <c r="E1121" s="24">
        <v>11652.4</v>
      </c>
      <c r="F1121" s="24">
        <v>13282.3</v>
      </c>
      <c r="G1121" s="24">
        <v>15029.099999999999</v>
      </c>
      <c r="H1121" s="24">
        <v>17444.5</v>
      </c>
      <c r="I1121" s="24">
        <v>8929.6500000000015</v>
      </c>
      <c r="J1121" s="24">
        <v>9408.2000000000007</v>
      </c>
      <c r="K1121" s="24">
        <v>5566.2889999999989</v>
      </c>
      <c r="L1121" s="24">
        <v>9347.2155110000003</v>
      </c>
      <c r="M1121" s="24">
        <f>M1118-M1120</f>
        <v>3785.5399999999991</v>
      </c>
      <c r="N1121" s="24">
        <f>N1118-N1120</f>
        <v>3399.3625600000014</v>
      </c>
      <c r="O1121" s="24">
        <f>O1118-O1120</f>
        <v>1991.4852800000008</v>
      </c>
      <c r="P1121" s="607">
        <f>P1118-P1120</f>
        <v>984.0175360000012</v>
      </c>
      <c r="Q1121" s="607"/>
      <c r="R1121" s="607"/>
    </row>
    <row r="1122" spans="1:18" x14ac:dyDescent="0.2">
      <c r="A1122" s="176" t="s">
        <v>22</v>
      </c>
      <c r="B1122" s="177"/>
      <c r="C1122" s="177"/>
      <c r="D1122" s="177"/>
      <c r="E1122" s="177"/>
      <c r="F1122" s="177"/>
      <c r="G1122" s="177"/>
      <c r="H1122" s="177"/>
      <c r="I1122" s="177"/>
      <c r="J1122" s="617">
        <v>2019</v>
      </c>
      <c r="K1122" s="617">
        <v>2020</v>
      </c>
      <c r="L1122" s="617">
        <v>2021</v>
      </c>
      <c r="M1122" s="617">
        <v>2022</v>
      </c>
      <c r="N1122" s="617">
        <v>2023</v>
      </c>
      <c r="O1122" s="617">
        <v>2024</v>
      </c>
      <c r="P1122" s="617">
        <v>2025</v>
      </c>
      <c r="Q1122" s="617">
        <v>2026</v>
      </c>
      <c r="R1122" s="617">
        <v>2027</v>
      </c>
    </row>
    <row r="1123" spans="1:18" x14ac:dyDescent="0.2">
      <c r="A1123" s="176" t="s">
        <v>179</v>
      </c>
      <c r="B1123" s="264"/>
      <c r="C1123" s="264"/>
      <c r="D1123" s="264"/>
      <c r="E1123" s="264"/>
      <c r="F1123" s="264"/>
      <c r="G1123" s="264"/>
      <c r="H1123" s="264"/>
      <c r="I1123" s="264"/>
      <c r="J1123" s="264"/>
      <c r="K1123" s="264"/>
      <c r="L1123" s="264"/>
      <c r="M1123" s="264"/>
      <c r="N1123" s="264"/>
      <c r="O1123" s="264"/>
      <c r="P1123" s="264"/>
      <c r="Q1123" s="662"/>
      <c r="R1123" s="609"/>
    </row>
    <row r="1124" spans="1:18" x14ac:dyDescent="0.2">
      <c r="A1124" s="176" t="s">
        <v>196</v>
      </c>
      <c r="B1124" s="264"/>
      <c r="C1124" s="264"/>
      <c r="D1124" s="264"/>
      <c r="E1124" s="264"/>
      <c r="F1124" s="264"/>
      <c r="G1124" s="264"/>
      <c r="H1124" s="264"/>
      <c r="I1124" s="264"/>
      <c r="J1124" s="264"/>
      <c r="K1124" s="264"/>
      <c r="L1124" s="264"/>
      <c r="M1124" s="264"/>
      <c r="N1124" s="264"/>
      <c r="O1124" s="264"/>
      <c r="P1124" s="264"/>
      <c r="Q1124" s="662"/>
      <c r="R1124" s="609"/>
    </row>
    <row r="1125" spans="1:18" x14ac:dyDescent="0.2">
      <c r="A1125" s="178" t="s">
        <v>197</v>
      </c>
      <c r="B1125" s="165"/>
      <c r="C1125" s="165"/>
      <c r="D1125" s="165"/>
      <c r="E1125" s="165"/>
      <c r="F1125" s="165"/>
      <c r="G1125" s="165"/>
      <c r="H1125" s="165"/>
      <c r="I1125" s="165"/>
      <c r="J1125" s="165"/>
      <c r="K1125" s="165"/>
      <c r="L1125" s="165"/>
      <c r="M1125" s="165"/>
      <c r="N1125" s="165"/>
      <c r="O1125" s="165"/>
      <c r="P1125" s="165"/>
      <c r="Q1125" s="622"/>
      <c r="R1125" s="610"/>
    </row>
    <row r="1126" spans="1:18" x14ac:dyDescent="0.2">
      <c r="A1126" s="178" t="s">
        <v>235</v>
      </c>
      <c r="B1126" s="165"/>
      <c r="C1126" s="165"/>
      <c r="D1126" s="165"/>
      <c r="E1126" s="165"/>
      <c r="F1126" s="165"/>
      <c r="G1126" s="165"/>
      <c r="H1126" s="165"/>
      <c r="I1126" s="165"/>
      <c r="J1126" s="165"/>
      <c r="K1126" s="165"/>
      <c r="L1126" s="165"/>
      <c r="M1126" s="165"/>
      <c r="N1126" s="165"/>
      <c r="O1126" s="165"/>
      <c r="P1126" s="165"/>
      <c r="Q1126" s="622"/>
      <c r="R1126" s="610"/>
    </row>
    <row r="1127" spans="1:18" x14ac:dyDescent="0.2">
      <c r="A1127" s="178" t="s">
        <v>236</v>
      </c>
      <c r="B1127" s="266"/>
      <c r="C1127" s="267"/>
      <c r="D1127" s="268"/>
      <c r="E1127" s="165"/>
      <c r="F1127" s="165"/>
      <c r="G1127" s="267"/>
      <c r="H1127" s="165"/>
      <c r="I1127" s="165"/>
      <c r="J1127" s="165"/>
      <c r="K1127" s="165"/>
      <c r="L1127" s="165"/>
      <c r="M1127" s="165"/>
      <c r="N1127" s="165"/>
      <c r="O1127" s="165"/>
      <c r="P1127" s="165"/>
      <c r="Q1127" s="622"/>
      <c r="R1127" s="610"/>
    </row>
    <row r="1128" spans="1:18" x14ac:dyDescent="0.2">
      <c r="A1128" s="178" t="s">
        <v>237</v>
      </c>
      <c r="B1128" s="165"/>
      <c r="C1128" s="165"/>
      <c r="D1128" s="165"/>
      <c r="E1128" s="165"/>
      <c r="F1128" s="165"/>
      <c r="G1128" s="613"/>
      <c r="H1128" s="165"/>
      <c r="I1128" s="165"/>
      <c r="J1128" s="165"/>
      <c r="K1128" s="165"/>
      <c r="L1128" s="165"/>
      <c r="M1128" s="165"/>
      <c r="N1128" s="165"/>
      <c r="O1128" s="165"/>
      <c r="P1128" s="165"/>
      <c r="Q1128" s="622"/>
      <c r="R1128" s="610"/>
    </row>
    <row r="1129" spans="1:18" x14ac:dyDescent="0.2">
      <c r="A1129" s="178" t="s">
        <v>278</v>
      </c>
      <c r="B1129" s="165"/>
      <c r="C1129" s="165"/>
      <c r="D1129" s="165"/>
      <c r="E1129" s="165"/>
      <c r="F1129" s="165"/>
      <c r="G1129" s="165"/>
      <c r="H1129" s="165"/>
      <c r="I1129" s="165"/>
      <c r="J1129" s="165"/>
      <c r="K1129" s="165"/>
      <c r="L1129" s="165"/>
      <c r="M1129" s="165"/>
      <c r="N1129" s="165"/>
      <c r="O1129" s="165"/>
      <c r="P1129" s="165"/>
      <c r="Q1129" s="622"/>
      <c r="R1129" s="610"/>
    </row>
    <row r="1130" spans="1:18" x14ac:dyDescent="0.2">
      <c r="A1130" s="178" t="s">
        <v>238</v>
      </c>
      <c r="B1130" s="165"/>
      <c r="C1130" s="165"/>
      <c r="D1130" s="165"/>
      <c r="E1130" s="165"/>
      <c r="F1130" s="165"/>
      <c r="G1130" s="613"/>
      <c r="H1130" s="165"/>
      <c r="I1130" s="165"/>
      <c r="J1130" s="165"/>
      <c r="K1130" s="165"/>
      <c r="L1130" s="165"/>
      <c r="M1130" s="165"/>
      <c r="N1130" s="165"/>
      <c r="O1130" s="165"/>
      <c r="P1130" s="165"/>
      <c r="Q1130" s="622"/>
      <c r="R1130" s="610"/>
    </row>
    <row r="1131" spans="1:18" x14ac:dyDescent="0.2">
      <c r="A1131" s="178" t="s">
        <v>233</v>
      </c>
      <c r="B1131" s="165"/>
      <c r="C1131" s="165"/>
      <c r="D1131" s="165"/>
      <c r="E1131" s="165"/>
      <c r="F1131" s="165"/>
      <c r="G1131" s="613"/>
      <c r="H1131" s="165"/>
      <c r="I1131" s="165"/>
      <c r="J1131" s="165"/>
      <c r="K1131" s="165"/>
      <c r="L1131" s="165"/>
      <c r="M1131" s="165"/>
      <c r="N1131" s="165"/>
      <c r="O1131" s="165"/>
      <c r="P1131" s="165"/>
      <c r="Q1131" s="622"/>
      <c r="R1131" s="610"/>
    </row>
    <row r="1132" spans="1:18" x14ac:dyDescent="0.2">
      <c r="A1132" s="180" t="s">
        <v>234</v>
      </c>
      <c r="B1132" s="165"/>
      <c r="C1132" s="165"/>
      <c r="D1132" s="165"/>
      <c r="E1132" s="165"/>
      <c r="F1132" s="165"/>
      <c r="G1132" s="165"/>
      <c r="H1132" s="165"/>
      <c r="I1132" s="165"/>
      <c r="J1132" s="165"/>
      <c r="K1132" s="165"/>
      <c r="L1132" s="165"/>
      <c r="M1132" s="165"/>
      <c r="N1132" s="165"/>
      <c r="O1132" s="165"/>
      <c r="P1132" s="165"/>
      <c r="Q1132" s="622"/>
      <c r="R1132" s="610"/>
    </row>
    <row r="1133" spans="1:18" x14ac:dyDescent="0.2">
      <c r="A1133" s="180" t="s">
        <v>211</v>
      </c>
      <c r="B1133" s="165"/>
      <c r="C1133" s="165"/>
      <c r="D1133" s="165"/>
      <c r="E1133" s="165"/>
      <c r="F1133" s="165"/>
      <c r="G1133" s="165"/>
      <c r="H1133" s="165"/>
      <c r="I1133" s="165"/>
      <c r="J1133" s="165"/>
      <c r="K1133" s="165"/>
      <c r="L1133" s="165"/>
      <c r="M1133" s="165"/>
      <c r="N1133" s="165"/>
      <c r="O1133" s="165"/>
      <c r="P1133" s="165"/>
      <c r="Q1133" s="622"/>
      <c r="R1133" s="610"/>
    </row>
    <row r="1134" spans="1:18" x14ac:dyDescent="0.2">
      <c r="A1134" s="180" t="s">
        <v>277</v>
      </c>
      <c r="B1134" s="165"/>
      <c r="C1134" s="165"/>
      <c r="D1134" s="165"/>
      <c r="E1134" s="165"/>
      <c r="F1134" s="165"/>
      <c r="G1134" s="165"/>
      <c r="H1134" s="165"/>
      <c r="I1134" s="165"/>
      <c r="J1134" s="165"/>
      <c r="K1134" s="165"/>
      <c r="L1134" s="165"/>
      <c r="M1134" s="165"/>
      <c r="N1134" s="165"/>
      <c r="O1134" s="165"/>
      <c r="P1134" s="165"/>
      <c r="Q1134" s="622"/>
      <c r="R1134" s="610"/>
    </row>
    <row r="1135" spans="1:18" ht="13.15" customHeight="1" x14ac:dyDescent="0.2">
      <c r="A1135" s="180" t="s">
        <v>375</v>
      </c>
      <c r="B1135" s="165"/>
      <c r="C1135" s="165"/>
      <c r="D1135" s="165"/>
      <c r="E1135" s="165"/>
      <c r="F1135" s="165"/>
      <c r="G1135" s="165"/>
      <c r="H1135" s="165"/>
      <c r="I1135" s="165"/>
      <c r="J1135" s="165"/>
      <c r="K1135" s="165"/>
      <c r="L1135" s="165"/>
      <c r="M1135" s="165"/>
      <c r="N1135" s="165"/>
      <c r="O1135" s="165"/>
      <c r="P1135" s="165"/>
      <c r="Q1135" s="165"/>
      <c r="R1135" s="179"/>
    </row>
    <row r="1136" spans="1:18" ht="13.15" customHeight="1" x14ac:dyDescent="0.2">
      <c r="A1136" s="180" t="s">
        <v>570</v>
      </c>
      <c r="B1136" s="165"/>
      <c r="C1136" s="165"/>
      <c r="D1136" s="165"/>
      <c r="E1136" s="165"/>
      <c r="F1136" s="165"/>
      <c r="G1136" s="165"/>
      <c r="H1136" s="165"/>
      <c r="I1136" s="165"/>
      <c r="J1136" s="165"/>
      <c r="K1136" s="165"/>
      <c r="L1136" s="165"/>
      <c r="M1136" s="165"/>
      <c r="N1136" s="165"/>
      <c r="O1136" s="165"/>
      <c r="P1136" s="165"/>
      <c r="Q1136" s="165"/>
      <c r="R1136" s="179"/>
    </row>
    <row r="1137" spans="1:19" ht="13.15" customHeight="1" x14ac:dyDescent="0.2">
      <c r="A1137" s="180" t="s">
        <v>648</v>
      </c>
      <c r="B1137" s="165"/>
      <c r="C1137" s="165"/>
      <c r="D1137" s="165"/>
      <c r="E1137" s="165"/>
      <c r="F1137" s="165"/>
      <c r="G1137" s="165"/>
      <c r="H1137" s="165"/>
      <c r="I1137" s="165"/>
      <c r="J1137" s="165"/>
      <c r="K1137" s="165"/>
      <c r="L1137" s="165"/>
      <c r="M1137" s="165"/>
      <c r="N1137" s="165"/>
      <c r="O1137" s="165"/>
      <c r="P1137" s="165"/>
      <c r="Q1137" s="165"/>
      <c r="R1137" s="179"/>
    </row>
    <row r="1138" spans="1:19" ht="13.15" customHeight="1" x14ac:dyDescent="0.2">
      <c r="A1138" s="180" t="s">
        <v>592</v>
      </c>
      <c r="B1138" s="165"/>
      <c r="C1138" s="165"/>
      <c r="D1138" s="165"/>
      <c r="E1138" s="165"/>
      <c r="F1138" s="165"/>
      <c r="G1138" s="165"/>
      <c r="H1138" s="165"/>
      <c r="I1138" s="165"/>
      <c r="J1138" s="165"/>
      <c r="K1138" s="165"/>
      <c r="L1138" s="165"/>
      <c r="M1138" s="165"/>
      <c r="N1138" s="165"/>
      <c r="O1138" s="165"/>
      <c r="P1138" s="165"/>
      <c r="Q1138" s="165"/>
      <c r="R1138" s="179"/>
    </row>
    <row r="1139" spans="1:19" ht="13.15" customHeight="1" x14ac:dyDescent="0.2">
      <c r="A1139" s="180" t="s">
        <v>713</v>
      </c>
      <c r="B1139" s="165"/>
      <c r="C1139" s="165"/>
      <c r="D1139" s="165"/>
      <c r="E1139" s="165"/>
      <c r="F1139" s="165"/>
      <c r="G1139" s="165"/>
      <c r="H1139" s="165"/>
      <c r="I1139" s="165"/>
      <c r="J1139" s="165"/>
      <c r="K1139" s="165"/>
      <c r="L1139" s="165"/>
      <c r="M1139" s="165"/>
      <c r="N1139" s="165"/>
      <c r="O1139" s="165"/>
      <c r="P1139" s="165"/>
      <c r="Q1139" s="165"/>
      <c r="R1139" s="179"/>
    </row>
    <row r="1140" spans="1:19" ht="13.15" customHeight="1" x14ac:dyDescent="0.2">
      <c r="A1140" s="180" t="s">
        <v>819</v>
      </c>
      <c r="B1140" s="165"/>
      <c r="C1140" s="165"/>
      <c r="D1140" s="165"/>
      <c r="E1140" s="165"/>
      <c r="F1140" s="165"/>
      <c r="G1140" s="165"/>
      <c r="H1140" s="165"/>
      <c r="I1140" s="165"/>
      <c r="J1140" s="165"/>
      <c r="K1140" s="165"/>
      <c r="L1140" s="165"/>
      <c r="M1140" s="165"/>
      <c r="N1140" s="165"/>
      <c r="O1140" s="165"/>
      <c r="P1140" s="165"/>
      <c r="Q1140" s="165"/>
      <c r="R1140" s="179"/>
    </row>
    <row r="1141" spans="1:19" ht="13.15" customHeight="1" x14ac:dyDescent="0.2">
      <c r="A1141" s="663" t="s">
        <v>1057</v>
      </c>
      <c r="B1141" s="266"/>
      <c r="C1141" s="266"/>
      <c r="D1141" s="266"/>
      <c r="E1141" s="266"/>
      <c r="F1141" s="266"/>
      <c r="G1141" s="266"/>
      <c r="H1141" s="266"/>
      <c r="I1141" s="266"/>
      <c r="J1141" s="266"/>
      <c r="K1141" s="266"/>
      <c r="L1141" s="266"/>
      <c r="M1141" s="266"/>
      <c r="N1141" s="266"/>
      <c r="O1141" s="266"/>
      <c r="P1141" s="266"/>
      <c r="Q1141" s="266"/>
      <c r="R1141" s="664"/>
    </row>
    <row r="1142" spans="1:19" ht="13.15" customHeight="1" x14ac:dyDescent="0.2">
      <c r="A1142" s="620" t="s">
        <v>1113</v>
      </c>
      <c r="B1142" s="181"/>
      <c r="C1142" s="181"/>
      <c r="D1142" s="181"/>
      <c r="E1142" s="181"/>
      <c r="F1142" s="181"/>
      <c r="G1142" s="181"/>
      <c r="H1142" s="181"/>
      <c r="I1142" s="181"/>
      <c r="J1142" s="181"/>
      <c r="K1142" s="181"/>
      <c r="L1142" s="181"/>
      <c r="M1142" s="181"/>
      <c r="N1142" s="181"/>
      <c r="O1142" s="181"/>
      <c r="P1142" s="181"/>
      <c r="Q1142" s="181"/>
      <c r="R1142" s="182"/>
    </row>
    <row r="1143" spans="1:19" x14ac:dyDescent="0.2">
      <c r="A1143" s="133"/>
      <c r="C1143" s="441"/>
    </row>
    <row r="1144" spans="1:19" x14ac:dyDescent="0.2">
      <c r="A1144" s="378" t="s">
        <v>14</v>
      </c>
      <c r="B1144" s="172" t="s">
        <v>74</v>
      </c>
      <c r="C1144" s="445" t="s">
        <v>15</v>
      </c>
      <c r="D1144" s="165"/>
      <c r="E1144" s="165"/>
      <c r="F1144" s="165"/>
      <c r="G1144" s="165"/>
      <c r="H1144" s="165"/>
      <c r="I1144" s="165"/>
      <c r="J1144" s="165"/>
      <c r="K1144" s="165"/>
      <c r="L1144" s="165"/>
      <c r="M1144" s="165"/>
      <c r="N1144" s="165"/>
    </row>
    <row r="1145" spans="1:19" x14ac:dyDescent="0.2">
      <c r="A1145" s="365" t="s">
        <v>16</v>
      </c>
      <c r="B1145" s="379">
        <v>2008</v>
      </c>
      <c r="C1145" s="380">
        <v>2009</v>
      </c>
      <c r="D1145" s="380">
        <v>2010</v>
      </c>
      <c r="E1145" s="380">
        <v>2011</v>
      </c>
      <c r="F1145" s="379">
        <v>2012</v>
      </c>
      <c r="G1145" s="379">
        <v>2013</v>
      </c>
      <c r="H1145" s="379">
        <v>2014</v>
      </c>
      <c r="I1145" s="379">
        <v>2015</v>
      </c>
      <c r="J1145" s="379">
        <v>2016</v>
      </c>
      <c r="K1145" s="379">
        <v>2017</v>
      </c>
      <c r="L1145" s="379">
        <v>2018</v>
      </c>
      <c r="M1145" s="379">
        <v>2019</v>
      </c>
      <c r="N1145" s="379">
        <v>2020</v>
      </c>
      <c r="O1145" s="379">
        <v>2021</v>
      </c>
      <c r="P1145" s="2">
        <v>2022</v>
      </c>
      <c r="Q1145" s="2">
        <v>2023</v>
      </c>
      <c r="R1145" s="2">
        <v>2024</v>
      </c>
      <c r="S1145" s="468">
        <v>2025</v>
      </c>
    </row>
    <row r="1146" spans="1:19" x14ac:dyDescent="0.2">
      <c r="A1146" s="358" t="s">
        <v>17</v>
      </c>
      <c r="B1146" s="24">
        <v>839.5</v>
      </c>
      <c r="C1146" s="24">
        <v>839.5</v>
      </c>
      <c r="D1146" s="24">
        <v>839.5</v>
      </c>
      <c r="E1146" s="24">
        <v>839.5</v>
      </c>
      <c r="F1146" s="382">
        <v>503.7</v>
      </c>
      <c r="G1146" s="382">
        <v>390</v>
      </c>
      <c r="H1146" s="382">
        <v>390</v>
      </c>
      <c r="I1146" s="382">
        <v>390</v>
      </c>
      <c r="J1146" s="382">
        <v>390</v>
      </c>
      <c r="K1146" s="382">
        <v>390</v>
      </c>
      <c r="L1146" s="382">
        <v>390</v>
      </c>
      <c r="M1146" s="382">
        <v>390</v>
      </c>
      <c r="N1146" s="382">
        <v>328.1</v>
      </c>
      <c r="O1146" s="382">
        <v>328.1</v>
      </c>
      <c r="P1146" s="5">
        <v>328.1</v>
      </c>
      <c r="Q1146" s="5">
        <v>328.1</v>
      </c>
      <c r="R1146" s="5">
        <v>328.1</v>
      </c>
      <c r="S1146" s="409">
        <v>328.1</v>
      </c>
    </row>
    <row r="1147" spans="1:19" x14ac:dyDescent="0.2">
      <c r="A1147" s="173" t="s">
        <v>18</v>
      </c>
      <c r="B1147" s="24">
        <v>839.5</v>
      </c>
      <c r="C1147" s="24">
        <v>839.5</v>
      </c>
      <c r="D1147" s="24">
        <v>839.5</v>
      </c>
      <c r="E1147" s="24">
        <v>839.5</v>
      </c>
      <c r="F1147" s="24">
        <v>503.7</v>
      </c>
      <c r="G1147" s="382">
        <v>390</v>
      </c>
      <c r="H1147" s="382">
        <v>390</v>
      </c>
      <c r="I1147" s="382">
        <v>429</v>
      </c>
      <c r="J1147" s="382">
        <v>429</v>
      </c>
      <c r="K1147" s="382">
        <v>429</v>
      </c>
      <c r="L1147" s="382">
        <v>406.6</v>
      </c>
      <c r="M1147" s="382">
        <v>429</v>
      </c>
      <c r="N1147" s="382">
        <v>367.1</v>
      </c>
      <c r="O1147" s="382">
        <v>367.1</v>
      </c>
      <c r="P1147" s="5"/>
      <c r="Q1147" s="5"/>
      <c r="R1147" s="5">
        <f>R1146+P1150</f>
        <v>285.10000000000002</v>
      </c>
      <c r="S1147" s="409"/>
    </row>
    <row r="1148" spans="1:19" x14ac:dyDescent="0.2">
      <c r="A1148" s="173" t="s">
        <v>19</v>
      </c>
      <c r="B1148" s="24"/>
      <c r="C1148" s="446"/>
      <c r="D1148" s="24"/>
      <c r="E1148" s="382"/>
      <c r="F1148" s="382"/>
      <c r="G1148" s="382"/>
      <c r="H1148" s="382"/>
      <c r="I1148" s="382"/>
      <c r="J1148" s="382"/>
      <c r="K1148" s="382"/>
      <c r="L1148" s="382"/>
      <c r="M1148" s="382"/>
      <c r="N1148" s="382"/>
      <c r="O1148" s="382"/>
      <c r="P1148" s="5"/>
      <c r="Q1148" s="5"/>
      <c r="R1148" s="5"/>
      <c r="S1148" s="409"/>
    </row>
    <row r="1149" spans="1:19" x14ac:dyDescent="0.2">
      <c r="A1149" s="173" t="s">
        <v>20</v>
      </c>
      <c r="B1149" s="24">
        <v>704.14</v>
      </c>
      <c r="C1149" s="24">
        <v>553.45920000000001</v>
      </c>
      <c r="D1149" s="24">
        <v>425.98559999999998</v>
      </c>
      <c r="E1149" s="24">
        <v>478</v>
      </c>
      <c r="F1149" s="382">
        <v>305.5</v>
      </c>
      <c r="G1149" s="382">
        <v>231.5</v>
      </c>
      <c r="H1149" s="382">
        <v>288.8</v>
      </c>
      <c r="I1149" s="382">
        <v>261.5</v>
      </c>
      <c r="J1149" s="382">
        <v>412.4</v>
      </c>
      <c r="K1149" s="382">
        <v>308.10000000000002</v>
      </c>
      <c r="L1149" s="382">
        <v>352.2</v>
      </c>
      <c r="M1149" s="382">
        <v>336.88949500000001</v>
      </c>
      <c r="N1149" s="382">
        <v>285.10000000000002</v>
      </c>
      <c r="O1149" s="382">
        <v>289.39999999999998</v>
      </c>
      <c r="P1149" s="5">
        <v>371.1</v>
      </c>
      <c r="Q1149" s="409">
        <v>303.8</v>
      </c>
      <c r="R1149" s="5"/>
      <c r="S1149" s="409"/>
    </row>
    <row r="1150" spans="1:19" x14ac:dyDescent="0.2">
      <c r="A1150" s="173" t="s">
        <v>21</v>
      </c>
      <c r="B1150" s="24">
        <v>135.36000000000001</v>
      </c>
      <c r="C1150" s="24">
        <v>286.04079999999999</v>
      </c>
      <c r="D1150" s="24">
        <v>413.51440000000002</v>
      </c>
      <c r="E1150" s="24">
        <v>361.5</v>
      </c>
      <c r="F1150" s="24">
        <v>198.2</v>
      </c>
      <c r="G1150" s="382">
        <v>158.5</v>
      </c>
      <c r="H1150" s="382">
        <v>101.19999999999999</v>
      </c>
      <c r="I1150" s="382">
        <v>167.5</v>
      </c>
      <c r="J1150" s="382">
        <v>16.600000000000023</v>
      </c>
      <c r="K1150" s="382">
        <v>120.89999999999998</v>
      </c>
      <c r="L1150" s="382">
        <v>54.400000000000034</v>
      </c>
      <c r="M1150" s="382">
        <v>92.110504999999989</v>
      </c>
      <c r="N1150" s="382">
        <f>N1147-N1149</f>
        <v>82</v>
      </c>
      <c r="O1150" s="382">
        <f>O1147-O1149</f>
        <v>77.700000000000045</v>
      </c>
      <c r="P1150" s="5">
        <f>P1146-P1149</f>
        <v>-43</v>
      </c>
      <c r="Q1150" s="409">
        <f>Q1146-Q1149</f>
        <v>24.300000000000011</v>
      </c>
      <c r="R1150" s="5"/>
      <c r="S1150" s="409"/>
    </row>
    <row r="1151" spans="1:19" x14ac:dyDescent="0.2">
      <c r="A1151" s="176" t="s">
        <v>22</v>
      </c>
      <c r="B1151" s="177"/>
      <c r="C1151" s="264"/>
      <c r="D1151" s="177"/>
      <c r="E1151" s="265"/>
      <c r="F1151" s="265"/>
      <c r="G1151" s="265"/>
      <c r="H1151" s="265"/>
      <c r="I1151" s="265"/>
      <c r="J1151" s="265"/>
      <c r="K1151" s="265"/>
      <c r="L1151" s="265"/>
      <c r="M1151" s="383"/>
      <c r="N1151" s="383"/>
      <c r="O1151" s="383"/>
      <c r="P1151" s="16"/>
      <c r="Q1151" s="16"/>
      <c r="R1151" s="16"/>
      <c r="S1151" s="421"/>
    </row>
    <row r="1152" spans="1:19" x14ac:dyDescent="0.2">
      <c r="A1152" s="173" t="s">
        <v>179</v>
      </c>
      <c r="B1152" s="385"/>
      <c r="C1152" s="385"/>
      <c r="D1152" s="385"/>
      <c r="E1152" s="385"/>
      <c r="F1152" s="385"/>
      <c r="G1152" s="385"/>
      <c r="H1152" s="385"/>
      <c r="I1152" s="385"/>
      <c r="J1152" s="385"/>
      <c r="K1152" s="385"/>
      <c r="L1152" s="385"/>
      <c r="M1152" s="385"/>
      <c r="N1152" s="385"/>
      <c r="O1152" s="385"/>
      <c r="P1152" s="254"/>
      <c r="Q1152" s="254"/>
      <c r="R1152" s="254"/>
      <c r="S1152" s="512"/>
    </row>
    <row r="1153" spans="1:19" x14ac:dyDescent="0.2">
      <c r="A1153" s="178" t="s">
        <v>198</v>
      </c>
      <c r="B1153" s="165"/>
      <c r="C1153" s="165"/>
      <c r="D1153" s="165"/>
      <c r="E1153" s="165"/>
      <c r="F1153" s="165"/>
      <c r="G1153" s="165"/>
      <c r="H1153" s="165"/>
      <c r="I1153" s="165"/>
      <c r="J1153" s="165"/>
      <c r="K1153" s="165"/>
      <c r="L1153" s="165"/>
      <c r="M1153" s="165"/>
      <c r="N1153" s="165"/>
      <c r="O1153" s="165"/>
      <c r="S1153" s="413"/>
    </row>
    <row r="1154" spans="1:19" x14ac:dyDescent="0.2">
      <c r="A1154" s="178" t="s">
        <v>199</v>
      </c>
      <c r="B1154" s="165"/>
      <c r="C1154" s="165"/>
      <c r="D1154" s="165"/>
      <c r="E1154" s="165"/>
      <c r="F1154" s="165"/>
      <c r="G1154" s="165"/>
      <c r="H1154" s="165"/>
      <c r="I1154" s="165"/>
      <c r="J1154" s="165"/>
      <c r="K1154" s="165"/>
      <c r="L1154" s="165"/>
      <c r="M1154" s="165"/>
      <c r="N1154" s="165"/>
      <c r="O1154" s="165"/>
      <c r="S1154" s="413"/>
    </row>
    <row r="1155" spans="1:19" x14ac:dyDescent="0.2">
      <c r="A1155" s="178" t="s">
        <v>239</v>
      </c>
      <c r="B1155" s="165"/>
      <c r="C1155" s="165"/>
      <c r="D1155" s="165"/>
      <c r="E1155" s="165"/>
      <c r="F1155" s="165"/>
      <c r="G1155" s="165"/>
      <c r="H1155" s="165"/>
      <c r="I1155" s="165"/>
      <c r="J1155" s="165"/>
      <c r="K1155" s="165"/>
      <c r="L1155" s="165"/>
      <c r="M1155" s="165"/>
      <c r="N1155" s="165"/>
      <c r="O1155" s="165"/>
      <c r="S1155" s="413"/>
    </row>
    <row r="1156" spans="1:19" x14ac:dyDescent="0.2">
      <c r="A1156" s="178" t="s">
        <v>240</v>
      </c>
      <c r="B1156" s="165"/>
      <c r="C1156" s="165"/>
      <c r="D1156" s="165"/>
      <c r="E1156" s="165"/>
      <c r="F1156" s="165"/>
      <c r="G1156" s="165"/>
      <c r="H1156" s="267"/>
      <c r="I1156" s="165"/>
      <c r="J1156" s="165"/>
      <c r="K1156" s="165"/>
      <c r="L1156" s="165"/>
      <c r="M1156" s="165"/>
      <c r="N1156" s="165"/>
      <c r="O1156" s="165"/>
      <c r="S1156" s="413"/>
    </row>
    <row r="1157" spans="1:19" x14ac:dyDescent="0.2">
      <c r="A1157" s="178" t="s">
        <v>279</v>
      </c>
      <c r="B1157" s="165"/>
      <c r="C1157" s="165"/>
      <c r="D1157" s="165"/>
      <c r="E1157" s="165"/>
      <c r="F1157" s="165"/>
      <c r="G1157" s="165"/>
      <c r="H1157" s="267"/>
      <c r="I1157" s="165"/>
      <c r="J1157" s="165"/>
      <c r="K1157" s="165"/>
      <c r="L1157" s="165"/>
      <c r="M1157" s="165"/>
      <c r="N1157" s="165"/>
      <c r="O1157" s="165"/>
      <c r="S1157" s="413"/>
    </row>
    <row r="1158" spans="1:19" x14ac:dyDescent="0.2">
      <c r="A1158" s="178" t="s">
        <v>280</v>
      </c>
      <c r="B1158" s="165"/>
      <c r="C1158" s="165"/>
      <c r="D1158" s="165"/>
      <c r="E1158" s="165"/>
      <c r="F1158" s="165"/>
      <c r="G1158" s="165"/>
      <c r="H1158" s="267"/>
      <c r="I1158" s="165"/>
      <c r="J1158" s="165"/>
      <c r="K1158" s="165"/>
      <c r="L1158" s="165"/>
      <c r="M1158" s="165"/>
      <c r="N1158" s="165"/>
      <c r="O1158" s="165"/>
      <c r="S1158" s="413"/>
    </row>
    <row r="1159" spans="1:19" x14ac:dyDescent="0.2">
      <c r="A1159" s="178" t="s">
        <v>281</v>
      </c>
      <c r="B1159" s="165"/>
      <c r="C1159" s="165"/>
      <c r="D1159" s="165"/>
      <c r="E1159" s="165"/>
      <c r="F1159" s="165"/>
      <c r="G1159" s="165"/>
      <c r="H1159" s="267"/>
      <c r="I1159" s="165"/>
      <c r="J1159" s="165"/>
      <c r="K1159" s="165"/>
      <c r="L1159" s="165"/>
      <c r="M1159" s="165"/>
      <c r="N1159" s="165"/>
      <c r="O1159" s="165"/>
      <c r="S1159" s="413"/>
    </row>
    <row r="1160" spans="1:19" x14ac:dyDescent="0.2">
      <c r="A1160" s="178" t="s">
        <v>465</v>
      </c>
      <c r="B1160" s="165"/>
      <c r="C1160" s="165"/>
      <c r="D1160" s="165"/>
      <c r="E1160" s="165"/>
      <c r="F1160" s="165"/>
      <c r="G1160" s="165"/>
      <c r="H1160" s="267"/>
      <c r="I1160" s="165"/>
      <c r="J1160" s="165"/>
      <c r="K1160" s="165"/>
      <c r="L1160" s="165"/>
      <c r="M1160" s="165"/>
      <c r="N1160" s="165"/>
      <c r="O1160" s="165"/>
      <c r="S1160" s="413"/>
    </row>
    <row r="1161" spans="1:19" x14ac:dyDescent="0.2">
      <c r="A1161" s="178" t="s">
        <v>649</v>
      </c>
      <c r="B1161" s="165"/>
      <c r="C1161" s="165"/>
      <c r="D1161" s="165"/>
      <c r="E1161" s="165"/>
      <c r="F1161" s="165"/>
      <c r="G1161" s="165"/>
      <c r="H1161" s="267"/>
      <c r="I1161" s="165"/>
      <c r="J1161" s="165"/>
      <c r="K1161" s="165"/>
      <c r="L1161" s="165"/>
      <c r="M1161" s="165"/>
      <c r="N1161" s="165"/>
      <c r="O1161" s="165"/>
      <c r="S1161" s="413"/>
    </row>
    <row r="1162" spans="1:19" x14ac:dyDescent="0.2">
      <c r="A1162" s="178" t="s">
        <v>820</v>
      </c>
      <c r="B1162" s="165"/>
      <c r="C1162" s="165"/>
      <c r="D1162" s="165"/>
      <c r="E1162" s="165"/>
      <c r="F1162" s="165"/>
      <c r="G1162" s="165"/>
      <c r="H1162" s="267"/>
      <c r="I1162" s="165"/>
      <c r="J1162" s="165"/>
      <c r="K1162" s="165"/>
      <c r="L1162" s="165"/>
      <c r="M1162" s="165"/>
      <c r="N1162" s="165"/>
      <c r="O1162" s="165"/>
      <c r="S1162" s="413"/>
    </row>
    <row r="1163" spans="1:19" x14ac:dyDescent="0.2">
      <c r="A1163" s="358" t="s">
        <v>896</v>
      </c>
      <c r="B1163" s="366"/>
      <c r="C1163" s="366"/>
      <c r="D1163" s="366"/>
      <c r="E1163" s="366"/>
      <c r="F1163" s="366"/>
      <c r="G1163" s="366"/>
      <c r="H1163" s="384"/>
      <c r="I1163" s="366"/>
      <c r="J1163" s="366"/>
      <c r="K1163" s="366"/>
      <c r="L1163" s="366"/>
      <c r="M1163" s="366"/>
      <c r="N1163" s="366"/>
      <c r="O1163" s="366"/>
      <c r="P1163" s="13"/>
      <c r="Q1163" s="13"/>
      <c r="R1163" s="13"/>
      <c r="S1163" s="333"/>
    </row>
    <row r="1164" spans="1:19" x14ac:dyDescent="0.2">
      <c r="A1164" s="133"/>
      <c r="C1164" s="441"/>
    </row>
    <row r="1165" spans="1:19" x14ac:dyDescent="0.2">
      <c r="A1165" s="171" t="s">
        <v>14</v>
      </c>
      <c r="B1165" s="172" t="s">
        <v>79</v>
      </c>
      <c r="C1165" s="445" t="s">
        <v>15</v>
      </c>
      <c r="D1165" s="165"/>
      <c r="E1165" s="165"/>
      <c r="F1165" s="165"/>
      <c r="G1165" s="165"/>
      <c r="H1165" s="165"/>
      <c r="I1165" s="165"/>
      <c r="J1165" s="165"/>
      <c r="K1165" s="165"/>
      <c r="L1165" s="165"/>
      <c r="M1165" s="165"/>
      <c r="N1165" s="165"/>
    </row>
    <row r="1166" spans="1:19" x14ac:dyDescent="0.2">
      <c r="A1166" s="173" t="s">
        <v>16</v>
      </c>
      <c r="B1166" s="174">
        <v>2008</v>
      </c>
      <c r="C1166" s="174">
        <v>2009</v>
      </c>
      <c r="D1166" s="174">
        <v>2010</v>
      </c>
      <c r="E1166" s="174">
        <v>2011</v>
      </c>
      <c r="F1166" s="174">
        <v>2012</v>
      </c>
      <c r="G1166" s="174">
        <v>2013</v>
      </c>
      <c r="H1166" s="174">
        <v>2014</v>
      </c>
      <c r="I1166" s="174">
        <v>2015</v>
      </c>
      <c r="J1166" s="174">
        <v>2016</v>
      </c>
      <c r="K1166" s="174">
        <v>2017</v>
      </c>
      <c r="L1166" s="174">
        <v>2018</v>
      </c>
      <c r="M1166" s="174">
        <v>2019</v>
      </c>
      <c r="N1166" s="174">
        <v>2020</v>
      </c>
      <c r="O1166" s="174">
        <v>2021</v>
      </c>
      <c r="P1166" s="2">
        <v>2022</v>
      </c>
      <c r="Q1166" s="2">
        <v>2023</v>
      </c>
      <c r="R1166" s="468">
        <v>2024</v>
      </c>
      <c r="S1166" s="468">
        <v>2025</v>
      </c>
    </row>
    <row r="1167" spans="1:19" x14ac:dyDescent="0.2">
      <c r="A1167" s="173" t="s">
        <v>17</v>
      </c>
      <c r="B1167" s="24">
        <v>37</v>
      </c>
      <c r="C1167" s="24">
        <v>37</v>
      </c>
      <c r="D1167" s="24">
        <v>37</v>
      </c>
      <c r="E1167" s="24">
        <v>37</v>
      </c>
      <c r="F1167" s="24">
        <v>33.6</v>
      </c>
      <c r="G1167" s="24">
        <v>35</v>
      </c>
      <c r="H1167" s="24">
        <v>35</v>
      </c>
      <c r="I1167" s="24">
        <v>35</v>
      </c>
      <c r="J1167" s="24">
        <v>35</v>
      </c>
      <c r="K1167" s="24">
        <v>35</v>
      </c>
      <c r="L1167" s="24">
        <v>35</v>
      </c>
      <c r="M1167" s="24">
        <v>35</v>
      </c>
      <c r="N1167" s="24">
        <v>35</v>
      </c>
      <c r="O1167" s="24">
        <v>35</v>
      </c>
      <c r="P1167" s="5">
        <v>35</v>
      </c>
      <c r="Q1167" s="5">
        <v>35</v>
      </c>
      <c r="R1167" s="409">
        <v>35</v>
      </c>
      <c r="S1167" s="409">
        <v>35</v>
      </c>
    </row>
    <row r="1168" spans="1:19" x14ac:dyDescent="0.2">
      <c r="A1168" s="173" t="s">
        <v>18</v>
      </c>
      <c r="B1168" s="24">
        <v>37</v>
      </c>
      <c r="C1168" s="24">
        <v>37</v>
      </c>
      <c r="D1168" s="24">
        <v>37</v>
      </c>
      <c r="E1168" s="24">
        <v>37</v>
      </c>
      <c r="F1168" s="24">
        <v>33.6</v>
      </c>
      <c r="G1168" s="24">
        <v>35</v>
      </c>
      <c r="H1168" s="24">
        <v>35</v>
      </c>
      <c r="I1168" s="24">
        <v>42</v>
      </c>
      <c r="J1168" s="24">
        <v>42</v>
      </c>
      <c r="K1168" s="24">
        <v>42</v>
      </c>
      <c r="L1168" s="24">
        <v>42</v>
      </c>
      <c r="M1168" s="24">
        <v>42</v>
      </c>
      <c r="N1168" s="24">
        <v>42</v>
      </c>
      <c r="O1168" s="24">
        <v>42</v>
      </c>
      <c r="P1168" s="5"/>
      <c r="Q1168" s="5"/>
      <c r="R1168" s="409"/>
      <c r="S1168" s="409"/>
    </row>
    <row r="1169" spans="1:19" x14ac:dyDescent="0.2">
      <c r="A1169" s="173" t="s">
        <v>19</v>
      </c>
      <c r="B1169" s="24"/>
      <c r="C1169" s="24"/>
      <c r="D1169" s="24"/>
      <c r="E1169" s="24"/>
      <c r="F1169" s="24"/>
      <c r="G1169" s="24"/>
      <c r="H1169" s="24"/>
      <c r="I1169" s="24"/>
      <c r="J1169" s="24"/>
      <c r="K1169" s="24"/>
      <c r="L1169" s="24"/>
      <c r="M1169" s="24"/>
      <c r="N1169" s="24"/>
      <c r="O1169" s="24"/>
      <c r="P1169" s="5"/>
      <c r="Q1169" s="5"/>
      <c r="R1169" s="409"/>
      <c r="S1169" s="409"/>
    </row>
    <row r="1170" spans="1:19" x14ac:dyDescent="0.2">
      <c r="A1170" s="173" t="s">
        <v>20</v>
      </c>
      <c r="B1170" s="24">
        <v>28.84</v>
      </c>
      <c r="C1170" s="24">
        <v>28.802399999999999</v>
      </c>
      <c r="D1170" s="24">
        <v>40.781999999999996</v>
      </c>
      <c r="E1170" s="24">
        <v>27.9</v>
      </c>
      <c r="F1170" s="24">
        <v>49.6</v>
      </c>
      <c r="G1170" s="24">
        <v>16.899999999999999</v>
      </c>
      <c r="H1170" s="24">
        <v>5.7</v>
      </c>
      <c r="I1170" s="24">
        <v>9.9</v>
      </c>
      <c r="J1170" s="24">
        <v>12.6</v>
      </c>
      <c r="K1170" s="24">
        <v>9.1999999999999993</v>
      </c>
      <c r="L1170" s="24">
        <v>14.4</v>
      </c>
      <c r="M1170" s="24">
        <v>10.852466</v>
      </c>
      <c r="N1170" s="24">
        <v>7.9</v>
      </c>
      <c r="O1170" s="24">
        <v>6.1</v>
      </c>
      <c r="P1170" s="5">
        <v>6.4</v>
      </c>
      <c r="Q1170" s="5">
        <v>6.4</v>
      </c>
      <c r="R1170" s="409"/>
      <c r="S1170" s="409"/>
    </row>
    <row r="1171" spans="1:19" x14ac:dyDescent="0.2">
      <c r="A1171" s="173" t="s">
        <v>21</v>
      </c>
      <c r="B1171" s="24">
        <v>8.16</v>
      </c>
      <c r="C1171" s="24">
        <v>8.1976000000000013</v>
      </c>
      <c r="D1171" s="24">
        <v>3.782</v>
      </c>
      <c r="E1171" s="24">
        <v>9.1000000000000014</v>
      </c>
      <c r="F1171" s="24">
        <v>16</v>
      </c>
      <c r="G1171" s="24">
        <v>18.100000000000001</v>
      </c>
      <c r="H1171" s="24">
        <v>29.3</v>
      </c>
      <c r="I1171" s="24">
        <v>32.1</v>
      </c>
      <c r="J1171" s="24">
        <v>29.4</v>
      </c>
      <c r="K1171" s="24">
        <v>32.799999999999997</v>
      </c>
      <c r="L1171" s="24">
        <v>27.6</v>
      </c>
      <c r="M1171" s="24">
        <v>31.147534</v>
      </c>
      <c r="N1171" s="24">
        <f>N1168-N1170</f>
        <v>34.1</v>
      </c>
      <c r="O1171" s="24">
        <f>O1168-O1170</f>
        <v>35.9</v>
      </c>
      <c r="P1171" s="5">
        <f>P1167-P1170</f>
        <v>28.6</v>
      </c>
      <c r="Q1171" s="5">
        <f>Q1167-Q1170</f>
        <v>28.6</v>
      </c>
      <c r="R1171" s="409"/>
      <c r="S1171" s="409"/>
    </row>
    <row r="1172" spans="1:19" x14ac:dyDescent="0.2">
      <c r="A1172" s="176" t="s">
        <v>22</v>
      </c>
      <c r="B1172" s="361"/>
      <c r="C1172" s="447"/>
      <c r="D1172" s="361"/>
      <c r="E1172" s="383"/>
      <c r="F1172" s="361"/>
      <c r="G1172" s="361"/>
      <c r="H1172" s="383"/>
      <c r="I1172" s="383"/>
      <c r="J1172" s="383"/>
      <c r="K1172" s="383"/>
      <c r="L1172" s="383"/>
      <c r="M1172" s="383"/>
      <c r="N1172" s="383"/>
      <c r="O1172" s="383"/>
      <c r="P1172" s="16"/>
      <c r="Q1172" s="16"/>
      <c r="R1172" s="421"/>
      <c r="S1172" s="421"/>
    </row>
    <row r="1173" spans="1:19" x14ac:dyDescent="0.2">
      <c r="A1173" s="176" t="s">
        <v>179</v>
      </c>
      <c r="B1173" s="264"/>
      <c r="C1173" s="264"/>
      <c r="D1173" s="264"/>
      <c r="E1173" s="264"/>
      <c r="F1173" s="264"/>
      <c r="G1173" s="264"/>
      <c r="H1173" s="264"/>
      <c r="I1173" s="264"/>
      <c r="J1173" s="264"/>
      <c r="K1173" s="264"/>
      <c r="L1173" s="264"/>
      <c r="M1173" s="264"/>
      <c r="N1173" s="264"/>
      <c r="O1173" s="264"/>
      <c r="P1173" s="9"/>
      <c r="Q1173" s="9"/>
      <c r="R1173" s="411"/>
      <c r="S1173" s="412"/>
    </row>
    <row r="1174" spans="1:19" x14ac:dyDescent="0.2">
      <c r="A1174" s="176" t="s">
        <v>200</v>
      </c>
      <c r="B1174" s="264"/>
      <c r="C1174" s="264"/>
      <c r="D1174" s="264"/>
      <c r="E1174" s="264"/>
      <c r="F1174" s="264"/>
      <c r="G1174" s="264"/>
      <c r="H1174" s="264"/>
      <c r="I1174" s="264"/>
      <c r="J1174" s="264"/>
      <c r="K1174" s="264"/>
      <c r="L1174" s="264"/>
      <c r="M1174" s="264"/>
      <c r="N1174" s="264"/>
      <c r="O1174" s="264"/>
      <c r="P1174" s="9"/>
      <c r="Q1174" s="9"/>
      <c r="R1174" s="411"/>
      <c r="S1174" s="412"/>
    </row>
    <row r="1175" spans="1:19" x14ac:dyDescent="0.2">
      <c r="A1175" s="178" t="s">
        <v>201</v>
      </c>
      <c r="B1175" s="165"/>
      <c r="C1175" s="165"/>
      <c r="D1175" s="165"/>
      <c r="E1175" s="165"/>
      <c r="F1175" s="165"/>
      <c r="G1175" s="165"/>
      <c r="H1175" s="165"/>
      <c r="I1175" s="165"/>
      <c r="J1175" s="165"/>
      <c r="K1175" s="165"/>
      <c r="L1175" s="165"/>
      <c r="M1175" s="165"/>
      <c r="N1175" s="165"/>
      <c r="O1175" s="165"/>
      <c r="R1175" s="329"/>
      <c r="S1175" s="413"/>
    </row>
    <row r="1176" spans="1:19" x14ac:dyDescent="0.2">
      <c r="A1176" s="178" t="s">
        <v>212</v>
      </c>
      <c r="B1176" s="165"/>
      <c r="C1176" s="165"/>
      <c r="D1176" s="165"/>
      <c r="E1176" s="165"/>
      <c r="F1176" s="165"/>
      <c r="G1176" s="165"/>
      <c r="H1176" s="165"/>
      <c r="I1176" s="165"/>
      <c r="J1176" s="165"/>
      <c r="K1176" s="165"/>
      <c r="L1176" s="165"/>
      <c r="M1176" s="165"/>
      <c r="N1176" s="165"/>
      <c r="O1176" s="165"/>
      <c r="R1176" s="329"/>
      <c r="S1176" s="413"/>
    </row>
    <row r="1177" spans="1:19" x14ac:dyDescent="0.2">
      <c r="A1177" s="178" t="s">
        <v>213</v>
      </c>
      <c r="B1177" s="165"/>
      <c r="C1177" s="165"/>
      <c r="D1177" s="165"/>
      <c r="E1177" s="165"/>
      <c r="F1177" s="165"/>
      <c r="G1177" s="165"/>
      <c r="H1177" s="165"/>
      <c r="I1177" s="165"/>
      <c r="J1177" s="165"/>
      <c r="K1177" s="165"/>
      <c r="L1177" s="165"/>
      <c r="M1177" s="165"/>
      <c r="N1177" s="165"/>
      <c r="O1177" s="165"/>
      <c r="R1177" s="329"/>
      <c r="S1177" s="413"/>
    </row>
    <row r="1178" spans="1:19" x14ac:dyDescent="0.2">
      <c r="A1178" s="178" t="s">
        <v>214</v>
      </c>
      <c r="B1178" s="165"/>
      <c r="C1178" s="266"/>
      <c r="D1178" s="267"/>
      <c r="E1178" s="268"/>
      <c r="F1178" s="165"/>
      <c r="G1178" s="165"/>
      <c r="H1178" s="267"/>
      <c r="I1178" s="165"/>
      <c r="J1178" s="165"/>
      <c r="K1178" s="165"/>
      <c r="L1178" s="165"/>
      <c r="M1178" s="165"/>
      <c r="N1178" s="165"/>
      <c r="O1178" s="165"/>
      <c r="R1178" s="329"/>
      <c r="S1178" s="413"/>
    </row>
    <row r="1179" spans="1:19" x14ac:dyDescent="0.2">
      <c r="A1179" s="178" t="s">
        <v>241</v>
      </c>
      <c r="B1179" s="165"/>
      <c r="C1179" s="165"/>
      <c r="D1179" s="165"/>
      <c r="E1179" s="165"/>
      <c r="F1179" s="165"/>
      <c r="G1179" s="165"/>
      <c r="H1179" s="267"/>
      <c r="I1179" s="165"/>
      <c r="J1179" s="165"/>
      <c r="K1179" s="165"/>
      <c r="L1179" s="165"/>
      <c r="M1179" s="165"/>
      <c r="N1179" s="165"/>
      <c r="O1179" s="165"/>
      <c r="R1179" s="329"/>
      <c r="S1179" s="413"/>
    </row>
    <row r="1180" spans="1:19" x14ac:dyDescent="0.2">
      <c r="A1180" s="178" t="s">
        <v>282</v>
      </c>
      <c r="B1180" s="165"/>
      <c r="C1180" s="165"/>
      <c r="D1180" s="165"/>
      <c r="E1180" s="165"/>
      <c r="F1180" s="165"/>
      <c r="G1180" s="165"/>
      <c r="H1180" s="267"/>
      <c r="I1180" s="165"/>
      <c r="J1180" s="165"/>
      <c r="K1180" s="165"/>
      <c r="L1180" s="165"/>
      <c r="M1180" s="165"/>
      <c r="N1180" s="165"/>
      <c r="O1180" s="165"/>
      <c r="R1180" s="329"/>
      <c r="S1180" s="413"/>
    </row>
    <row r="1181" spans="1:19" x14ac:dyDescent="0.2">
      <c r="A1181" s="178" t="s">
        <v>283</v>
      </c>
      <c r="B1181" s="165"/>
      <c r="C1181" s="165"/>
      <c r="D1181" s="165"/>
      <c r="E1181" s="165"/>
      <c r="F1181" s="165"/>
      <c r="G1181" s="165"/>
      <c r="H1181" s="267"/>
      <c r="I1181" s="165"/>
      <c r="J1181" s="165"/>
      <c r="K1181" s="165"/>
      <c r="L1181" s="165"/>
      <c r="M1181" s="165"/>
      <c r="N1181" s="165"/>
      <c r="O1181" s="165"/>
      <c r="R1181" s="329"/>
      <c r="S1181" s="413"/>
    </row>
    <row r="1182" spans="1:19" x14ac:dyDescent="0.2">
      <c r="A1182" s="178" t="s">
        <v>284</v>
      </c>
      <c r="B1182" s="165"/>
      <c r="C1182" s="165"/>
      <c r="D1182" s="165"/>
      <c r="E1182" s="165"/>
      <c r="F1182" s="165"/>
      <c r="G1182" s="165"/>
      <c r="H1182" s="267"/>
      <c r="I1182" s="165"/>
      <c r="J1182" s="165"/>
      <c r="K1182" s="165"/>
      <c r="L1182" s="165"/>
      <c r="M1182" s="165"/>
      <c r="N1182" s="165"/>
      <c r="O1182" s="165"/>
      <c r="R1182" s="329"/>
      <c r="S1182" s="413"/>
    </row>
    <row r="1183" spans="1:19" x14ac:dyDescent="0.2">
      <c r="A1183" s="178" t="s">
        <v>650</v>
      </c>
      <c r="B1183" s="165"/>
      <c r="C1183" s="165"/>
      <c r="D1183" s="165"/>
      <c r="E1183" s="165"/>
      <c r="F1183" s="165"/>
      <c r="G1183" s="165"/>
      <c r="H1183" s="267"/>
      <c r="I1183" s="165"/>
      <c r="J1183" s="165"/>
      <c r="K1183" s="165"/>
      <c r="L1183" s="165"/>
      <c r="M1183" s="165"/>
      <c r="N1183" s="165"/>
      <c r="O1183" s="165"/>
      <c r="R1183" s="329"/>
      <c r="S1183" s="413"/>
    </row>
    <row r="1184" spans="1:19" x14ac:dyDescent="0.2">
      <c r="A1184" s="358" t="s">
        <v>821</v>
      </c>
      <c r="B1184" s="366"/>
      <c r="C1184" s="366"/>
      <c r="D1184" s="366"/>
      <c r="E1184" s="366"/>
      <c r="F1184" s="366"/>
      <c r="G1184" s="366"/>
      <c r="H1184" s="366"/>
      <c r="I1184" s="366"/>
      <c r="J1184" s="366"/>
      <c r="K1184" s="366"/>
      <c r="L1184" s="366"/>
      <c r="M1184" s="366"/>
      <c r="N1184" s="366"/>
      <c r="O1184" s="366"/>
      <c r="P1184" s="13"/>
      <c r="Q1184" s="13"/>
      <c r="R1184" s="331"/>
      <c r="S1184" s="333"/>
    </row>
    <row r="1185" spans="1:7" x14ac:dyDescent="0.2">
      <c r="A1185" s="133"/>
      <c r="C1185" s="441"/>
    </row>
    <row r="1186" spans="1:7" s="22" customFormat="1" x14ac:dyDescent="0.2">
      <c r="A1186" s="171" t="s">
        <v>14</v>
      </c>
      <c r="B1186" s="172" t="s">
        <v>571</v>
      </c>
      <c r="C1186" s="172" t="s">
        <v>15</v>
      </c>
      <c r="D1186" s="165"/>
    </row>
    <row r="1187" spans="1:7" s="22" customFormat="1" x14ac:dyDescent="0.2">
      <c r="A1187" s="358" t="s">
        <v>16</v>
      </c>
      <c r="B1187" s="359">
        <v>2020</v>
      </c>
      <c r="C1187" s="174">
        <v>2021</v>
      </c>
      <c r="D1187" s="174">
        <v>2022</v>
      </c>
      <c r="E1187" s="174">
        <v>2023</v>
      </c>
      <c r="F1187" s="594">
        <v>2024</v>
      </c>
      <c r="G1187" s="594">
        <v>2025</v>
      </c>
    </row>
    <row r="1188" spans="1:7" s="22" customFormat="1" x14ac:dyDescent="0.2">
      <c r="A1188" s="173" t="s">
        <v>17</v>
      </c>
      <c r="B1188" s="24">
        <v>4010</v>
      </c>
      <c r="C1188" s="24">
        <v>4010</v>
      </c>
      <c r="D1188" s="24">
        <v>4010</v>
      </c>
      <c r="E1188" s="24">
        <v>4010</v>
      </c>
      <c r="F1188" s="607">
        <v>3055</v>
      </c>
      <c r="G1188" s="607">
        <v>3055</v>
      </c>
    </row>
    <row r="1189" spans="1:7" s="22" customFormat="1" x14ac:dyDescent="0.2">
      <c r="A1189" s="173" t="s">
        <v>18</v>
      </c>
      <c r="B1189" s="24"/>
      <c r="C1189" s="24"/>
      <c r="D1189" s="24"/>
      <c r="E1189" s="24"/>
      <c r="F1189" s="607">
        <f>F1188-43</f>
        <v>3012</v>
      </c>
      <c r="G1189" s="607">
        <f>G1188-43</f>
        <v>3012</v>
      </c>
    </row>
    <row r="1190" spans="1:7" s="22" customFormat="1" x14ac:dyDescent="0.2">
      <c r="A1190" s="173" t="s">
        <v>19</v>
      </c>
      <c r="B1190" s="24"/>
      <c r="C1190" s="24"/>
      <c r="D1190" s="24"/>
      <c r="E1190" s="24"/>
      <c r="F1190" s="607"/>
      <c r="G1190" s="607"/>
    </row>
    <row r="1191" spans="1:7" s="22" customFormat="1" x14ac:dyDescent="0.2">
      <c r="A1191" s="173" t="s">
        <v>20</v>
      </c>
      <c r="B1191" s="24">
        <v>1896.6</v>
      </c>
      <c r="C1191" s="24">
        <v>1798</v>
      </c>
      <c r="D1191" s="24">
        <v>2237.3000000000002</v>
      </c>
      <c r="E1191" s="607">
        <v>2254.5</v>
      </c>
      <c r="F1191" s="607"/>
      <c r="G1191" s="607"/>
    </row>
    <row r="1192" spans="1:7" s="22" customFormat="1" x14ac:dyDescent="0.2">
      <c r="A1192" s="173" t="s">
        <v>21</v>
      </c>
      <c r="B1192" s="24">
        <v>2113.4</v>
      </c>
      <c r="C1192" s="24">
        <f>C1188-C1191</f>
        <v>2212</v>
      </c>
      <c r="D1192" s="24">
        <f>D1188-D1191</f>
        <v>1772.6999999999998</v>
      </c>
      <c r="E1192" s="607">
        <f>E1188-E1191</f>
        <v>1755.5</v>
      </c>
      <c r="F1192" s="607"/>
      <c r="G1192" s="607"/>
    </row>
    <row r="1193" spans="1:7" s="22" customFormat="1" x14ac:dyDescent="0.2">
      <c r="A1193" s="176" t="s">
        <v>22</v>
      </c>
      <c r="B1193" s="361"/>
      <c r="C1193" s="361"/>
      <c r="D1193" s="361"/>
      <c r="E1193" s="361"/>
      <c r="F1193" s="596"/>
      <c r="G1193" s="596"/>
    </row>
    <row r="1194" spans="1:7" s="22" customFormat="1" x14ac:dyDescent="0.2">
      <c r="A1194" s="173" t="s">
        <v>23</v>
      </c>
      <c r="B1194" s="385"/>
      <c r="C1194" s="385"/>
      <c r="D1194" s="385"/>
      <c r="E1194" s="385"/>
      <c r="F1194" s="661"/>
      <c r="G1194" s="654"/>
    </row>
    <row r="1195" spans="1:7" s="22" customFormat="1" x14ac:dyDescent="0.2">
      <c r="A1195" s="178" t="s">
        <v>822</v>
      </c>
      <c r="B1195" s="165"/>
      <c r="C1195" s="165"/>
      <c r="D1195" s="165"/>
      <c r="E1195" s="165"/>
      <c r="F1195" s="622"/>
      <c r="G1195" s="610"/>
    </row>
    <row r="1196" spans="1:7" s="22" customFormat="1" x14ac:dyDescent="0.2">
      <c r="A1196" s="178" t="s">
        <v>651</v>
      </c>
      <c r="B1196" s="165"/>
      <c r="C1196" s="165"/>
      <c r="D1196" s="165"/>
      <c r="E1196" s="165"/>
      <c r="F1196" s="622"/>
      <c r="G1196" s="610"/>
    </row>
    <row r="1197" spans="1:7" s="22" customFormat="1" x14ac:dyDescent="0.2">
      <c r="A1197" s="178" t="s">
        <v>652</v>
      </c>
      <c r="B1197" s="165"/>
      <c r="C1197" s="165"/>
      <c r="D1197" s="165"/>
      <c r="E1197" s="165"/>
      <c r="F1197" s="622"/>
      <c r="G1197" s="610"/>
    </row>
    <row r="1198" spans="1:7" s="22" customFormat="1" x14ac:dyDescent="0.2">
      <c r="A1198" s="178" t="s">
        <v>823</v>
      </c>
      <c r="B1198" s="165"/>
      <c r="C1198" s="165"/>
      <c r="D1198" s="165"/>
      <c r="E1198" s="165"/>
      <c r="F1198" s="622"/>
      <c r="G1198" s="610"/>
    </row>
    <row r="1199" spans="1:7" s="22" customFormat="1" x14ac:dyDescent="0.2">
      <c r="A1199" s="178" t="s">
        <v>824</v>
      </c>
      <c r="B1199" s="165"/>
      <c r="C1199" s="165"/>
      <c r="D1199" s="165"/>
      <c r="E1199" s="165"/>
      <c r="F1199" s="622"/>
      <c r="G1199" s="610"/>
    </row>
    <row r="1200" spans="1:7" s="22" customFormat="1" x14ac:dyDescent="0.2">
      <c r="A1200" s="477" t="s">
        <v>1058</v>
      </c>
      <c r="B1200" s="165"/>
      <c r="C1200" s="165"/>
      <c r="D1200" s="165"/>
      <c r="E1200" s="165"/>
      <c r="F1200" s="622"/>
      <c r="G1200" s="610"/>
    </row>
    <row r="1201" spans="1:7" x14ac:dyDescent="0.2">
      <c r="A1201" s="402" t="s">
        <v>1114</v>
      </c>
      <c r="B1201" s="13"/>
      <c r="C1201" s="131"/>
      <c r="D1201" s="13"/>
      <c r="E1201" s="13"/>
      <c r="F1201" s="331"/>
      <c r="G1201" s="333"/>
    </row>
    <row r="1202" spans="1:7" x14ac:dyDescent="0.2">
      <c r="A1202" s="665"/>
      <c r="C1202" s="441"/>
      <c r="F1202" s="329"/>
      <c r="G1202" s="329"/>
    </row>
    <row r="1203" spans="1:7" x14ac:dyDescent="0.2">
      <c r="A1203" s="667" t="s">
        <v>14</v>
      </c>
      <c r="B1203" s="668" t="s">
        <v>1075</v>
      </c>
      <c r="C1203" s="668" t="s">
        <v>15</v>
      </c>
      <c r="D1203" s="622"/>
      <c r="E1203" s="329"/>
      <c r="F1203" s="329"/>
      <c r="G1203" s="329"/>
    </row>
    <row r="1204" spans="1:7" x14ac:dyDescent="0.2">
      <c r="A1204" s="669" t="s">
        <v>16</v>
      </c>
      <c r="B1204" s="670">
        <v>2023</v>
      </c>
      <c r="C1204" s="670">
        <v>2024</v>
      </c>
      <c r="D1204" s="670"/>
      <c r="E1204" s="671"/>
      <c r="F1204" s="670"/>
      <c r="G1204" s="329"/>
    </row>
    <row r="1205" spans="1:7" x14ac:dyDescent="0.2">
      <c r="A1205" s="669" t="s">
        <v>17</v>
      </c>
      <c r="B1205" s="595">
        <v>62</v>
      </c>
      <c r="C1205" s="595">
        <v>62</v>
      </c>
      <c r="D1205" s="595"/>
      <c r="E1205" s="672"/>
      <c r="F1205" s="595"/>
      <c r="G1205" s="329"/>
    </row>
    <row r="1206" spans="1:7" x14ac:dyDescent="0.2">
      <c r="A1206" s="669" t="s">
        <v>18</v>
      </c>
      <c r="B1206" s="595"/>
      <c r="C1206" s="595"/>
      <c r="D1206" s="595"/>
      <c r="E1206" s="672"/>
      <c r="F1206" s="595"/>
      <c r="G1206" s="329"/>
    </row>
    <row r="1207" spans="1:7" x14ac:dyDescent="0.2">
      <c r="A1207" s="669" t="s">
        <v>19</v>
      </c>
      <c r="B1207" s="595"/>
      <c r="C1207" s="595"/>
      <c r="D1207" s="595"/>
      <c r="E1207" s="672"/>
      <c r="F1207" s="595"/>
      <c r="G1207" s="329"/>
    </row>
    <row r="1208" spans="1:7" x14ac:dyDescent="0.2">
      <c r="A1208" s="669" t="s">
        <v>20</v>
      </c>
      <c r="B1208" s="595">
        <v>4.4000000000000004</v>
      </c>
      <c r="C1208" s="595"/>
      <c r="D1208" s="595"/>
      <c r="E1208" s="672"/>
      <c r="F1208" s="595"/>
      <c r="G1208" s="329"/>
    </row>
    <row r="1209" spans="1:7" x14ac:dyDescent="0.2">
      <c r="A1209" s="669" t="s">
        <v>21</v>
      </c>
      <c r="B1209" s="596">
        <f>B1205-B1208</f>
        <v>57.6</v>
      </c>
      <c r="C1209" s="596"/>
      <c r="D1209" s="596"/>
      <c r="E1209" s="673"/>
      <c r="F1209" s="595"/>
      <c r="G1209" s="329"/>
    </row>
    <row r="1210" spans="1:7" x14ac:dyDescent="0.2">
      <c r="A1210" s="669" t="s">
        <v>22</v>
      </c>
      <c r="B1210" s="674"/>
      <c r="C1210" s="675"/>
      <c r="D1210" s="675"/>
      <c r="E1210" s="661"/>
      <c r="F1210" s="675"/>
      <c r="G1210" s="329"/>
    </row>
    <row r="1211" spans="1:7" x14ac:dyDescent="0.2">
      <c r="A1211" s="676" t="s">
        <v>23</v>
      </c>
      <c r="B1211" s="622"/>
      <c r="C1211" s="622"/>
      <c r="D1211" s="622"/>
      <c r="E1211" s="329"/>
      <c r="F1211" s="413"/>
      <c r="G1211" s="329"/>
    </row>
    <row r="1212" spans="1:7" x14ac:dyDescent="0.2">
      <c r="A1212" s="598" t="s">
        <v>1115</v>
      </c>
      <c r="B1212" s="622"/>
      <c r="C1212" s="622"/>
      <c r="D1212" s="622"/>
      <c r="E1212" s="329"/>
      <c r="F1212" s="413"/>
      <c r="G1212" s="329"/>
    </row>
    <row r="1213" spans="1:7" x14ac:dyDescent="0.2">
      <c r="A1213" s="666"/>
      <c r="B1213" s="331"/>
      <c r="C1213" s="331"/>
      <c r="D1213" s="331"/>
      <c r="E1213" s="331"/>
      <c r="F1213" s="333"/>
      <c r="G1213" s="329"/>
    </row>
    <row r="1214" spans="1:7" x14ac:dyDescent="0.2">
      <c r="A1214" s="665"/>
      <c r="C1214" s="441"/>
      <c r="F1214" s="329"/>
      <c r="G1214" s="329"/>
    </row>
    <row r="1215" spans="1:7" x14ac:dyDescent="0.2">
      <c r="A1215" s="133"/>
      <c r="C1215" s="441"/>
    </row>
    <row r="1216" spans="1:7" x14ac:dyDescent="0.2">
      <c r="A1216" s="386" t="s">
        <v>677</v>
      </c>
      <c r="B1216" s="284" t="s">
        <v>676</v>
      </c>
      <c r="C1216" s="35"/>
      <c r="D1216" s="35"/>
      <c r="E1216" s="35"/>
      <c r="F1216" s="35"/>
      <c r="G1216" s="35"/>
    </row>
    <row r="1217" spans="1:13" x14ac:dyDescent="0.2">
      <c r="A1217" s="286" t="s">
        <v>14</v>
      </c>
      <c r="B1217" s="287" t="s">
        <v>625</v>
      </c>
      <c r="C1217" s="33" t="s">
        <v>15</v>
      </c>
      <c r="D1217" s="35"/>
      <c r="E1217" s="35"/>
      <c r="F1217" s="35"/>
      <c r="G1217" s="35"/>
    </row>
    <row r="1218" spans="1:13" x14ac:dyDescent="0.2">
      <c r="A1218" s="98" t="s">
        <v>16</v>
      </c>
      <c r="B1218" s="116">
        <v>2014</v>
      </c>
      <c r="C1218" s="113">
        <v>2015</v>
      </c>
      <c r="D1218" s="113">
        <v>2016</v>
      </c>
      <c r="E1218" s="113">
        <v>2017</v>
      </c>
      <c r="F1218" s="17">
        <v>2018</v>
      </c>
      <c r="G1218" s="17">
        <v>2019</v>
      </c>
      <c r="H1218" s="2">
        <v>2020</v>
      </c>
      <c r="I1218" s="2">
        <v>2021</v>
      </c>
      <c r="J1218" s="2">
        <v>2022</v>
      </c>
      <c r="K1218" s="2">
        <v>2023</v>
      </c>
      <c r="L1218" s="468">
        <v>2024</v>
      </c>
    </row>
    <row r="1219" spans="1:13" x14ac:dyDescent="0.2">
      <c r="A1219" s="36" t="s">
        <v>17</v>
      </c>
      <c r="B1219" s="102">
        <v>200</v>
      </c>
      <c r="C1219" s="102">
        <v>200</v>
      </c>
      <c r="D1219" s="102">
        <v>200</v>
      </c>
      <c r="E1219" s="102">
        <v>200</v>
      </c>
      <c r="F1219" s="192">
        <v>200</v>
      </c>
      <c r="G1219" s="192">
        <v>215</v>
      </c>
      <c r="H1219" s="192">
        <v>215</v>
      </c>
      <c r="I1219" s="192">
        <v>242</v>
      </c>
      <c r="J1219" s="192">
        <v>242</v>
      </c>
      <c r="K1219" s="192">
        <v>242</v>
      </c>
      <c r="L1219" s="519">
        <v>302</v>
      </c>
    </row>
    <row r="1220" spans="1:13" x14ac:dyDescent="0.2">
      <c r="A1220" s="36" t="s">
        <v>18</v>
      </c>
      <c r="B1220" s="102">
        <v>250</v>
      </c>
      <c r="C1220" s="102">
        <v>215.6</v>
      </c>
      <c r="D1220" s="102">
        <v>250</v>
      </c>
      <c r="E1220" s="102">
        <v>250</v>
      </c>
      <c r="F1220" s="192">
        <v>250</v>
      </c>
      <c r="G1220" s="192">
        <v>265</v>
      </c>
      <c r="H1220" s="192">
        <v>265</v>
      </c>
      <c r="I1220" s="192">
        <f>I1219+0.25*G1219</f>
        <v>295.75</v>
      </c>
      <c r="J1220" s="192">
        <f>J1219+0.25*H1219</f>
        <v>295.75</v>
      </c>
      <c r="K1220" s="192">
        <f>K1219+I1219*0.25</f>
        <v>302.5</v>
      </c>
      <c r="L1220" s="519">
        <f>L1219+J1219*0.25</f>
        <v>362.5</v>
      </c>
    </row>
    <row r="1221" spans="1:13" x14ac:dyDescent="0.2">
      <c r="A1221" s="36" t="s">
        <v>19</v>
      </c>
      <c r="B1221" s="194" t="s">
        <v>132</v>
      </c>
      <c r="C1221" s="106" t="s">
        <v>133</v>
      </c>
      <c r="D1221" s="106" t="s">
        <v>134</v>
      </c>
      <c r="E1221" s="106" t="s">
        <v>134</v>
      </c>
      <c r="F1221" s="106" t="s">
        <v>134</v>
      </c>
      <c r="G1221" s="106" t="s">
        <v>497</v>
      </c>
      <c r="H1221" s="106" t="s">
        <v>497</v>
      </c>
      <c r="I1221" s="106" t="s">
        <v>498</v>
      </c>
      <c r="J1221" s="106" t="s">
        <v>498</v>
      </c>
      <c r="K1221" s="106" t="s">
        <v>830</v>
      </c>
      <c r="L1221" s="623" t="s">
        <v>830</v>
      </c>
    </row>
    <row r="1222" spans="1:13" x14ac:dyDescent="0.2">
      <c r="A1222" s="36" t="s">
        <v>20</v>
      </c>
      <c r="B1222" s="102">
        <v>63.87</v>
      </c>
      <c r="C1222" s="102">
        <v>4.54</v>
      </c>
      <c r="D1222" s="102">
        <v>13.18</v>
      </c>
      <c r="E1222" s="102">
        <v>7.9</v>
      </c>
      <c r="F1222" s="192">
        <v>27.27</v>
      </c>
      <c r="G1222" s="192">
        <v>48.48</v>
      </c>
      <c r="H1222" s="5">
        <v>115.9</v>
      </c>
      <c r="I1222" s="5">
        <v>114.61</v>
      </c>
      <c r="J1222" s="5">
        <v>124.28</v>
      </c>
      <c r="K1222" s="5">
        <v>105.64</v>
      </c>
      <c r="L1222" s="409"/>
    </row>
    <row r="1223" spans="1:13" x14ac:dyDescent="0.2">
      <c r="A1223" s="36" t="s">
        <v>21</v>
      </c>
      <c r="B1223" s="102">
        <v>186.13</v>
      </c>
      <c r="C1223" s="102">
        <v>211.06</v>
      </c>
      <c r="D1223" s="102">
        <v>236.82</v>
      </c>
      <c r="E1223" s="102">
        <v>242.1</v>
      </c>
      <c r="F1223" s="192">
        <v>222.73</v>
      </c>
      <c r="G1223" s="192">
        <f>G1220-G1222</f>
        <v>216.52</v>
      </c>
      <c r="H1223" s="5">
        <f>H1220-H1222</f>
        <v>149.1</v>
      </c>
      <c r="I1223" s="5">
        <f>I1220-I1222</f>
        <v>181.14</v>
      </c>
      <c r="J1223" s="5">
        <f>J1220-J1222</f>
        <v>171.47</v>
      </c>
      <c r="K1223" s="5">
        <f>K1220-K1222</f>
        <v>196.86</v>
      </c>
      <c r="L1223" s="409"/>
    </row>
    <row r="1224" spans="1:13" x14ac:dyDescent="0.2">
      <c r="A1224" s="39" t="s">
        <v>22</v>
      </c>
      <c r="B1224" s="107">
        <v>2016</v>
      </c>
      <c r="C1224" s="107">
        <v>2017</v>
      </c>
      <c r="D1224" s="107">
        <v>2018</v>
      </c>
      <c r="E1224" s="107">
        <v>2019</v>
      </c>
      <c r="F1224" s="278">
        <v>2020</v>
      </c>
      <c r="G1224" s="278">
        <v>2021</v>
      </c>
      <c r="H1224" s="28">
        <v>2022</v>
      </c>
      <c r="I1224" s="28">
        <v>2023</v>
      </c>
      <c r="J1224" s="28">
        <v>2024</v>
      </c>
      <c r="K1224" s="28">
        <v>2025</v>
      </c>
      <c r="L1224" s="467">
        <v>2026</v>
      </c>
    </row>
    <row r="1225" spans="1:13" x14ac:dyDescent="0.2">
      <c r="A1225" s="259" t="s">
        <v>135</v>
      </c>
      <c r="B1225" s="260"/>
      <c r="C1225" s="260"/>
      <c r="D1225" s="260"/>
      <c r="E1225" s="260"/>
      <c r="F1225" s="260"/>
      <c r="G1225" s="260"/>
      <c r="H1225" s="260"/>
      <c r="I1225" s="260"/>
      <c r="J1225" s="254"/>
      <c r="K1225" s="254"/>
      <c r="L1225" s="512"/>
    </row>
    <row r="1226" spans="1:13" x14ac:dyDescent="0.2">
      <c r="A1226" s="133"/>
      <c r="C1226" s="441"/>
    </row>
    <row r="1227" spans="1:13" x14ac:dyDescent="0.2">
      <c r="A1227" s="32" t="s">
        <v>14</v>
      </c>
      <c r="B1227" s="33" t="s">
        <v>639</v>
      </c>
      <c r="C1227" s="33" t="s">
        <v>15</v>
      </c>
      <c r="D1227" s="35"/>
      <c r="E1227" s="35"/>
      <c r="F1227" s="35"/>
      <c r="G1227" s="35"/>
    </row>
    <row r="1228" spans="1:13" x14ac:dyDescent="0.2">
      <c r="A1228" s="98" t="s">
        <v>16</v>
      </c>
      <c r="B1228" s="116">
        <v>2014</v>
      </c>
      <c r="C1228" s="113">
        <v>2015</v>
      </c>
      <c r="D1228" s="113">
        <v>2016</v>
      </c>
      <c r="E1228" s="113">
        <v>2017</v>
      </c>
      <c r="F1228" s="17">
        <v>2018</v>
      </c>
      <c r="G1228" s="17">
        <v>2019</v>
      </c>
      <c r="H1228" s="2">
        <v>2020</v>
      </c>
      <c r="I1228" s="2">
        <v>2021</v>
      </c>
      <c r="J1228" s="2">
        <v>2022</v>
      </c>
      <c r="K1228" s="2">
        <v>2023</v>
      </c>
      <c r="L1228" s="2">
        <v>2024</v>
      </c>
      <c r="M1228" s="468">
        <v>2025</v>
      </c>
    </row>
    <row r="1229" spans="1:13" x14ac:dyDescent="0.2">
      <c r="A1229" s="36" t="s">
        <v>17</v>
      </c>
      <c r="B1229" s="102">
        <v>140</v>
      </c>
      <c r="C1229" s="102">
        <v>140</v>
      </c>
      <c r="D1229" s="102">
        <v>140</v>
      </c>
      <c r="E1229" s="102">
        <v>140</v>
      </c>
      <c r="F1229" s="192">
        <v>140</v>
      </c>
      <c r="G1229" s="192">
        <v>140</v>
      </c>
      <c r="H1229" s="192">
        <v>140</v>
      </c>
      <c r="I1229" s="192">
        <v>140</v>
      </c>
      <c r="J1229" s="192">
        <v>140</v>
      </c>
      <c r="K1229" s="192">
        <v>170</v>
      </c>
      <c r="L1229" s="192">
        <v>170</v>
      </c>
      <c r="M1229" s="519">
        <v>170</v>
      </c>
    </row>
    <row r="1230" spans="1:13" x14ac:dyDescent="0.2">
      <c r="A1230" s="36" t="s">
        <v>18</v>
      </c>
      <c r="B1230" s="102">
        <v>140</v>
      </c>
      <c r="C1230" s="102">
        <v>177.5</v>
      </c>
      <c r="D1230" s="102">
        <v>175</v>
      </c>
      <c r="E1230" s="102">
        <v>175</v>
      </c>
      <c r="F1230" s="192">
        <v>175</v>
      </c>
      <c r="G1230" s="192">
        <v>175</v>
      </c>
      <c r="H1230" s="192">
        <v>148.36000000000001</v>
      </c>
      <c r="I1230" s="192">
        <v>144.99</v>
      </c>
      <c r="J1230" s="192">
        <f>J1229+H1233</f>
        <v>156.91000000000003</v>
      </c>
      <c r="K1230" s="192">
        <f>K1229+I1233</f>
        <v>183.97</v>
      </c>
      <c r="L1230" s="192">
        <f>L1229+2.08</f>
        <v>172.08</v>
      </c>
      <c r="M1230" s="519">
        <f>M1229+0.25*K1229</f>
        <v>212.5</v>
      </c>
    </row>
    <row r="1231" spans="1:13" x14ac:dyDescent="0.2">
      <c r="A1231" s="36" t="s">
        <v>19</v>
      </c>
      <c r="B1231" s="106" t="s">
        <v>136</v>
      </c>
      <c r="C1231" s="106" t="s">
        <v>137</v>
      </c>
      <c r="D1231" s="106" t="s">
        <v>138</v>
      </c>
      <c r="E1231" s="106" t="s">
        <v>138</v>
      </c>
      <c r="F1231" s="106" t="s">
        <v>138</v>
      </c>
      <c r="G1231" s="106" t="s">
        <v>138</v>
      </c>
      <c r="H1231" s="106" t="s">
        <v>285</v>
      </c>
      <c r="I1231" s="106" t="s">
        <v>499</v>
      </c>
      <c r="J1231" s="106" t="s">
        <v>500</v>
      </c>
      <c r="K1231" s="106" t="s">
        <v>737</v>
      </c>
      <c r="L1231" s="106" t="s">
        <v>936</v>
      </c>
      <c r="M1231" s="623" t="s">
        <v>1131</v>
      </c>
    </row>
    <row r="1232" spans="1:13" x14ac:dyDescent="0.2">
      <c r="A1232" s="36" t="s">
        <v>20</v>
      </c>
      <c r="B1232" s="102">
        <v>3.42</v>
      </c>
      <c r="C1232" s="102">
        <v>3.47</v>
      </c>
      <c r="D1232" s="102">
        <v>48.27</v>
      </c>
      <c r="E1232" s="102">
        <v>85.96</v>
      </c>
      <c r="F1232" s="192">
        <v>166.64</v>
      </c>
      <c r="G1232" s="192">
        <v>170.01</v>
      </c>
      <c r="H1232" s="5">
        <v>131.44999999999999</v>
      </c>
      <c r="I1232" s="5">
        <v>131.02000000000001</v>
      </c>
      <c r="J1232" s="5">
        <v>152.91999999999999</v>
      </c>
      <c r="K1232" s="5">
        <v>88</v>
      </c>
      <c r="L1232" s="5"/>
      <c r="M1232" s="409"/>
    </row>
    <row r="1233" spans="1:13" x14ac:dyDescent="0.2">
      <c r="A1233" s="36" t="s">
        <v>21</v>
      </c>
      <c r="B1233" s="387">
        <v>136.58000000000001</v>
      </c>
      <c r="C1233" s="102">
        <v>174.03</v>
      </c>
      <c r="D1233" s="102">
        <v>126.73</v>
      </c>
      <c r="E1233" s="102">
        <v>89.04</v>
      </c>
      <c r="F1233" s="192">
        <v>8.36</v>
      </c>
      <c r="G1233" s="192">
        <f>G1230-G1232</f>
        <v>4.9900000000000091</v>
      </c>
      <c r="H1233" s="5">
        <f>H1230-H1232</f>
        <v>16.910000000000025</v>
      </c>
      <c r="I1233" s="5">
        <f>I1230-I1232</f>
        <v>13.969999999999999</v>
      </c>
      <c r="J1233" s="5">
        <f>J1230-J1232</f>
        <v>3.9900000000000375</v>
      </c>
      <c r="K1233" s="5">
        <f>K1230-K1232</f>
        <v>95.97</v>
      </c>
      <c r="L1233" s="5"/>
      <c r="M1233" s="409"/>
    </row>
    <row r="1234" spans="1:13" x14ac:dyDescent="0.2">
      <c r="A1234" s="39" t="s">
        <v>22</v>
      </c>
      <c r="B1234" s="107">
        <v>2016</v>
      </c>
      <c r="C1234" s="107">
        <v>2017</v>
      </c>
      <c r="D1234" s="107">
        <v>2018</v>
      </c>
      <c r="E1234" s="107">
        <v>2019</v>
      </c>
      <c r="F1234" s="278">
        <v>2020</v>
      </c>
      <c r="G1234" s="278">
        <v>2021</v>
      </c>
      <c r="H1234" s="28">
        <v>2022</v>
      </c>
      <c r="I1234" s="28">
        <v>2023</v>
      </c>
      <c r="J1234" s="28">
        <v>2024</v>
      </c>
      <c r="K1234" s="28">
        <v>2025</v>
      </c>
      <c r="L1234" s="28">
        <v>2026</v>
      </c>
      <c r="M1234" s="467">
        <v>2027</v>
      </c>
    </row>
    <row r="1235" spans="1:13" x14ac:dyDescent="0.2">
      <c r="A1235" s="39" t="s">
        <v>135</v>
      </c>
      <c r="B1235" s="183"/>
      <c r="C1235" s="183"/>
      <c r="D1235" s="183"/>
      <c r="E1235" s="183"/>
      <c r="F1235" s="183"/>
      <c r="G1235" s="183"/>
      <c r="H1235" s="62"/>
      <c r="I1235" s="62"/>
      <c r="J1235" s="62"/>
      <c r="K1235" s="62"/>
      <c r="L1235" s="62"/>
      <c r="M1235" s="473"/>
    </row>
    <row r="1236" spans="1:13" x14ac:dyDescent="0.2">
      <c r="A1236" s="30" t="s">
        <v>937</v>
      </c>
      <c r="B1236" s="31"/>
      <c r="C1236" s="31"/>
      <c r="D1236" s="31"/>
      <c r="E1236" s="31"/>
      <c r="F1236" s="31"/>
      <c r="G1236" s="31"/>
      <c r="H1236" s="31"/>
      <c r="I1236" s="325"/>
      <c r="J1236" s="325"/>
      <c r="K1236" s="325"/>
      <c r="L1236" s="325"/>
      <c r="M1236" s="629"/>
    </row>
    <row r="1237" spans="1:13" x14ac:dyDescent="0.2">
      <c r="A1237" s="133"/>
      <c r="C1237" s="441"/>
    </row>
    <row r="1238" spans="1:13" x14ac:dyDescent="0.2">
      <c r="A1238" s="32" t="s">
        <v>14</v>
      </c>
      <c r="B1238" s="33" t="s">
        <v>624</v>
      </c>
      <c r="C1238" s="33" t="s">
        <v>152</v>
      </c>
      <c r="D1238" s="35"/>
      <c r="E1238" s="35"/>
      <c r="F1238" s="35"/>
      <c r="G1238" s="35"/>
    </row>
    <row r="1239" spans="1:13" x14ac:dyDescent="0.2">
      <c r="A1239" s="98" t="s">
        <v>16</v>
      </c>
      <c r="B1239" s="116">
        <v>2014</v>
      </c>
      <c r="C1239" s="113">
        <v>2015</v>
      </c>
      <c r="D1239" s="113">
        <v>2016</v>
      </c>
      <c r="E1239" s="113" t="s">
        <v>242</v>
      </c>
      <c r="F1239" s="113" t="s">
        <v>243</v>
      </c>
      <c r="G1239" s="113" t="s">
        <v>244</v>
      </c>
      <c r="H1239" s="113" t="s">
        <v>286</v>
      </c>
      <c r="I1239" s="113" t="s">
        <v>504</v>
      </c>
      <c r="J1239" s="113" t="s">
        <v>678</v>
      </c>
      <c r="K1239" s="113" t="s">
        <v>831</v>
      </c>
      <c r="L1239" s="461" t="s">
        <v>1060</v>
      </c>
    </row>
    <row r="1240" spans="1:13" x14ac:dyDescent="0.2">
      <c r="A1240" s="36" t="s">
        <v>17</v>
      </c>
      <c r="B1240" s="102">
        <v>50</v>
      </c>
      <c r="C1240" s="102">
        <v>50</v>
      </c>
      <c r="D1240" s="102">
        <v>50</v>
      </c>
      <c r="E1240" s="102">
        <v>50</v>
      </c>
      <c r="F1240" s="102">
        <v>50</v>
      </c>
      <c r="G1240" s="102">
        <v>50</v>
      </c>
      <c r="H1240" s="5">
        <v>50</v>
      </c>
      <c r="I1240" s="5">
        <v>50</v>
      </c>
      <c r="J1240" s="5">
        <v>50</v>
      </c>
      <c r="K1240" s="5">
        <v>50</v>
      </c>
      <c r="L1240" s="409">
        <v>50</v>
      </c>
    </row>
    <row r="1241" spans="1:13" x14ac:dyDescent="0.2">
      <c r="A1241" s="36" t="s">
        <v>18</v>
      </c>
      <c r="B1241" s="102">
        <v>45.6</v>
      </c>
      <c r="C1241" s="102">
        <v>45.6</v>
      </c>
      <c r="D1241" s="102">
        <v>65.34</v>
      </c>
      <c r="E1241" s="102">
        <v>75</v>
      </c>
      <c r="F1241" s="102">
        <v>70</v>
      </c>
      <c r="G1241" s="102">
        <v>70</v>
      </c>
      <c r="H1241" s="5">
        <v>70</v>
      </c>
      <c r="I1241" s="5">
        <v>70</v>
      </c>
      <c r="J1241" s="5">
        <v>70</v>
      </c>
      <c r="K1241" s="5">
        <v>70</v>
      </c>
      <c r="L1241" s="409">
        <v>70</v>
      </c>
    </row>
    <row r="1242" spans="1:13" x14ac:dyDescent="0.2">
      <c r="A1242" s="36" t="s">
        <v>19</v>
      </c>
      <c r="B1242" s="104" t="s">
        <v>139</v>
      </c>
      <c r="C1242" s="106" t="s">
        <v>139</v>
      </c>
      <c r="D1242" s="106" t="s">
        <v>140</v>
      </c>
      <c r="E1242" s="106" t="s">
        <v>141</v>
      </c>
      <c r="F1242" s="106" t="s">
        <v>245</v>
      </c>
      <c r="G1242" s="106" t="s">
        <v>245</v>
      </c>
      <c r="H1242" s="15" t="s">
        <v>245</v>
      </c>
      <c r="I1242" s="15" t="s">
        <v>245</v>
      </c>
      <c r="J1242" s="15" t="s">
        <v>245</v>
      </c>
      <c r="K1242" s="15" t="s">
        <v>245</v>
      </c>
      <c r="L1242" s="408" t="s">
        <v>245</v>
      </c>
    </row>
    <row r="1243" spans="1:13" x14ac:dyDescent="0.2">
      <c r="A1243" s="36" t="s">
        <v>20</v>
      </c>
      <c r="B1243" s="102">
        <v>34.659999999999997</v>
      </c>
      <c r="C1243" s="102">
        <v>0</v>
      </c>
      <c r="D1243" s="102">
        <v>9.14</v>
      </c>
      <c r="E1243" s="102">
        <v>18.559999999999999</v>
      </c>
      <c r="F1243" s="102">
        <v>8.7899999999999991</v>
      </c>
      <c r="G1243" s="102">
        <v>9.3699999999999992</v>
      </c>
      <c r="H1243" s="5">
        <v>13.7</v>
      </c>
      <c r="I1243" s="5">
        <v>13.48</v>
      </c>
      <c r="J1243" s="5">
        <v>16.86</v>
      </c>
      <c r="K1243" s="5">
        <v>19.89</v>
      </c>
      <c r="L1243" s="409"/>
    </row>
    <row r="1244" spans="1:13" x14ac:dyDescent="0.2">
      <c r="A1244" s="36" t="s">
        <v>21</v>
      </c>
      <c r="B1244" s="102">
        <v>10.94</v>
      </c>
      <c r="C1244" s="102">
        <v>45.6</v>
      </c>
      <c r="D1244" s="102">
        <v>56.2</v>
      </c>
      <c r="E1244" s="102">
        <v>56.44</v>
      </c>
      <c r="F1244" s="102">
        <v>61.21</v>
      </c>
      <c r="G1244" s="102">
        <f>G1241-G1243</f>
        <v>60.63</v>
      </c>
      <c r="H1244" s="102">
        <f>H1241-H1243</f>
        <v>56.3</v>
      </c>
      <c r="I1244" s="102">
        <f>I1241-I1243</f>
        <v>56.519999999999996</v>
      </c>
      <c r="J1244" s="102">
        <f>J1241-J1243</f>
        <v>53.14</v>
      </c>
      <c r="K1244" s="102">
        <f>K1241-K1243</f>
        <v>50.11</v>
      </c>
      <c r="L1244" s="409"/>
    </row>
    <row r="1245" spans="1:13" x14ac:dyDescent="0.2">
      <c r="A1245" s="39" t="s">
        <v>22</v>
      </c>
      <c r="B1245" s="107">
        <v>2016</v>
      </c>
      <c r="C1245" s="107">
        <v>2017</v>
      </c>
      <c r="D1245" s="107">
        <v>2018</v>
      </c>
      <c r="E1245" s="107">
        <v>2019</v>
      </c>
      <c r="F1245" s="107">
        <v>2020</v>
      </c>
      <c r="G1245" s="107">
        <v>2021</v>
      </c>
      <c r="H1245" s="28">
        <v>2022</v>
      </c>
      <c r="I1245" s="28">
        <v>2023</v>
      </c>
      <c r="J1245" s="28">
        <v>2024</v>
      </c>
      <c r="K1245" s="28">
        <v>2025</v>
      </c>
      <c r="L1245" s="467">
        <v>2026</v>
      </c>
    </row>
    <row r="1246" spans="1:13" x14ac:dyDescent="0.2">
      <c r="A1246" s="39" t="s">
        <v>579</v>
      </c>
      <c r="B1246" s="183"/>
      <c r="C1246" s="183"/>
      <c r="D1246" s="183"/>
      <c r="E1246" s="183"/>
      <c r="F1246" s="183"/>
      <c r="G1246" s="183"/>
      <c r="H1246" s="62"/>
      <c r="I1246" s="62"/>
      <c r="J1246" s="62"/>
      <c r="K1246" s="62"/>
      <c r="L1246" s="473"/>
    </row>
    <row r="1247" spans="1:13" x14ac:dyDescent="0.2">
      <c r="A1247" s="184" t="s">
        <v>502</v>
      </c>
      <c r="B1247" s="388"/>
      <c r="C1247" s="388"/>
      <c r="D1247" s="388"/>
      <c r="E1247" s="388"/>
      <c r="F1247" s="388"/>
      <c r="G1247" s="388"/>
      <c r="H1247" s="200"/>
      <c r="L1247" s="413"/>
    </row>
    <row r="1248" spans="1:13" x14ac:dyDescent="0.2">
      <c r="A1248" s="98" t="s">
        <v>503</v>
      </c>
      <c r="B1248" s="169"/>
      <c r="C1248" s="169"/>
      <c r="D1248" s="169"/>
      <c r="E1248" s="169"/>
      <c r="F1248" s="169"/>
      <c r="G1248" s="169"/>
      <c r="H1248" s="169"/>
      <c r="I1248" s="13"/>
      <c r="J1248" s="13"/>
      <c r="K1248" s="13"/>
      <c r="L1248" s="333"/>
    </row>
    <row r="1249" spans="1:12" ht="15.6" customHeight="1" x14ac:dyDescent="0.2">
      <c r="A1249" s="115"/>
      <c r="B1249" s="35"/>
      <c r="C1249" s="35"/>
      <c r="D1249" s="35"/>
      <c r="E1249" s="35"/>
      <c r="F1249" s="35"/>
      <c r="G1249" s="35"/>
      <c r="L1249" s="329"/>
    </row>
    <row r="1250" spans="1:12" x14ac:dyDescent="0.2">
      <c r="A1250" s="32" t="s">
        <v>14</v>
      </c>
      <c r="B1250" s="33" t="s">
        <v>642</v>
      </c>
      <c r="C1250" s="310" t="s">
        <v>152</v>
      </c>
      <c r="D1250" s="35"/>
      <c r="E1250" s="35"/>
      <c r="F1250" s="35"/>
      <c r="G1250" s="35"/>
      <c r="L1250" s="329"/>
    </row>
    <row r="1251" spans="1:12" x14ac:dyDescent="0.2">
      <c r="A1251" s="98" t="s">
        <v>16</v>
      </c>
      <c r="B1251" s="116">
        <v>2014</v>
      </c>
      <c r="C1251" s="113">
        <v>2015</v>
      </c>
      <c r="D1251" s="113">
        <v>2016</v>
      </c>
      <c r="E1251" s="113">
        <v>2017</v>
      </c>
      <c r="F1251" s="113" t="s">
        <v>243</v>
      </c>
      <c r="G1251" s="113" t="s">
        <v>244</v>
      </c>
      <c r="H1251" s="2" t="s">
        <v>286</v>
      </c>
      <c r="I1251" s="2" t="s">
        <v>504</v>
      </c>
      <c r="J1251" s="2" t="s">
        <v>678</v>
      </c>
      <c r="K1251" s="2">
        <v>2023</v>
      </c>
      <c r="L1251" s="468">
        <v>2023</v>
      </c>
    </row>
    <row r="1252" spans="1:12" x14ac:dyDescent="0.2">
      <c r="A1252" s="36" t="s">
        <v>17</v>
      </c>
      <c r="B1252" s="102">
        <v>50</v>
      </c>
      <c r="C1252" s="102">
        <v>50</v>
      </c>
      <c r="D1252" s="102">
        <v>50</v>
      </c>
      <c r="E1252" s="102">
        <v>50</v>
      </c>
      <c r="F1252" s="102">
        <v>50</v>
      </c>
      <c r="G1252" s="102">
        <v>50</v>
      </c>
      <c r="H1252" s="5">
        <v>50</v>
      </c>
      <c r="I1252" s="5">
        <v>50</v>
      </c>
      <c r="J1252" s="5">
        <v>50</v>
      </c>
      <c r="K1252" s="5">
        <v>50</v>
      </c>
      <c r="L1252" s="409">
        <v>50</v>
      </c>
    </row>
    <row r="1253" spans="1:12" x14ac:dyDescent="0.2">
      <c r="A1253" s="36" t="s">
        <v>18</v>
      </c>
      <c r="B1253" s="102">
        <v>50</v>
      </c>
      <c r="C1253" s="102">
        <v>60.7</v>
      </c>
      <c r="D1253" s="102">
        <v>47.37</v>
      </c>
      <c r="E1253" s="102">
        <v>65</v>
      </c>
      <c r="F1253" s="102">
        <v>60</v>
      </c>
      <c r="G1253" s="102">
        <v>60</v>
      </c>
      <c r="H1253" s="5">
        <f>H1252*1.2</f>
        <v>60</v>
      </c>
      <c r="I1253" s="5">
        <f>I1252*1.2</f>
        <v>60</v>
      </c>
      <c r="J1253" s="5">
        <f>J1252*1.2</f>
        <v>60</v>
      </c>
      <c r="K1253" s="5">
        <v>55</v>
      </c>
      <c r="L1253" s="409">
        <v>55</v>
      </c>
    </row>
    <row r="1254" spans="1:12" x14ac:dyDescent="0.2">
      <c r="A1254" s="36" t="s">
        <v>19</v>
      </c>
      <c r="B1254" s="106"/>
      <c r="C1254" s="106" t="s">
        <v>142</v>
      </c>
      <c r="D1254" s="106" t="s">
        <v>143</v>
      </c>
      <c r="E1254" s="106" t="s">
        <v>144</v>
      </c>
      <c r="F1254" s="106" t="s">
        <v>287</v>
      </c>
      <c r="G1254" s="106" t="s">
        <v>287</v>
      </c>
      <c r="H1254" s="106" t="s">
        <v>287</v>
      </c>
      <c r="I1254" s="106" t="s">
        <v>287</v>
      </c>
      <c r="J1254" s="106" t="s">
        <v>287</v>
      </c>
      <c r="K1254" s="106" t="s">
        <v>834</v>
      </c>
      <c r="L1254" s="623" t="s">
        <v>834</v>
      </c>
    </row>
    <row r="1255" spans="1:12" x14ac:dyDescent="0.2">
      <c r="A1255" s="36" t="s">
        <v>20</v>
      </c>
      <c r="B1255" s="102">
        <v>52.63</v>
      </c>
      <c r="C1255" s="102">
        <v>5.45</v>
      </c>
      <c r="D1255" s="102">
        <v>19.25</v>
      </c>
      <c r="E1255" s="102">
        <v>10.92</v>
      </c>
      <c r="F1255" s="102">
        <v>17.18</v>
      </c>
      <c r="G1255" s="102">
        <v>8.6999999999999993</v>
      </c>
      <c r="H1255" s="5">
        <v>15.41</v>
      </c>
      <c r="I1255" s="5">
        <v>5.56</v>
      </c>
      <c r="J1255" s="5">
        <v>6.37</v>
      </c>
      <c r="K1255" s="5">
        <v>4.57</v>
      </c>
      <c r="L1255" s="409"/>
    </row>
    <row r="1256" spans="1:12" x14ac:dyDescent="0.2">
      <c r="A1256" s="36" t="s">
        <v>21</v>
      </c>
      <c r="B1256" s="102">
        <v>-2.63</v>
      </c>
      <c r="C1256" s="102">
        <v>55.25</v>
      </c>
      <c r="D1256" s="102">
        <v>28.12</v>
      </c>
      <c r="E1256" s="102">
        <v>54.08</v>
      </c>
      <c r="F1256" s="102">
        <f t="shared" ref="F1256:K1256" si="39">F1253-F1255</f>
        <v>42.82</v>
      </c>
      <c r="G1256" s="102">
        <f t="shared" si="39"/>
        <v>51.3</v>
      </c>
      <c r="H1256" s="5">
        <f t="shared" si="39"/>
        <v>44.59</v>
      </c>
      <c r="I1256" s="5">
        <f t="shared" si="39"/>
        <v>54.44</v>
      </c>
      <c r="J1256" s="5">
        <f t="shared" si="39"/>
        <v>53.63</v>
      </c>
      <c r="K1256" s="5">
        <f t="shared" si="39"/>
        <v>50.43</v>
      </c>
      <c r="L1256" s="409"/>
    </row>
    <row r="1257" spans="1:12" x14ac:dyDescent="0.2">
      <c r="A1257" s="39" t="s">
        <v>22</v>
      </c>
      <c r="B1257" s="107">
        <v>2016</v>
      </c>
      <c r="C1257" s="107">
        <v>2017</v>
      </c>
      <c r="D1257" s="107">
        <v>2018</v>
      </c>
      <c r="E1257" s="107">
        <v>2019</v>
      </c>
      <c r="F1257" s="107">
        <v>2020</v>
      </c>
      <c r="G1257" s="107">
        <v>2021</v>
      </c>
      <c r="H1257" s="28">
        <v>2022</v>
      </c>
      <c r="I1257" s="28">
        <v>2023</v>
      </c>
      <c r="J1257" s="28">
        <v>2024</v>
      </c>
      <c r="K1257" s="28">
        <v>2025</v>
      </c>
      <c r="L1257" s="467">
        <v>2025</v>
      </c>
    </row>
    <row r="1258" spans="1:12" x14ac:dyDescent="0.2">
      <c r="A1258" s="39" t="s">
        <v>455</v>
      </c>
      <c r="B1258" s="183"/>
      <c r="C1258" s="183"/>
      <c r="D1258" s="183"/>
      <c r="E1258" s="183"/>
      <c r="F1258" s="183"/>
      <c r="G1258" s="183"/>
      <c r="H1258" s="62"/>
      <c r="I1258" s="9"/>
      <c r="J1258" s="9"/>
      <c r="K1258" s="9"/>
      <c r="L1258" s="412"/>
    </row>
    <row r="1259" spans="1:12" x14ac:dyDescent="0.2">
      <c r="A1259" s="184" t="s">
        <v>832</v>
      </c>
      <c r="B1259" s="388"/>
      <c r="C1259" s="388"/>
      <c r="D1259" s="388"/>
      <c r="E1259" s="388"/>
      <c r="F1259" s="388"/>
      <c r="G1259" s="388"/>
      <c r="H1259" s="200"/>
      <c r="L1259" s="413"/>
    </row>
    <row r="1260" spans="1:12" x14ac:dyDescent="0.2">
      <c r="A1260" s="98" t="s">
        <v>833</v>
      </c>
      <c r="B1260" s="169"/>
      <c r="C1260" s="169"/>
      <c r="D1260" s="169"/>
      <c r="E1260" s="169"/>
      <c r="F1260" s="169"/>
      <c r="G1260" s="169"/>
      <c r="H1260" s="169"/>
      <c r="I1260" s="13"/>
      <c r="J1260" s="13"/>
      <c r="K1260" s="13"/>
      <c r="L1260" s="333"/>
    </row>
    <row r="1261" spans="1:12" ht="14.45" customHeight="1" x14ac:dyDescent="0.2">
      <c r="A1261" s="84"/>
      <c r="B1261" s="84"/>
      <c r="C1261" s="84"/>
      <c r="D1261" s="84"/>
      <c r="E1261" s="84"/>
      <c r="F1261" s="84"/>
      <c r="G1261" s="84"/>
      <c r="H1261" s="84"/>
    </row>
    <row r="1262" spans="1:12" ht="14.45" customHeight="1" x14ac:dyDescent="0.2">
      <c r="A1262" s="32" t="s">
        <v>203</v>
      </c>
      <c r="B1262" s="33" t="s">
        <v>643</v>
      </c>
      <c r="C1262" s="33" t="s">
        <v>152</v>
      </c>
      <c r="D1262" s="35"/>
      <c r="E1262" s="35"/>
      <c r="F1262" s="35"/>
      <c r="G1262" s="35"/>
    </row>
    <row r="1263" spans="1:12" ht="14.45" customHeight="1" x14ac:dyDescent="0.2">
      <c r="A1263" s="98" t="s">
        <v>16</v>
      </c>
      <c r="B1263" s="99"/>
      <c r="C1263" s="101"/>
      <c r="D1263" s="113">
        <v>2016</v>
      </c>
      <c r="E1263" s="113">
        <v>2017</v>
      </c>
      <c r="F1263" s="113">
        <v>2018</v>
      </c>
      <c r="G1263" s="113">
        <v>2019</v>
      </c>
      <c r="H1263" s="2">
        <v>2020</v>
      </c>
      <c r="I1263" s="2">
        <v>2021</v>
      </c>
      <c r="J1263" s="2">
        <v>2022</v>
      </c>
      <c r="K1263" s="468">
        <v>2023</v>
      </c>
      <c r="L1263" s="468">
        <v>2024</v>
      </c>
    </row>
    <row r="1264" spans="1:12" ht="14.45" customHeight="1" x14ac:dyDescent="0.2">
      <c r="A1264" s="36" t="s">
        <v>17</v>
      </c>
      <c r="B1264" s="102"/>
      <c r="C1264" s="102"/>
      <c r="D1264" s="102">
        <v>113.66</v>
      </c>
      <c r="E1264" s="102">
        <v>136.46</v>
      </c>
      <c r="F1264" s="102">
        <v>160</v>
      </c>
      <c r="G1264" s="102">
        <v>184</v>
      </c>
      <c r="H1264" s="5">
        <v>200</v>
      </c>
      <c r="I1264" s="5">
        <v>200</v>
      </c>
      <c r="J1264" s="5">
        <v>200</v>
      </c>
      <c r="K1264" s="5">
        <v>221</v>
      </c>
      <c r="L1264" s="409">
        <v>221</v>
      </c>
    </row>
    <row r="1265" spans="1:12" ht="14.45" customHeight="1" x14ac:dyDescent="0.2">
      <c r="A1265" s="36" t="s">
        <v>18</v>
      </c>
      <c r="B1265" s="102"/>
      <c r="C1265" s="102"/>
      <c r="D1265" s="102">
        <v>163.66</v>
      </c>
      <c r="E1265" s="102">
        <v>181.46</v>
      </c>
      <c r="F1265" s="102">
        <v>210</v>
      </c>
      <c r="G1265" s="102">
        <v>234</v>
      </c>
      <c r="H1265" s="5">
        <v>251.57</v>
      </c>
      <c r="I1265" s="5">
        <f>I1264+50+H1268</f>
        <v>254.29999999999998</v>
      </c>
      <c r="J1265" s="5">
        <f>J1264+50+10</f>
        <v>260</v>
      </c>
      <c r="K1265" s="5">
        <f>K1264+50+J1268</f>
        <v>278.72399999999999</v>
      </c>
      <c r="L1265" s="409">
        <f>L1264+50+K1268</f>
        <v>276.17399999999998</v>
      </c>
    </row>
    <row r="1266" spans="1:12" ht="14.45" customHeight="1" x14ac:dyDescent="0.2">
      <c r="A1266" s="36" t="s">
        <v>19</v>
      </c>
      <c r="B1266" s="105"/>
      <c r="C1266" s="105"/>
      <c r="D1266" s="106" t="s">
        <v>290</v>
      </c>
      <c r="E1266" s="106" t="s">
        <v>291</v>
      </c>
      <c r="F1266" s="106" t="s">
        <v>292</v>
      </c>
      <c r="G1266" s="106" t="s">
        <v>293</v>
      </c>
      <c r="H1266" s="15" t="s">
        <v>294</v>
      </c>
      <c r="I1266" s="15" t="s">
        <v>506</v>
      </c>
      <c r="J1266" s="15" t="s">
        <v>680</v>
      </c>
      <c r="K1266" s="15" t="s">
        <v>837</v>
      </c>
      <c r="L1266" s="408" t="s">
        <v>1061</v>
      </c>
    </row>
    <row r="1267" spans="1:12" ht="14.45" customHeight="1" x14ac:dyDescent="0.2">
      <c r="A1267" s="36" t="s">
        <v>20</v>
      </c>
      <c r="B1267" s="102"/>
      <c r="C1267" s="102"/>
      <c r="D1267" s="102">
        <v>161.08000000000001</v>
      </c>
      <c r="E1267" s="102">
        <v>181.19</v>
      </c>
      <c r="F1267" s="102">
        <v>207.97</v>
      </c>
      <c r="G1267" s="102">
        <v>232.43299999999999</v>
      </c>
      <c r="H1267" s="5">
        <v>247.27</v>
      </c>
      <c r="I1267" s="5">
        <v>242.24</v>
      </c>
      <c r="J1267" s="5">
        <v>252.27600000000001</v>
      </c>
      <c r="K1267" s="5">
        <v>273.55</v>
      </c>
      <c r="L1267" s="409"/>
    </row>
    <row r="1268" spans="1:12" ht="14.45" customHeight="1" x14ac:dyDescent="0.2">
      <c r="A1268" s="36" t="s">
        <v>21</v>
      </c>
      <c r="B1268" s="102"/>
      <c r="C1268" s="102"/>
      <c r="D1268" s="102">
        <v>2.58</v>
      </c>
      <c r="E1268" s="102">
        <v>0.27</v>
      </c>
      <c r="F1268" s="102">
        <v>2.0299999999999998</v>
      </c>
      <c r="G1268" s="102">
        <v>1.5670000000000073</v>
      </c>
      <c r="H1268" s="5">
        <f>H1265-H1267</f>
        <v>4.2999999999999829</v>
      </c>
      <c r="I1268" s="5">
        <f>I1265-I1267</f>
        <v>12.059999999999974</v>
      </c>
      <c r="J1268" s="5">
        <f>J1265-J1267</f>
        <v>7.7239999999999895</v>
      </c>
      <c r="K1268" s="5">
        <f>K1265-K1267</f>
        <v>5.1739999999999782</v>
      </c>
      <c r="L1268" s="409"/>
    </row>
    <row r="1269" spans="1:12" ht="14.45" customHeight="1" x14ac:dyDescent="0.2">
      <c r="A1269" s="39" t="s">
        <v>22</v>
      </c>
      <c r="B1269" s="40"/>
      <c r="C1269" s="40"/>
      <c r="D1269" s="40"/>
      <c r="E1269" s="40"/>
      <c r="F1269" s="40"/>
      <c r="G1269" s="107">
        <v>2020</v>
      </c>
      <c r="H1269" s="28">
        <v>2021</v>
      </c>
      <c r="I1269" s="16">
        <v>2022</v>
      </c>
      <c r="J1269" s="16">
        <v>2023</v>
      </c>
      <c r="K1269" s="16">
        <v>2024</v>
      </c>
      <c r="L1269" s="421">
        <v>2025</v>
      </c>
    </row>
    <row r="1270" spans="1:12" ht="14.45" customHeight="1" x14ac:dyDescent="0.2">
      <c r="A1270" s="39" t="s">
        <v>295</v>
      </c>
      <c r="B1270" s="41"/>
      <c r="C1270" s="41"/>
      <c r="D1270" s="41"/>
      <c r="E1270" s="41"/>
      <c r="F1270" s="41"/>
      <c r="G1270" s="41"/>
      <c r="H1270" s="9"/>
      <c r="I1270" s="9"/>
      <c r="J1270" s="9"/>
      <c r="K1270" s="9"/>
      <c r="L1270" s="7"/>
    </row>
    <row r="1271" spans="1:12" ht="14.45" customHeight="1" x14ac:dyDescent="0.2">
      <c r="A1271" s="184" t="s">
        <v>296</v>
      </c>
      <c r="B1271" s="35"/>
      <c r="C1271" s="35"/>
      <c r="D1271" s="35"/>
      <c r="E1271" s="35"/>
      <c r="F1271" s="35"/>
      <c r="G1271" s="35"/>
      <c r="L1271" s="12"/>
    </row>
    <row r="1272" spans="1:12" ht="14.45" customHeight="1" x14ac:dyDescent="0.2">
      <c r="A1272" s="184" t="s">
        <v>297</v>
      </c>
      <c r="B1272" s="35"/>
      <c r="C1272" s="35"/>
      <c r="D1272" s="35"/>
      <c r="E1272" s="35"/>
      <c r="F1272" s="35"/>
      <c r="G1272" s="35"/>
      <c r="L1272" s="12"/>
    </row>
    <row r="1273" spans="1:12" ht="14.45" customHeight="1" x14ac:dyDescent="0.2">
      <c r="A1273" s="184" t="s">
        <v>298</v>
      </c>
      <c r="B1273" s="35"/>
      <c r="C1273" s="35"/>
      <c r="D1273" s="35"/>
      <c r="E1273" s="35"/>
      <c r="F1273" s="35"/>
      <c r="G1273" s="35"/>
      <c r="L1273" s="12"/>
    </row>
    <row r="1274" spans="1:12" ht="14.45" customHeight="1" x14ac:dyDescent="0.2">
      <c r="A1274" s="184" t="s">
        <v>505</v>
      </c>
      <c r="B1274" s="35"/>
      <c r="C1274" s="35"/>
      <c r="D1274" s="35"/>
      <c r="E1274" s="35"/>
      <c r="F1274" s="35"/>
      <c r="G1274" s="35"/>
      <c r="L1274" s="12"/>
    </row>
    <row r="1275" spans="1:12" ht="14.45" customHeight="1" x14ac:dyDescent="0.2">
      <c r="A1275" s="184" t="s">
        <v>679</v>
      </c>
      <c r="B1275" s="35"/>
      <c r="C1275" s="35"/>
      <c r="D1275" s="35"/>
      <c r="E1275" s="35"/>
      <c r="F1275" s="35"/>
      <c r="G1275" s="35"/>
      <c r="L1275" s="12"/>
    </row>
    <row r="1276" spans="1:12" ht="14.45" customHeight="1" x14ac:dyDescent="0.2">
      <c r="A1276" s="184" t="s">
        <v>835</v>
      </c>
      <c r="B1276" s="35"/>
      <c r="C1276" s="35"/>
      <c r="D1276" s="35"/>
      <c r="E1276" s="35"/>
      <c r="F1276" s="35"/>
      <c r="G1276" s="35"/>
      <c r="L1276" s="12"/>
    </row>
    <row r="1277" spans="1:12" ht="14.45" customHeight="1" x14ac:dyDescent="0.2">
      <c r="A1277" s="98" t="s">
        <v>836</v>
      </c>
      <c r="B1277" s="169"/>
      <c r="C1277" s="169"/>
      <c r="D1277" s="169"/>
      <c r="E1277" s="169"/>
      <c r="F1277" s="169"/>
      <c r="G1277" s="169"/>
      <c r="H1277" s="13"/>
      <c r="I1277" s="13"/>
      <c r="J1277" s="13"/>
      <c r="K1277" s="13"/>
      <c r="L1277" s="14"/>
    </row>
    <row r="1278" spans="1:12" ht="14.45" customHeight="1" x14ac:dyDescent="0.2">
      <c r="A1278" s="84"/>
      <c r="B1278" s="84"/>
      <c r="C1278" s="84"/>
      <c r="D1278" s="84"/>
      <c r="E1278" s="84"/>
      <c r="F1278" s="84"/>
      <c r="G1278" s="84"/>
      <c r="H1278" s="84"/>
    </row>
    <row r="1279" spans="1:12" x14ac:dyDescent="0.2">
      <c r="A1279" s="32" t="s">
        <v>203</v>
      </c>
      <c r="B1279" s="33" t="s">
        <v>66</v>
      </c>
      <c r="C1279" s="33" t="s">
        <v>152</v>
      </c>
      <c r="D1279" s="35"/>
      <c r="E1279" s="35"/>
      <c r="F1279" s="35"/>
      <c r="G1279" s="35"/>
    </row>
    <row r="1280" spans="1:12" x14ac:dyDescent="0.2">
      <c r="A1280" s="98" t="s">
        <v>16</v>
      </c>
      <c r="B1280" s="116">
        <v>2014</v>
      </c>
      <c r="C1280" s="113">
        <v>2015</v>
      </c>
      <c r="D1280" s="113">
        <v>2016</v>
      </c>
      <c r="E1280" s="113">
        <v>2017</v>
      </c>
      <c r="F1280" s="113">
        <v>2018</v>
      </c>
      <c r="G1280" s="113">
        <v>2019</v>
      </c>
      <c r="H1280" s="2">
        <v>2020</v>
      </c>
      <c r="I1280" s="2">
        <v>2021</v>
      </c>
      <c r="J1280" s="2">
        <v>2022</v>
      </c>
      <c r="K1280" s="2">
        <v>2023</v>
      </c>
      <c r="L1280" s="468">
        <v>2024</v>
      </c>
    </row>
    <row r="1281" spans="1:12" x14ac:dyDescent="0.2">
      <c r="A1281" s="36" t="s">
        <v>17</v>
      </c>
      <c r="B1281" s="102">
        <v>1983</v>
      </c>
      <c r="C1281" s="102">
        <v>1983</v>
      </c>
      <c r="D1281" s="102">
        <v>1486</v>
      </c>
      <c r="E1281" s="102">
        <v>1486</v>
      </c>
      <c r="F1281" s="102">
        <v>1486</v>
      </c>
      <c r="G1281" s="102">
        <v>1486</v>
      </c>
      <c r="H1281" s="5">
        <v>1000</v>
      </c>
      <c r="I1281" s="5">
        <v>984</v>
      </c>
      <c r="J1281" s="5">
        <v>992</v>
      </c>
      <c r="K1281" s="5">
        <v>992</v>
      </c>
      <c r="L1281" s="409">
        <v>992</v>
      </c>
    </row>
    <row r="1282" spans="1:12" x14ac:dyDescent="0.2">
      <c r="A1282" s="36" t="s">
        <v>18</v>
      </c>
      <c r="B1282" s="102">
        <v>2557.9</v>
      </c>
      <c r="C1282" s="102">
        <v>2557.9</v>
      </c>
      <c r="D1282" s="102">
        <v>2080.9</v>
      </c>
      <c r="E1282" s="102">
        <v>1708.9</v>
      </c>
      <c r="F1282" s="102">
        <v>1485.9</v>
      </c>
      <c r="G1282" s="102">
        <v>1485.9</v>
      </c>
      <c r="H1282" s="5">
        <f>H1281+F1281*0.15-223</f>
        <v>999.90000000000009</v>
      </c>
      <c r="I1282" s="5">
        <f>I1281-223+G1281*0.1</f>
        <v>909.6</v>
      </c>
      <c r="J1282" s="5">
        <f>J1281-223+H1281*0.1</f>
        <v>869</v>
      </c>
      <c r="K1282" s="5">
        <f>K1281+0.1*I1281-223</f>
        <v>867.40000000000009</v>
      </c>
      <c r="L1282" s="409">
        <f>L1281+0.1*J1281-223</f>
        <v>868.2</v>
      </c>
    </row>
    <row r="1283" spans="1:12" ht="28.9" customHeight="1" x14ac:dyDescent="0.2">
      <c r="A1283" s="36" t="s">
        <v>19</v>
      </c>
      <c r="B1283" s="105" t="s">
        <v>145</v>
      </c>
      <c r="C1283" s="105" t="s">
        <v>145</v>
      </c>
      <c r="D1283" s="105" t="s">
        <v>146</v>
      </c>
      <c r="E1283" s="105" t="s">
        <v>147</v>
      </c>
      <c r="F1283" s="105" t="s">
        <v>215</v>
      </c>
      <c r="G1283" s="105" t="s">
        <v>216</v>
      </c>
      <c r="H1283" s="27" t="s">
        <v>508</v>
      </c>
      <c r="I1283" s="27" t="s">
        <v>681</v>
      </c>
      <c r="J1283" s="27" t="s">
        <v>682</v>
      </c>
      <c r="K1283" s="27" t="s">
        <v>840</v>
      </c>
      <c r="L1283" s="496" t="s">
        <v>1062</v>
      </c>
    </row>
    <row r="1284" spans="1:12" x14ac:dyDescent="0.2">
      <c r="A1284" s="36" t="s">
        <v>20</v>
      </c>
      <c r="B1284" s="102">
        <v>1038.83</v>
      </c>
      <c r="C1284" s="102">
        <v>670.7</v>
      </c>
      <c r="D1284" s="102">
        <v>561.97</v>
      </c>
      <c r="E1284" s="102">
        <v>432.09</v>
      </c>
      <c r="F1284" s="102">
        <v>662.7</v>
      </c>
      <c r="G1284" s="102">
        <v>539.84</v>
      </c>
      <c r="H1284" s="5">
        <v>587.15</v>
      </c>
      <c r="I1284" s="5">
        <v>674.38</v>
      </c>
      <c r="J1284" s="5">
        <v>763.45</v>
      </c>
      <c r="K1284" s="5">
        <v>724.12</v>
      </c>
      <c r="L1284" s="409"/>
    </row>
    <row r="1285" spans="1:12" x14ac:dyDescent="0.2">
      <c r="A1285" s="36" t="s">
        <v>21</v>
      </c>
      <c r="B1285" s="102">
        <v>1519.07</v>
      </c>
      <c r="C1285" s="102">
        <v>1887.2</v>
      </c>
      <c r="D1285" s="102">
        <v>1518.93</v>
      </c>
      <c r="E1285" s="102">
        <v>1276.8100000000002</v>
      </c>
      <c r="F1285" s="102">
        <v>823.2</v>
      </c>
      <c r="G1285" s="102">
        <f>G1282-G1284</f>
        <v>946.06000000000006</v>
      </c>
      <c r="H1285" s="5">
        <f>H1282-H1284</f>
        <v>412.75000000000011</v>
      </c>
      <c r="I1285" s="5">
        <f>I1282-I1284</f>
        <v>235.22000000000003</v>
      </c>
      <c r="J1285" s="5">
        <f>J1282-J1284</f>
        <v>105.54999999999995</v>
      </c>
      <c r="K1285" s="5">
        <f>K1282-K1284</f>
        <v>143.28000000000009</v>
      </c>
      <c r="L1285" s="409"/>
    </row>
    <row r="1286" spans="1:12" x14ac:dyDescent="0.2">
      <c r="A1286" s="39" t="s">
        <v>22</v>
      </c>
      <c r="B1286" s="107">
        <v>2016</v>
      </c>
      <c r="C1286" s="107">
        <v>2017</v>
      </c>
      <c r="D1286" s="107">
        <v>2018</v>
      </c>
      <c r="E1286" s="107">
        <v>2019</v>
      </c>
      <c r="F1286" s="107">
        <v>2020</v>
      </c>
      <c r="G1286" s="107">
        <v>2021</v>
      </c>
      <c r="H1286" s="28">
        <v>2022</v>
      </c>
      <c r="I1286" s="28">
        <v>2023</v>
      </c>
      <c r="J1286" s="28">
        <v>2024</v>
      </c>
      <c r="K1286" s="28">
        <v>2025</v>
      </c>
      <c r="L1286" s="467">
        <v>2026</v>
      </c>
    </row>
    <row r="1287" spans="1:12" x14ac:dyDescent="0.2">
      <c r="A1287" s="39" t="s">
        <v>580</v>
      </c>
      <c r="B1287" s="183"/>
      <c r="C1287" s="183"/>
      <c r="D1287" s="183"/>
      <c r="E1287" s="183"/>
      <c r="F1287" s="183"/>
      <c r="G1287" s="183"/>
      <c r="H1287" s="62"/>
      <c r="I1287" s="62"/>
      <c r="J1287" s="62"/>
      <c r="K1287" s="62"/>
      <c r="L1287" s="473"/>
    </row>
    <row r="1288" spans="1:12" x14ac:dyDescent="0.2">
      <c r="A1288" s="184" t="s">
        <v>288</v>
      </c>
      <c r="B1288" s="35"/>
      <c r="C1288" s="35"/>
      <c r="D1288" s="35"/>
      <c r="E1288" s="35"/>
      <c r="F1288" s="35"/>
      <c r="G1288" s="35"/>
      <c r="L1288" s="413"/>
    </row>
    <row r="1289" spans="1:12" x14ac:dyDescent="0.2">
      <c r="A1289" s="184" t="s">
        <v>289</v>
      </c>
      <c r="B1289" s="35"/>
      <c r="C1289" s="35"/>
      <c r="D1289" s="35"/>
      <c r="E1289" s="35"/>
      <c r="F1289" s="35"/>
      <c r="G1289" s="35"/>
      <c r="L1289" s="413"/>
    </row>
    <row r="1290" spans="1:12" x14ac:dyDescent="0.2">
      <c r="A1290" s="184" t="s">
        <v>509</v>
      </c>
      <c r="B1290" s="35"/>
      <c r="C1290" s="35"/>
      <c r="D1290" s="35"/>
      <c r="E1290" s="35"/>
      <c r="F1290" s="35"/>
      <c r="G1290" s="35"/>
      <c r="L1290" s="413"/>
    </row>
    <row r="1291" spans="1:12" x14ac:dyDescent="0.2">
      <c r="A1291" s="184" t="s">
        <v>148</v>
      </c>
      <c r="B1291" s="35"/>
      <c r="C1291" s="35"/>
      <c r="D1291" s="35"/>
      <c r="E1291" s="35"/>
      <c r="F1291" s="35"/>
      <c r="G1291" s="35"/>
      <c r="L1291" s="413"/>
    </row>
    <row r="1292" spans="1:12" x14ac:dyDescent="0.2">
      <c r="A1292" s="184" t="s">
        <v>507</v>
      </c>
      <c r="B1292" s="35"/>
      <c r="C1292" s="35"/>
      <c r="D1292" s="35"/>
      <c r="E1292" s="35"/>
      <c r="F1292" s="35"/>
      <c r="G1292" s="35"/>
      <c r="L1292" s="413"/>
    </row>
    <row r="1293" spans="1:12" x14ac:dyDescent="0.2">
      <c r="A1293" s="184" t="s">
        <v>683</v>
      </c>
      <c r="B1293" s="35"/>
      <c r="C1293" s="35"/>
      <c r="D1293" s="35"/>
      <c r="E1293" s="35"/>
      <c r="F1293" s="35"/>
      <c r="G1293" s="35"/>
      <c r="L1293" s="413"/>
    </row>
    <row r="1294" spans="1:12" x14ac:dyDescent="0.2">
      <c r="A1294" s="184" t="s">
        <v>838</v>
      </c>
      <c r="B1294" s="35"/>
      <c r="C1294" s="35"/>
      <c r="D1294" s="35"/>
      <c r="E1294" s="35"/>
      <c r="F1294" s="35"/>
      <c r="G1294" s="35"/>
      <c r="L1294" s="413"/>
    </row>
    <row r="1295" spans="1:12" x14ac:dyDescent="0.2">
      <c r="A1295" s="98" t="s">
        <v>839</v>
      </c>
      <c r="B1295" s="169"/>
      <c r="C1295" s="169"/>
      <c r="D1295" s="169"/>
      <c r="E1295" s="169"/>
      <c r="F1295" s="169"/>
      <c r="G1295" s="169"/>
      <c r="H1295" s="13"/>
      <c r="I1295" s="13"/>
      <c r="J1295" s="13"/>
      <c r="K1295" s="13"/>
      <c r="L1295" s="333"/>
    </row>
    <row r="1296" spans="1:12" x14ac:dyDescent="0.2">
      <c r="A1296" s="35"/>
      <c r="B1296" s="35"/>
      <c r="C1296" s="35"/>
      <c r="D1296" s="35"/>
      <c r="E1296" s="35"/>
      <c r="F1296" s="35"/>
      <c r="G1296" s="35"/>
      <c r="L1296" s="329"/>
    </row>
    <row r="1297" spans="1:12" x14ac:dyDescent="0.2">
      <c r="A1297" s="133"/>
      <c r="C1297" s="441"/>
      <c r="L1297" s="329"/>
    </row>
    <row r="1298" spans="1:12" x14ac:dyDescent="0.2">
      <c r="A1298" s="32" t="s">
        <v>203</v>
      </c>
      <c r="B1298" s="33" t="s">
        <v>74</v>
      </c>
      <c r="C1298" s="33" t="s">
        <v>152</v>
      </c>
      <c r="D1298" s="35"/>
      <c r="E1298" s="35"/>
      <c r="F1298" s="35"/>
      <c r="G1298" s="35"/>
      <c r="L1298" s="329"/>
    </row>
    <row r="1299" spans="1:12" x14ac:dyDescent="0.2">
      <c r="A1299" s="98" t="s">
        <v>16</v>
      </c>
      <c r="B1299" s="116">
        <v>2014</v>
      </c>
      <c r="C1299" s="113">
        <v>2015</v>
      </c>
      <c r="D1299" s="113">
        <v>2016</v>
      </c>
      <c r="E1299" s="113">
        <v>2017</v>
      </c>
      <c r="F1299" s="113">
        <v>2018</v>
      </c>
      <c r="G1299" s="113">
        <v>2019</v>
      </c>
      <c r="H1299" s="2">
        <v>2020</v>
      </c>
      <c r="I1299" s="2">
        <v>2021</v>
      </c>
      <c r="J1299" s="2">
        <v>2022</v>
      </c>
      <c r="K1299" s="2">
        <v>2023</v>
      </c>
    </row>
    <row r="1300" spans="1:12" x14ac:dyDescent="0.2">
      <c r="A1300" s="36" t="s">
        <v>17</v>
      </c>
      <c r="B1300" s="102">
        <v>35</v>
      </c>
      <c r="C1300" s="102">
        <v>35</v>
      </c>
      <c r="D1300" s="102">
        <v>35</v>
      </c>
      <c r="E1300" s="102">
        <v>35</v>
      </c>
      <c r="F1300" s="102">
        <v>35</v>
      </c>
      <c r="G1300" s="102">
        <v>35</v>
      </c>
      <c r="H1300" s="5">
        <v>29.4</v>
      </c>
      <c r="I1300" s="5">
        <v>29.4</v>
      </c>
      <c r="J1300" s="5">
        <v>29.4</v>
      </c>
      <c r="K1300" s="5">
        <v>29.4</v>
      </c>
    </row>
    <row r="1301" spans="1:12" x14ac:dyDescent="0.2">
      <c r="A1301" s="36" t="s">
        <v>18</v>
      </c>
      <c r="B1301" s="102">
        <v>35</v>
      </c>
      <c r="C1301" s="102">
        <v>42</v>
      </c>
      <c r="D1301" s="102">
        <v>42</v>
      </c>
      <c r="E1301" s="102">
        <v>42</v>
      </c>
      <c r="F1301" s="102">
        <v>42</v>
      </c>
      <c r="G1301" s="102">
        <v>42</v>
      </c>
      <c r="H1301" s="5">
        <v>36.4</v>
      </c>
      <c r="I1301" s="5">
        <v>36.4</v>
      </c>
      <c r="J1301" s="5"/>
      <c r="K1301" s="5"/>
    </row>
    <row r="1302" spans="1:12" x14ac:dyDescent="0.2">
      <c r="A1302" s="36" t="s">
        <v>19</v>
      </c>
      <c r="B1302" s="114" t="s">
        <v>136</v>
      </c>
      <c r="C1302" s="389" t="s">
        <v>149</v>
      </c>
      <c r="D1302" s="389" t="s">
        <v>149</v>
      </c>
      <c r="E1302" s="389" t="s">
        <v>149</v>
      </c>
      <c r="F1302" s="389" t="s">
        <v>149</v>
      </c>
      <c r="G1302" s="389" t="s">
        <v>149</v>
      </c>
      <c r="H1302" s="145" t="s">
        <v>299</v>
      </c>
      <c r="I1302" s="145" t="s">
        <v>299</v>
      </c>
      <c r="J1302" s="145"/>
      <c r="K1302" s="145"/>
    </row>
    <row r="1303" spans="1:12" x14ac:dyDescent="0.2">
      <c r="A1303" s="36" t="s">
        <v>20</v>
      </c>
      <c r="B1303" s="102">
        <v>9.7799999999999994</v>
      </c>
      <c r="C1303" s="102">
        <v>3.07</v>
      </c>
      <c r="D1303" s="102">
        <v>26.19</v>
      </c>
      <c r="E1303" s="102">
        <v>25.13</v>
      </c>
      <c r="F1303" s="102">
        <v>24.55</v>
      </c>
      <c r="G1303" s="102">
        <v>12.91</v>
      </c>
      <c r="H1303" s="5">
        <v>20.36</v>
      </c>
      <c r="I1303" s="5">
        <v>11.52</v>
      </c>
      <c r="J1303" s="5">
        <v>10.3</v>
      </c>
      <c r="K1303" s="5">
        <v>12.92</v>
      </c>
    </row>
    <row r="1304" spans="1:12" x14ac:dyDescent="0.2">
      <c r="A1304" s="36" t="s">
        <v>21</v>
      </c>
      <c r="B1304" s="102">
        <v>25.22</v>
      </c>
      <c r="C1304" s="102">
        <v>38.93</v>
      </c>
      <c r="D1304" s="102">
        <v>15.81</v>
      </c>
      <c r="E1304" s="102">
        <v>16.87</v>
      </c>
      <c r="F1304" s="102">
        <v>17.45</v>
      </c>
      <c r="G1304" s="102">
        <f>G1301-G1303</f>
        <v>29.09</v>
      </c>
      <c r="H1304" s="5">
        <f>H1301-H1303</f>
        <v>16.04</v>
      </c>
      <c r="I1304" s="5">
        <f>I1301-I1303</f>
        <v>24.88</v>
      </c>
      <c r="J1304" s="5">
        <f>J1300-J1303</f>
        <v>19.099999999999998</v>
      </c>
      <c r="K1304" s="5">
        <f>K1300-K1303</f>
        <v>16.479999999999997</v>
      </c>
    </row>
    <row r="1305" spans="1:12" x14ac:dyDescent="0.2">
      <c r="A1305" s="39" t="s">
        <v>22</v>
      </c>
      <c r="B1305" s="107">
        <v>2016</v>
      </c>
      <c r="C1305" s="107">
        <v>2017</v>
      </c>
      <c r="D1305" s="107">
        <v>2018</v>
      </c>
      <c r="E1305" s="107">
        <v>2019</v>
      </c>
      <c r="F1305" s="107">
        <v>2020</v>
      </c>
      <c r="G1305" s="107">
        <v>2021</v>
      </c>
      <c r="H1305" s="107"/>
      <c r="I1305" s="107"/>
      <c r="J1305" s="107"/>
      <c r="K1305" s="107"/>
    </row>
    <row r="1306" spans="1:12" x14ac:dyDescent="0.2">
      <c r="A1306" s="39" t="s">
        <v>150</v>
      </c>
      <c r="B1306" s="183"/>
      <c r="C1306" s="183"/>
      <c r="D1306" s="183"/>
      <c r="E1306" s="183"/>
      <c r="F1306" s="183"/>
      <c r="G1306" s="183"/>
      <c r="H1306" s="183"/>
      <c r="I1306" s="183"/>
      <c r="J1306" s="183"/>
      <c r="K1306" s="278"/>
    </row>
    <row r="1307" spans="1:12" x14ac:dyDescent="0.2">
      <c r="A1307" s="184" t="s">
        <v>581</v>
      </c>
      <c r="B1307" s="388"/>
      <c r="C1307" s="388"/>
      <c r="D1307" s="388"/>
      <c r="E1307" s="388"/>
      <c r="F1307" s="388"/>
      <c r="G1307" s="388"/>
      <c r="H1307" s="388"/>
      <c r="I1307" s="388"/>
      <c r="J1307" s="388"/>
      <c r="K1307" s="390"/>
    </row>
    <row r="1308" spans="1:12" x14ac:dyDescent="0.2">
      <c r="A1308" s="30" t="s">
        <v>510</v>
      </c>
      <c r="B1308" s="31"/>
      <c r="C1308" s="31"/>
      <c r="D1308" s="31"/>
      <c r="E1308" s="31"/>
      <c r="F1308" s="31"/>
      <c r="G1308" s="31"/>
      <c r="H1308" s="31"/>
      <c r="I1308" s="31"/>
      <c r="J1308" s="31"/>
      <c r="K1308" s="391"/>
    </row>
    <row r="1309" spans="1:12" x14ac:dyDescent="0.2">
      <c r="A1309" s="133"/>
      <c r="C1309" s="441"/>
    </row>
    <row r="1310" spans="1:12" x14ac:dyDescent="0.2">
      <c r="A1310" s="32" t="s">
        <v>14</v>
      </c>
      <c r="B1310" s="33" t="s">
        <v>79</v>
      </c>
      <c r="C1310" s="33" t="s">
        <v>152</v>
      </c>
      <c r="D1310" s="35"/>
      <c r="E1310" s="35"/>
      <c r="F1310" s="35"/>
      <c r="G1310" s="35"/>
    </row>
    <row r="1311" spans="1:12" x14ac:dyDescent="0.2">
      <c r="A1311" s="98" t="s">
        <v>16</v>
      </c>
      <c r="B1311" s="116">
        <v>2014</v>
      </c>
      <c r="C1311" s="113">
        <v>2015</v>
      </c>
      <c r="D1311" s="113">
        <v>2016</v>
      </c>
      <c r="E1311" s="113">
        <v>2017</v>
      </c>
      <c r="F1311" s="113">
        <v>2018</v>
      </c>
      <c r="G1311" s="113">
        <v>2019</v>
      </c>
      <c r="H1311" s="2">
        <v>2020</v>
      </c>
      <c r="I1311" s="2">
        <v>2021</v>
      </c>
      <c r="J1311" s="2">
        <v>2022</v>
      </c>
      <c r="K1311" s="2">
        <v>2023</v>
      </c>
    </row>
    <row r="1312" spans="1:12" x14ac:dyDescent="0.2">
      <c r="A1312" s="36" t="s">
        <v>17</v>
      </c>
      <c r="B1312" s="102">
        <v>20</v>
      </c>
      <c r="C1312" s="102">
        <v>20</v>
      </c>
      <c r="D1312" s="102">
        <v>20</v>
      </c>
      <c r="E1312" s="102">
        <v>20</v>
      </c>
      <c r="F1312" s="102">
        <v>20</v>
      </c>
      <c r="G1312" s="102">
        <v>20</v>
      </c>
      <c r="H1312" s="102">
        <v>20</v>
      </c>
      <c r="I1312" s="102">
        <v>20</v>
      </c>
      <c r="J1312" s="102">
        <v>20</v>
      </c>
      <c r="K1312" s="102">
        <v>20</v>
      </c>
    </row>
    <row r="1313" spans="1:11" x14ac:dyDescent="0.2">
      <c r="A1313" s="36" t="s">
        <v>18</v>
      </c>
      <c r="B1313" s="102">
        <v>20</v>
      </c>
      <c r="C1313" s="102">
        <v>24</v>
      </c>
      <c r="D1313" s="102">
        <v>24</v>
      </c>
      <c r="E1313" s="102">
        <v>24</v>
      </c>
      <c r="F1313" s="102">
        <v>24</v>
      </c>
      <c r="G1313" s="102">
        <v>24</v>
      </c>
      <c r="H1313" s="102">
        <v>24</v>
      </c>
      <c r="I1313" s="102">
        <v>24</v>
      </c>
      <c r="J1313" s="102"/>
      <c r="K1313" s="102"/>
    </row>
    <row r="1314" spans="1:11" x14ac:dyDescent="0.2">
      <c r="A1314" s="36" t="s">
        <v>19</v>
      </c>
      <c r="B1314" s="114" t="s">
        <v>136</v>
      </c>
      <c r="C1314" s="114" t="s">
        <v>151</v>
      </c>
      <c r="D1314" s="114" t="s">
        <v>151</v>
      </c>
      <c r="E1314" s="114" t="s">
        <v>151</v>
      </c>
      <c r="F1314" s="114" t="s">
        <v>151</v>
      </c>
      <c r="G1314" s="114" t="s">
        <v>151</v>
      </c>
      <c r="H1314" s="114" t="s">
        <v>151</v>
      </c>
      <c r="I1314" s="114" t="s">
        <v>151</v>
      </c>
      <c r="J1314" s="114"/>
      <c r="K1314" s="114"/>
    </row>
    <row r="1315" spans="1:11" x14ac:dyDescent="0.2">
      <c r="A1315" s="36" t="s">
        <v>20</v>
      </c>
      <c r="B1315" s="102">
        <v>0.15</v>
      </c>
      <c r="C1315" s="102">
        <v>0</v>
      </c>
      <c r="D1315" s="102">
        <v>0</v>
      </c>
      <c r="E1315" s="102">
        <v>0.14000000000000001</v>
      </c>
      <c r="F1315" s="102">
        <v>0</v>
      </c>
      <c r="G1315" s="102">
        <v>0</v>
      </c>
      <c r="H1315" s="5">
        <v>0</v>
      </c>
      <c r="I1315" s="5">
        <v>0</v>
      </c>
      <c r="J1315" s="5">
        <v>0</v>
      </c>
      <c r="K1315" s="5">
        <v>0</v>
      </c>
    </row>
    <row r="1316" spans="1:11" x14ac:dyDescent="0.2">
      <c r="A1316" s="36" t="s">
        <v>21</v>
      </c>
      <c r="B1316" s="102">
        <v>19.850000000000001</v>
      </c>
      <c r="C1316" s="102">
        <v>24</v>
      </c>
      <c r="D1316" s="102">
        <v>24</v>
      </c>
      <c r="E1316" s="102">
        <v>23.86</v>
      </c>
      <c r="F1316" s="102">
        <v>24</v>
      </c>
      <c r="G1316" s="102">
        <f>G1313-G1315</f>
        <v>24</v>
      </c>
      <c r="H1316" s="102">
        <f>H1313-H1315</f>
        <v>24</v>
      </c>
      <c r="I1316" s="5">
        <v>24</v>
      </c>
      <c r="J1316" s="5">
        <v>20</v>
      </c>
      <c r="K1316" s="5">
        <v>20</v>
      </c>
    </row>
    <row r="1317" spans="1:11" x14ac:dyDescent="0.2">
      <c r="A1317" s="39" t="s">
        <v>22</v>
      </c>
      <c r="B1317" s="107">
        <v>2016</v>
      </c>
      <c r="C1317" s="107">
        <v>2017</v>
      </c>
      <c r="D1317" s="107">
        <v>2018</v>
      </c>
      <c r="E1317" s="107">
        <v>2019</v>
      </c>
      <c r="F1317" s="107">
        <v>2020</v>
      </c>
      <c r="G1317" s="107">
        <v>2021</v>
      </c>
      <c r="H1317" s="107"/>
      <c r="I1317" s="107"/>
      <c r="J1317" s="107"/>
      <c r="K1317" s="107"/>
    </row>
    <row r="1318" spans="1:11" x14ac:dyDescent="0.2">
      <c r="A1318" s="39" t="s">
        <v>150</v>
      </c>
      <c r="B1318" s="183"/>
      <c r="C1318" s="183"/>
      <c r="D1318" s="183"/>
      <c r="E1318" s="183"/>
      <c r="F1318" s="183"/>
      <c r="G1318" s="183"/>
      <c r="H1318" s="183"/>
      <c r="I1318" s="183"/>
      <c r="J1318" s="183"/>
      <c r="K1318" s="278"/>
    </row>
    <row r="1319" spans="1:11" x14ac:dyDescent="0.2">
      <c r="A1319" s="30" t="s">
        <v>510</v>
      </c>
      <c r="B1319" s="31"/>
      <c r="C1319" s="31"/>
      <c r="D1319" s="31"/>
      <c r="E1319" s="31"/>
      <c r="F1319" s="31"/>
      <c r="G1319" s="31"/>
      <c r="H1319" s="31"/>
      <c r="I1319" s="31"/>
      <c r="J1319" s="31"/>
      <c r="K1319" s="391"/>
    </row>
    <row r="1320" spans="1:11" x14ac:dyDescent="0.2">
      <c r="A1320" s="133"/>
      <c r="C1320" s="441"/>
    </row>
    <row r="1321" spans="1:11" x14ac:dyDescent="0.2">
      <c r="A1321" s="133"/>
      <c r="C1321" s="441"/>
    </row>
    <row r="1322" spans="1:11" x14ac:dyDescent="0.2">
      <c r="A1322" s="288" t="s">
        <v>12</v>
      </c>
      <c r="B1322" s="283" t="s">
        <v>398</v>
      </c>
    </row>
    <row r="1323" spans="1:11" s="567" customFormat="1" x14ac:dyDescent="0.2">
      <c r="A1323" s="507" t="s">
        <v>14</v>
      </c>
      <c r="B1323" s="508" t="s">
        <v>624</v>
      </c>
      <c r="C1323" s="508" t="s">
        <v>152</v>
      </c>
      <c r="D1323" s="329"/>
      <c r="E1323" s="329"/>
      <c r="F1323" s="329"/>
      <c r="G1323" s="329"/>
      <c r="H1323" s="329"/>
      <c r="I1323" s="329"/>
      <c r="J1323" s="329"/>
    </row>
    <row r="1324" spans="1:11" s="567" customFormat="1" x14ac:dyDescent="0.2">
      <c r="A1324" s="415" t="s">
        <v>16</v>
      </c>
      <c r="B1324" s="568">
        <v>2016</v>
      </c>
      <c r="C1324" s="468">
        <v>2017</v>
      </c>
      <c r="D1324" s="468">
        <v>2018</v>
      </c>
      <c r="E1324" s="468">
        <v>2019</v>
      </c>
      <c r="F1324" s="468">
        <v>2020</v>
      </c>
      <c r="G1324" s="468">
        <v>2021</v>
      </c>
      <c r="H1324" s="468">
        <v>2022</v>
      </c>
      <c r="I1324" s="468">
        <v>2023</v>
      </c>
      <c r="J1324" s="468">
        <v>2024</v>
      </c>
    </row>
    <row r="1325" spans="1:11" s="567" customFormat="1" x14ac:dyDescent="0.2">
      <c r="A1325" s="509" t="s">
        <v>17</v>
      </c>
      <c r="B1325" s="409"/>
      <c r="C1325" s="409"/>
      <c r="D1325" s="409"/>
      <c r="E1325" s="409"/>
      <c r="F1325" s="409"/>
      <c r="G1325" s="409"/>
      <c r="H1325" s="409"/>
      <c r="I1325" s="409"/>
      <c r="J1325" s="409"/>
    </row>
    <row r="1326" spans="1:11" s="567" customFormat="1" x14ac:dyDescent="0.2">
      <c r="A1326" s="509" t="s">
        <v>18</v>
      </c>
      <c r="B1326" s="409"/>
      <c r="C1326" s="409"/>
      <c r="D1326" s="409">
        <f>D1325-C1328</f>
        <v>-94.685890000000001</v>
      </c>
      <c r="E1326" s="409">
        <f>E1325+D1329</f>
        <v>-97.335890000000006</v>
      </c>
      <c r="F1326" s="409">
        <f t="shared" ref="F1326:J1326" si="40">F1325+E1329</f>
        <v>-104.01589000000001</v>
      </c>
      <c r="G1326" s="409">
        <f t="shared" si="40"/>
        <v>-110.74589000000002</v>
      </c>
      <c r="H1326" s="409">
        <f t="shared" si="40"/>
        <v>-114.20589000000001</v>
      </c>
      <c r="I1326" s="409">
        <f t="shared" si="40"/>
        <v>-114.69860000000001</v>
      </c>
      <c r="J1326" s="409">
        <f t="shared" si="40"/>
        <v>-115.27760000000001</v>
      </c>
    </row>
    <row r="1327" spans="1:11" s="567" customFormat="1" x14ac:dyDescent="0.2">
      <c r="A1327" s="509" t="s">
        <v>19</v>
      </c>
      <c r="B1327" s="485"/>
      <c r="C1327" s="733" t="s">
        <v>873</v>
      </c>
      <c r="D1327" s="734"/>
      <c r="E1327" s="734"/>
      <c r="F1327" s="734"/>
      <c r="G1327" s="734"/>
      <c r="H1327" s="734"/>
      <c r="I1327" s="734"/>
      <c r="J1327" s="735"/>
    </row>
    <row r="1328" spans="1:11" s="567" customFormat="1" x14ac:dyDescent="0.2">
      <c r="A1328" s="509" t="s">
        <v>20</v>
      </c>
      <c r="B1328" s="485"/>
      <c r="C1328" s="583">
        <v>94.685890000000001</v>
      </c>
      <c r="D1328" s="583">
        <v>2.65</v>
      </c>
      <c r="E1328" s="584">
        <v>6.68</v>
      </c>
      <c r="F1328" s="485">
        <v>6.73</v>
      </c>
      <c r="G1328" s="485">
        <v>3.46</v>
      </c>
      <c r="H1328" s="409">
        <v>0.49270999999999998</v>
      </c>
      <c r="I1328" s="409">
        <v>0.57899999999999996</v>
      </c>
      <c r="J1328" s="409"/>
    </row>
    <row r="1329" spans="1:10" s="567" customFormat="1" x14ac:dyDescent="0.2">
      <c r="A1329" s="509" t="s">
        <v>21</v>
      </c>
      <c r="B1329" s="409"/>
      <c r="C1329" s="409">
        <f>C1325-C1328</f>
        <v>-94.685890000000001</v>
      </c>
      <c r="D1329" s="409">
        <f t="shared" ref="D1329:I1329" si="41">D1326-D1328</f>
        <v>-97.335890000000006</v>
      </c>
      <c r="E1329" s="409">
        <f t="shared" si="41"/>
        <v>-104.01589000000001</v>
      </c>
      <c r="F1329" s="409">
        <f t="shared" si="41"/>
        <v>-110.74589000000002</v>
      </c>
      <c r="G1329" s="409">
        <f t="shared" si="41"/>
        <v>-114.20589000000001</v>
      </c>
      <c r="H1329" s="409">
        <f t="shared" si="41"/>
        <v>-114.69860000000001</v>
      </c>
      <c r="I1329" s="409">
        <f t="shared" si="41"/>
        <v>-115.27760000000001</v>
      </c>
      <c r="J1329" s="409"/>
    </row>
    <row r="1330" spans="1:10" s="567" customFormat="1" x14ac:dyDescent="0.2">
      <c r="A1330" s="410" t="s">
        <v>22</v>
      </c>
      <c r="B1330" s="569">
        <v>2017</v>
      </c>
      <c r="C1330" s="569">
        <v>2018</v>
      </c>
      <c r="D1330" s="569">
        <v>2019</v>
      </c>
      <c r="E1330" s="569">
        <v>2020</v>
      </c>
      <c r="F1330" s="569">
        <v>2021</v>
      </c>
      <c r="G1330" s="569">
        <v>2022</v>
      </c>
      <c r="H1330" s="569">
        <v>2023</v>
      </c>
      <c r="I1330" s="569">
        <v>2024</v>
      </c>
      <c r="J1330" s="569">
        <v>2025</v>
      </c>
    </row>
    <row r="1331" spans="1:10" s="567" customFormat="1" x14ac:dyDescent="0.2">
      <c r="A1331" s="509" t="s">
        <v>179</v>
      </c>
      <c r="B1331" s="524"/>
      <c r="C1331" s="524"/>
      <c r="D1331" s="524"/>
      <c r="E1331" s="524"/>
      <c r="F1331" s="524"/>
      <c r="G1331" s="524"/>
      <c r="H1331" s="524"/>
      <c r="I1331" s="524"/>
      <c r="J1331" s="512"/>
    </row>
    <row r="1332" spans="1:10" s="567" customFormat="1" x14ac:dyDescent="0.2">
      <c r="A1332" s="415" t="s">
        <v>1032</v>
      </c>
      <c r="B1332" s="331"/>
      <c r="C1332" s="331"/>
      <c r="D1332" s="331"/>
      <c r="E1332" s="331"/>
      <c r="F1332" s="331"/>
      <c r="G1332" s="331"/>
      <c r="H1332" s="331"/>
      <c r="I1332" s="331"/>
      <c r="J1332" s="333"/>
    </row>
    <row r="1333" spans="1:10" s="567" customFormat="1" x14ac:dyDescent="0.2">
      <c r="A1333" s="414"/>
      <c r="B1333" s="329"/>
      <c r="C1333" s="329"/>
      <c r="D1333" s="329"/>
      <c r="E1333" s="329"/>
      <c r="F1333" s="329"/>
      <c r="G1333" s="329"/>
      <c r="H1333" s="329"/>
      <c r="I1333" s="329"/>
      <c r="J1333" s="329"/>
    </row>
    <row r="1334" spans="1:10" s="564" customFormat="1" x14ac:dyDescent="0.2">
      <c r="A1334" s="565"/>
      <c r="B1334" s="566"/>
      <c r="C1334" s="566"/>
      <c r="D1334" s="566"/>
      <c r="E1334" s="566"/>
      <c r="F1334" s="566"/>
      <c r="G1334" s="566"/>
      <c r="H1334" s="566"/>
      <c r="I1334" s="566"/>
      <c r="J1334" s="566"/>
    </row>
    <row r="1335" spans="1:10" x14ac:dyDescent="0.2">
      <c r="A1335" s="43" t="s">
        <v>14</v>
      </c>
      <c r="B1335" s="56" t="s">
        <v>74</v>
      </c>
      <c r="C1335" s="45" t="s">
        <v>152</v>
      </c>
    </row>
    <row r="1336" spans="1:10" x14ac:dyDescent="0.2">
      <c r="A1336" s="1" t="s">
        <v>16</v>
      </c>
      <c r="B1336" s="117">
        <v>2016</v>
      </c>
      <c r="C1336" s="2">
        <v>2017</v>
      </c>
      <c r="D1336" s="2">
        <v>2018</v>
      </c>
      <c r="E1336" s="2">
        <v>2019</v>
      </c>
      <c r="F1336" s="2">
        <v>2020</v>
      </c>
      <c r="G1336" s="2">
        <v>2021</v>
      </c>
      <c r="H1336" s="2">
        <v>2022</v>
      </c>
      <c r="I1336" s="2">
        <v>2023</v>
      </c>
      <c r="J1336" s="468">
        <v>2024</v>
      </c>
    </row>
    <row r="1337" spans="1:10" x14ac:dyDescent="0.2">
      <c r="A1337" s="46" t="s">
        <v>17</v>
      </c>
      <c r="B1337" s="5">
        <v>10</v>
      </c>
      <c r="C1337" s="5">
        <v>10</v>
      </c>
      <c r="D1337" s="5">
        <v>10</v>
      </c>
      <c r="E1337" s="5">
        <v>10</v>
      </c>
      <c r="F1337" s="5">
        <v>10</v>
      </c>
      <c r="G1337" s="5">
        <v>10</v>
      </c>
      <c r="H1337" s="5">
        <v>10</v>
      </c>
      <c r="I1337" s="5">
        <v>10</v>
      </c>
      <c r="J1337" s="409">
        <v>10</v>
      </c>
    </row>
    <row r="1338" spans="1:10" x14ac:dyDescent="0.2">
      <c r="A1338" s="46" t="s">
        <v>18</v>
      </c>
      <c r="B1338" s="5">
        <v>10</v>
      </c>
      <c r="C1338" s="5">
        <f>C1337+B1341</f>
        <v>-106.85</v>
      </c>
      <c r="D1338" s="5">
        <f>D1337+C1341</f>
        <v>-107.18599999999999</v>
      </c>
      <c r="E1338" s="5">
        <f>E1337+D1341</f>
        <v>-97.965349999999987</v>
      </c>
      <c r="F1338" s="5">
        <f>F1337+E1341</f>
        <v>-89.945349999999991</v>
      </c>
      <c r="G1338" s="5">
        <f>F1341+G1337</f>
        <v>-81.765349999999984</v>
      </c>
      <c r="H1338" s="5">
        <f xml:space="preserve"> 1.25*G1341+H1337</f>
        <v>-94.519187499999973</v>
      </c>
      <c r="I1338" s="409">
        <f t="shared" ref="I1338:J1338" si="42" xml:space="preserve"> 1.25*H1341+I1337</f>
        <v>-115.64898437499997</v>
      </c>
      <c r="J1338" s="409">
        <f t="shared" si="42"/>
        <v>-136.97123046874995</v>
      </c>
    </row>
    <row r="1339" spans="1:10" x14ac:dyDescent="0.2">
      <c r="A1339" s="46" t="s">
        <v>19</v>
      </c>
      <c r="B1339" s="19"/>
      <c r="C1339" s="19" t="s">
        <v>399</v>
      </c>
      <c r="D1339" s="19" t="s">
        <v>400</v>
      </c>
      <c r="E1339" s="19" t="s">
        <v>401</v>
      </c>
      <c r="F1339" s="19" t="s">
        <v>402</v>
      </c>
      <c r="G1339" s="19" t="s">
        <v>566</v>
      </c>
      <c r="H1339" s="19" t="s">
        <v>605</v>
      </c>
      <c r="I1339" s="19" t="s">
        <v>626</v>
      </c>
      <c r="J1339" s="485" t="s">
        <v>792</v>
      </c>
    </row>
    <row r="1340" spans="1:10" x14ac:dyDescent="0.2">
      <c r="A1340" s="46" t="s">
        <v>20</v>
      </c>
      <c r="B1340" s="19">
        <v>126.85</v>
      </c>
      <c r="C1340" s="19">
        <v>10.336</v>
      </c>
      <c r="D1340" s="19">
        <v>0.77934999999999999</v>
      </c>
      <c r="E1340" s="19">
        <v>1.98</v>
      </c>
      <c r="F1340" s="19">
        <v>1.82</v>
      </c>
      <c r="G1340" s="19">
        <v>1.85</v>
      </c>
      <c r="H1340" s="485">
        <v>6</v>
      </c>
      <c r="I1340" s="19">
        <v>1.9279999999999999</v>
      </c>
      <c r="J1340" s="485"/>
    </row>
    <row r="1341" spans="1:10" x14ac:dyDescent="0.2">
      <c r="A1341" s="46" t="s">
        <v>21</v>
      </c>
      <c r="B1341" s="5">
        <f t="shared" ref="B1341:I1341" si="43">B1338-B1340</f>
        <v>-116.85</v>
      </c>
      <c r="C1341" s="5">
        <f t="shared" si="43"/>
        <v>-117.18599999999999</v>
      </c>
      <c r="D1341" s="5">
        <f t="shared" si="43"/>
        <v>-107.96534999999999</v>
      </c>
      <c r="E1341" s="5">
        <f t="shared" si="43"/>
        <v>-99.945349999999991</v>
      </c>
      <c r="F1341" s="5">
        <f t="shared" si="43"/>
        <v>-91.765349999999984</v>
      </c>
      <c r="G1341" s="5">
        <f t="shared" si="43"/>
        <v>-83.615349999999978</v>
      </c>
      <c r="H1341" s="409">
        <f t="shared" si="43"/>
        <v>-100.51918749999997</v>
      </c>
      <c r="I1341" s="5">
        <f t="shared" si="43"/>
        <v>-117.57698437499997</v>
      </c>
      <c r="J1341" s="409"/>
    </row>
    <row r="1342" spans="1:10" x14ac:dyDescent="0.2">
      <c r="A1342" s="8" t="s">
        <v>22</v>
      </c>
      <c r="B1342" s="185">
        <v>2017</v>
      </c>
      <c r="C1342" s="185">
        <v>2018</v>
      </c>
      <c r="D1342" s="185">
        <v>2019</v>
      </c>
      <c r="E1342" s="185">
        <v>2020</v>
      </c>
      <c r="F1342" s="185">
        <v>2021</v>
      </c>
      <c r="G1342" s="185">
        <v>2022</v>
      </c>
      <c r="H1342" s="185">
        <v>2023</v>
      </c>
      <c r="I1342" s="185">
        <v>2024</v>
      </c>
      <c r="J1342" s="569">
        <v>2025</v>
      </c>
    </row>
    <row r="1343" spans="1:10" x14ac:dyDescent="0.2">
      <c r="A1343" s="8" t="s">
        <v>179</v>
      </c>
      <c r="B1343" s="9"/>
      <c r="C1343" s="9"/>
      <c r="D1343" s="9"/>
      <c r="E1343" s="9"/>
      <c r="F1343" s="9"/>
      <c r="G1343" s="9"/>
      <c r="H1343" s="9"/>
      <c r="I1343" s="9"/>
      <c r="J1343" s="412"/>
    </row>
    <row r="1344" spans="1:10" x14ac:dyDescent="0.2">
      <c r="A1344" s="53" t="s">
        <v>403</v>
      </c>
      <c r="J1344" s="413"/>
    </row>
    <row r="1345" spans="1:10" x14ac:dyDescent="0.2">
      <c r="A1345" s="53" t="s">
        <v>404</v>
      </c>
      <c r="J1345" s="413"/>
    </row>
    <row r="1346" spans="1:10" x14ac:dyDescent="0.2">
      <c r="A1346" s="53" t="s">
        <v>405</v>
      </c>
      <c r="J1346" s="413"/>
    </row>
    <row r="1347" spans="1:10" x14ac:dyDescent="0.2">
      <c r="A1347" s="53" t="s">
        <v>565</v>
      </c>
      <c r="C1347" s="441"/>
      <c r="J1347" s="413"/>
    </row>
    <row r="1348" spans="1:10" x14ac:dyDescent="0.2">
      <c r="A1348" s="53" t="s">
        <v>567</v>
      </c>
      <c r="C1348" s="441"/>
      <c r="J1348" s="413"/>
    </row>
    <row r="1349" spans="1:10" x14ac:dyDescent="0.2">
      <c r="A1349" s="53" t="s">
        <v>905</v>
      </c>
      <c r="C1349" s="441"/>
      <c r="J1349" s="413"/>
    </row>
    <row r="1350" spans="1:10" x14ac:dyDescent="0.2">
      <c r="A1350" s="53" t="s">
        <v>906</v>
      </c>
      <c r="C1350" s="441"/>
      <c r="J1350" s="413"/>
    </row>
    <row r="1351" spans="1:10" x14ac:dyDescent="0.2">
      <c r="A1351" s="502" t="s">
        <v>1042</v>
      </c>
      <c r="B1351" s="13"/>
      <c r="C1351" s="131"/>
      <c r="D1351" s="13"/>
      <c r="E1351" s="13"/>
      <c r="F1351" s="13"/>
      <c r="G1351" s="13"/>
      <c r="H1351" s="13"/>
      <c r="I1351" s="13"/>
      <c r="J1351" s="14"/>
    </row>
    <row r="1352" spans="1:10" x14ac:dyDescent="0.2">
      <c r="A1352" s="133"/>
      <c r="C1352" s="441"/>
    </row>
    <row r="1354" spans="1:10" x14ac:dyDescent="0.2">
      <c r="A1354" s="288" t="s">
        <v>11</v>
      </c>
      <c r="B1354" s="283" t="s">
        <v>0</v>
      </c>
    </row>
    <row r="1355" spans="1:10" s="22" customFormat="1" x14ac:dyDescent="0.2">
      <c r="A1355" s="43" t="s">
        <v>1</v>
      </c>
      <c r="B1355" s="56" t="s">
        <v>625</v>
      </c>
      <c r="C1355" s="45" t="s">
        <v>2</v>
      </c>
      <c r="D1355" s="11"/>
      <c r="E1355" s="11"/>
      <c r="F1355" s="11"/>
      <c r="G1355" s="11"/>
    </row>
    <row r="1356" spans="1:10" s="22" customFormat="1" x14ac:dyDescent="0.2">
      <c r="A1356" s="46" t="s">
        <v>3</v>
      </c>
      <c r="B1356" s="2">
        <v>2017</v>
      </c>
      <c r="C1356" s="2">
        <v>2018</v>
      </c>
      <c r="D1356" s="57">
        <v>2019</v>
      </c>
      <c r="E1356" s="2">
        <v>2020</v>
      </c>
      <c r="F1356" s="2">
        <v>2021</v>
      </c>
      <c r="G1356" s="2">
        <v>2022</v>
      </c>
      <c r="H1356" s="2">
        <v>2023</v>
      </c>
      <c r="I1356" s="2">
        <v>2024</v>
      </c>
      <c r="J1356" s="468">
        <v>2025</v>
      </c>
    </row>
    <row r="1357" spans="1:10" s="22" customFormat="1" x14ac:dyDescent="0.2">
      <c r="A1357" s="46" t="s">
        <v>4</v>
      </c>
      <c r="B1357" s="19">
        <v>200</v>
      </c>
      <c r="C1357" s="19">
        <v>200</v>
      </c>
      <c r="D1357" s="59">
        <v>215</v>
      </c>
      <c r="E1357" s="19">
        <v>215</v>
      </c>
      <c r="F1357" s="3">
        <v>242</v>
      </c>
      <c r="G1357" s="3">
        <v>242</v>
      </c>
      <c r="H1357" s="3">
        <v>242</v>
      </c>
      <c r="I1357" s="330">
        <v>302</v>
      </c>
      <c r="J1357" s="330">
        <v>302</v>
      </c>
    </row>
    <row r="1358" spans="1:10" s="22" customFormat="1" x14ac:dyDescent="0.2">
      <c r="A1358" s="46" t="s">
        <v>5</v>
      </c>
      <c r="B1358" s="19">
        <v>250</v>
      </c>
      <c r="C1358" s="19">
        <v>250</v>
      </c>
      <c r="D1358" s="59">
        <v>265</v>
      </c>
      <c r="E1358" s="19">
        <v>265</v>
      </c>
      <c r="F1358" s="3">
        <f>F1357+0.25*D1357</f>
        <v>295.75</v>
      </c>
      <c r="G1358" s="3">
        <f>G1357+0.25*E1357</f>
        <v>295.75</v>
      </c>
      <c r="H1358" s="3">
        <f>H1357+0.25*F1357</f>
        <v>302.5</v>
      </c>
      <c r="I1358" s="330">
        <f>I1357+0.25*G1357</f>
        <v>362.5</v>
      </c>
      <c r="J1358" s="330">
        <f>J1357+0.25*H1357</f>
        <v>362.5</v>
      </c>
    </row>
    <row r="1359" spans="1:10" s="22" customFormat="1" x14ac:dyDescent="0.2">
      <c r="A1359" s="46" t="s">
        <v>6</v>
      </c>
      <c r="B1359" s="19"/>
      <c r="C1359" s="19"/>
      <c r="D1359" s="19"/>
      <c r="E1359" s="19"/>
      <c r="F1359" s="3"/>
      <c r="G1359" s="3"/>
      <c r="H1359" s="3"/>
      <c r="I1359" s="3"/>
      <c r="J1359" s="330"/>
    </row>
    <row r="1360" spans="1:10" s="22" customFormat="1" x14ac:dyDescent="0.2">
      <c r="A1360" s="46" t="s">
        <v>7</v>
      </c>
      <c r="B1360" s="19">
        <v>20</v>
      </c>
      <c r="C1360" s="19">
        <v>20</v>
      </c>
      <c r="D1360" s="19">
        <v>25</v>
      </c>
      <c r="E1360" s="19">
        <v>29</v>
      </c>
      <c r="F1360" s="3">
        <v>40</v>
      </c>
      <c r="G1360" s="3">
        <v>60</v>
      </c>
      <c r="H1360" s="3">
        <v>90</v>
      </c>
      <c r="I1360" s="3"/>
      <c r="J1360" s="330"/>
    </row>
    <row r="1361" spans="1:10" s="22" customFormat="1" x14ac:dyDescent="0.2">
      <c r="A1361" s="46" t="s">
        <v>8</v>
      </c>
      <c r="B1361" s="19">
        <v>230</v>
      </c>
      <c r="C1361" s="19">
        <v>230</v>
      </c>
      <c r="D1361" s="19">
        <v>240</v>
      </c>
      <c r="E1361" s="19">
        <v>236</v>
      </c>
      <c r="F1361" s="3">
        <f>F1358-F1360</f>
        <v>255.75</v>
      </c>
      <c r="G1361" s="3">
        <f>G1358-G1360</f>
        <v>235.75</v>
      </c>
      <c r="H1361" s="3">
        <f>H1358-H1360</f>
        <v>212.5</v>
      </c>
      <c r="I1361" s="3"/>
      <c r="J1361" s="330"/>
    </row>
    <row r="1362" spans="1:10" s="22" customFormat="1" x14ac:dyDescent="0.2">
      <c r="A1362" s="8" t="s">
        <v>9</v>
      </c>
      <c r="B1362" s="28">
        <v>2019</v>
      </c>
      <c r="C1362" s="28">
        <v>2020</v>
      </c>
      <c r="D1362" s="62">
        <v>2021</v>
      </c>
      <c r="E1362" s="28">
        <v>2022</v>
      </c>
      <c r="F1362" s="29">
        <v>2023</v>
      </c>
      <c r="G1362" s="29">
        <v>2024</v>
      </c>
      <c r="H1362" s="29">
        <v>2025</v>
      </c>
      <c r="I1362" s="29">
        <v>2026</v>
      </c>
      <c r="J1362" s="473">
        <v>2027</v>
      </c>
    </row>
    <row r="1363" spans="1:10" s="22" customFormat="1" x14ac:dyDescent="0.2">
      <c r="A1363" s="8" t="s">
        <v>10</v>
      </c>
      <c r="B1363" s="9"/>
      <c r="C1363" s="9"/>
      <c r="D1363" s="9"/>
      <c r="E1363" s="9"/>
      <c r="F1363" s="9"/>
      <c r="G1363" s="9"/>
      <c r="H1363" s="475"/>
      <c r="I1363" s="475"/>
      <c r="J1363" s="476"/>
    </row>
    <row r="1364" spans="1:10" s="22" customFormat="1" x14ac:dyDescent="0.2">
      <c r="A1364" s="705" t="s">
        <v>741</v>
      </c>
      <c r="B1364" s="706"/>
      <c r="C1364" s="706"/>
      <c r="D1364" s="706"/>
      <c r="E1364" s="706"/>
      <c r="F1364" s="706"/>
      <c r="G1364" s="706"/>
      <c r="J1364" s="474"/>
    </row>
    <row r="1365" spans="1:10" s="22" customFormat="1" x14ac:dyDescent="0.2">
      <c r="A1365" s="705" t="s">
        <v>742</v>
      </c>
      <c r="B1365" s="706"/>
      <c r="C1365" s="706"/>
      <c r="D1365" s="706"/>
      <c r="E1365" s="706"/>
      <c r="F1365" s="706"/>
      <c r="G1365" s="706"/>
      <c r="J1365" s="474"/>
    </row>
    <row r="1366" spans="1:10" s="22" customFormat="1" x14ac:dyDescent="0.2">
      <c r="A1366" s="705" t="s">
        <v>743</v>
      </c>
      <c r="B1366" s="706"/>
      <c r="C1366" s="706"/>
      <c r="D1366" s="706"/>
      <c r="E1366" s="706"/>
      <c r="F1366" s="706"/>
      <c r="G1366" s="706"/>
      <c r="J1366" s="474"/>
    </row>
    <row r="1367" spans="1:10" x14ac:dyDescent="0.2">
      <c r="A1367" s="705" t="s">
        <v>744</v>
      </c>
      <c r="B1367" s="706"/>
      <c r="C1367" s="706"/>
      <c r="D1367" s="706"/>
      <c r="E1367" s="706"/>
      <c r="F1367" s="706"/>
      <c r="G1367" s="706"/>
      <c r="J1367" s="413"/>
    </row>
    <row r="1368" spans="1:10" x14ac:dyDescent="0.2">
      <c r="A1368" s="477" t="s">
        <v>950</v>
      </c>
      <c r="B1368" s="133"/>
      <c r="C1368" s="133"/>
      <c r="D1368" s="133"/>
      <c r="E1368" s="133"/>
      <c r="F1368" s="133"/>
      <c r="G1368" s="133"/>
      <c r="J1368" s="413"/>
    </row>
    <row r="1369" spans="1:10" s="329" customFormat="1" x14ac:dyDescent="0.2">
      <c r="A1369" s="402" t="s">
        <v>970</v>
      </c>
      <c r="B1369" s="403"/>
      <c r="C1369" s="403"/>
      <c r="D1369" s="403"/>
      <c r="E1369" s="403"/>
      <c r="F1369" s="403"/>
      <c r="G1369" s="403"/>
      <c r="H1369" s="331"/>
      <c r="I1369" s="331"/>
      <c r="J1369" s="333"/>
    </row>
    <row r="1370" spans="1:10" x14ac:dyDescent="0.2">
      <c r="A1370" s="135"/>
      <c r="B1370" s="135"/>
    </row>
    <row r="1371" spans="1:10" x14ac:dyDescent="0.2">
      <c r="A1371" s="43" t="s">
        <v>1</v>
      </c>
      <c r="B1371" s="56" t="s">
        <v>624</v>
      </c>
      <c r="C1371" s="45" t="s">
        <v>2</v>
      </c>
    </row>
    <row r="1372" spans="1:10" x14ac:dyDescent="0.2">
      <c r="A1372" s="46" t="s">
        <v>3</v>
      </c>
      <c r="B1372" s="2">
        <v>2017</v>
      </c>
      <c r="C1372" s="2">
        <v>2018</v>
      </c>
      <c r="D1372" s="57">
        <v>2019</v>
      </c>
      <c r="E1372" s="2">
        <v>2020</v>
      </c>
      <c r="F1372" s="2">
        <v>2021</v>
      </c>
      <c r="G1372" s="2">
        <v>2022</v>
      </c>
      <c r="H1372" s="2">
        <v>2023</v>
      </c>
      <c r="I1372" s="468">
        <v>2024</v>
      </c>
      <c r="J1372" s="468">
        <v>2025</v>
      </c>
    </row>
    <row r="1373" spans="1:10" x14ac:dyDescent="0.2">
      <c r="A1373" s="46" t="s">
        <v>4</v>
      </c>
      <c r="B1373" s="19">
        <v>850</v>
      </c>
      <c r="C1373" s="19">
        <v>850</v>
      </c>
      <c r="D1373" s="59">
        <v>850</v>
      </c>
      <c r="E1373" s="19">
        <v>850</v>
      </c>
      <c r="F1373" s="3">
        <v>850</v>
      </c>
      <c r="G1373" s="3">
        <v>850</v>
      </c>
      <c r="H1373" s="3">
        <v>850</v>
      </c>
      <c r="I1373" s="330">
        <v>850</v>
      </c>
      <c r="J1373" s="330">
        <v>850</v>
      </c>
    </row>
    <row r="1374" spans="1:10" x14ac:dyDescent="0.2">
      <c r="A1374" s="46" t="s">
        <v>5</v>
      </c>
      <c r="B1374" s="19">
        <v>950</v>
      </c>
      <c r="C1374" s="19">
        <v>900</v>
      </c>
      <c r="D1374" s="59">
        <v>1000</v>
      </c>
      <c r="E1374" s="19">
        <v>995</v>
      </c>
      <c r="F1374" s="3">
        <v>1095</v>
      </c>
      <c r="G1374" s="3">
        <f>G1373+E1377+150+20+25</f>
        <v>1104.1799999999998</v>
      </c>
      <c r="H1374" s="3">
        <f>H1373+0.15*F1373+150+20+25</f>
        <v>1172.5</v>
      </c>
      <c r="I1374" s="330">
        <f>I1373+G1377+150+20+25+200</f>
        <v>1263.81</v>
      </c>
      <c r="J1374" s="330">
        <f>J1373+H1377+150+20+25+200</f>
        <v>1272.43</v>
      </c>
    </row>
    <row r="1375" spans="1:10" x14ac:dyDescent="0.2">
      <c r="A1375" s="46" t="s">
        <v>6</v>
      </c>
      <c r="B1375" s="19"/>
      <c r="C1375" s="19"/>
      <c r="D1375" s="59"/>
      <c r="E1375" s="19"/>
      <c r="F1375" s="3"/>
      <c r="G1375" s="3"/>
      <c r="H1375" s="3"/>
      <c r="I1375" s="330"/>
      <c r="J1375" s="330"/>
    </row>
    <row r="1376" spans="1:10" x14ac:dyDescent="0.2">
      <c r="A1376" s="46" t="s">
        <v>7</v>
      </c>
      <c r="B1376" s="19">
        <v>900</v>
      </c>
      <c r="C1376" s="19">
        <v>950</v>
      </c>
      <c r="D1376" s="59">
        <v>950</v>
      </c>
      <c r="E1376" s="19">
        <v>935.82</v>
      </c>
      <c r="F1376" s="3">
        <v>955.3</v>
      </c>
      <c r="G1376" s="3">
        <v>1085.3699999999999</v>
      </c>
      <c r="H1376" s="3">
        <v>1145.07</v>
      </c>
      <c r="I1376" s="330"/>
      <c r="J1376" s="330"/>
    </row>
    <row r="1377" spans="1:10" x14ac:dyDescent="0.2">
      <c r="A1377" s="46" t="s">
        <v>8</v>
      </c>
      <c r="B1377" s="19">
        <f t="shared" ref="B1377:H1377" si="44">B1374-B1376</f>
        <v>50</v>
      </c>
      <c r="C1377" s="19">
        <f t="shared" si="44"/>
        <v>-50</v>
      </c>
      <c r="D1377" s="19">
        <f t="shared" si="44"/>
        <v>50</v>
      </c>
      <c r="E1377" s="19">
        <f t="shared" si="44"/>
        <v>59.17999999999995</v>
      </c>
      <c r="F1377" s="3">
        <f t="shared" si="44"/>
        <v>139.70000000000005</v>
      </c>
      <c r="G1377" s="3">
        <f t="shared" si="44"/>
        <v>18.809999999999945</v>
      </c>
      <c r="H1377" s="3">
        <f t="shared" si="44"/>
        <v>27.430000000000064</v>
      </c>
      <c r="I1377" s="330"/>
      <c r="J1377" s="330"/>
    </row>
    <row r="1378" spans="1:10" ht="13.15" customHeight="1" x14ac:dyDescent="0.2">
      <c r="A1378" s="8" t="s">
        <v>9</v>
      </c>
      <c r="B1378" s="28">
        <v>2019</v>
      </c>
      <c r="C1378" s="28">
        <v>2020</v>
      </c>
      <c r="D1378" s="62">
        <v>2021</v>
      </c>
      <c r="E1378" s="28">
        <v>2022</v>
      </c>
      <c r="F1378" s="29">
        <v>2023</v>
      </c>
      <c r="G1378" s="29">
        <v>2024</v>
      </c>
      <c r="H1378" s="29">
        <v>2025</v>
      </c>
      <c r="I1378" s="473">
        <v>2026</v>
      </c>
      <c r="J1378" s="473">
        <v>2027</v>
      </c>
    </row>
    <row r="1379" spans="1:10" ht="13.15" customHeight="1" x14ac:dyDescent="0.2">
      <c r="A1379" s="8" t="s">
        <v>10</v>
      </c>
      <c r="B1379" s="9"/>
      <c r="C1379" s="9"/>
      <c r="D1379" s="9"/>
      <c r="E1379" s="9"/>
      <c r="F1379" s="9"/>
      <c r="G1379" s="9"/>
      <c r="H1379" s="9"/>
      <c r="I1379" s="412"/>
      <c r="J1379" s="412"/>
    </row>
    <row r="1380" spans="1:10" x14ac:dyDescent="0.2">
      <c r="A1380" s="8" t="s">
        <v>745</v>
      </c>
      <c r="B1380" s="9"/>
      <c r="C1380" s="9"/>
      <c r="D1380" s="9"/>
      <c r="E1380" s="9"/>
      <c r="F1380" s="9"/>
      <c r="G1380" s="9"/>
      <c r="H1380" s="9"/>
      <c r="I1380" s="411"/>
      <c r="J1380" s="412"/>
    </row>
    <row r="1381" spans="1:10" x14ac:dyDescent="0.2">
      <c r="A1381" s="10" t="s">
        <v>746</v>
      </c>
      <c r="I1381" s="329"/>
      <c r="J1381" s="413"/>
    </row>
    <row r="1382" spans="1:10" x14ac:dyDescent="0.2">
      <c r="A1382" s="53" t="s">
        <v>747</v>
      </c>
      <c r="B1382" s="54"/>
      <c r="C1382" s="54"/>
      <c r="D1382" s="54"/>
      <c r="E1382" s="54"/>
      <c r="F1382" s="54"/>
      <c r="G1382" s="54"/>
      <c r="H1382" s="54"/>
      <c r="I1382" s="329"/>
      <c r="J1382" s="413"/>
    </row>
    <row r="1383" spans="1:10" x14ac:dyDescent="0.2">
      <c r="A1383" s="10" t="s">
        <v>748</v>
      </c>
      <c r="I1383" s="329"/>
      <c r="J1383" s="413"/>
    </row>
    <row r="1384" spans="1:10" x14ac:dyDescent="0.2">
      <c r="A1384" s="10" t="s">
        <v>749</v>
      </c>
      <c r="I1384" s="329"/>
      <c r="J1384" s="413"/>
    </row>
    <row r="1385" spans="1:10" x14ac:dyDescent="0.2">
      <c r="A1385" s="10" t="s">
        <v>750</v>
      </c>
      <c r="I1385" s="329"/>
      <c r="J1385" s="413"/>
    </row>
    <row r="1386" spans="1:10" x14ac:dyDescent="0.2">
      <c r="A1386" s="428" t="s">
        <v>971</v>
      </c>
      <c r="B1386" s="255"/>
      <c r="C1386" s="255"/>
      <c r="D1386" s="255"/>
      <c r="E1386" s="255"/>
      <c r="F1386" s="255"/>
      <c r="G1386" s="255"/>
      <c r="H1386" s="255"/>
      <c r="J1386" s="12"/>
    </row>
    <row r="1387" spans="1:10" x14ac:dyDescent="0.2">
      <c r="A1387" s="478" t="s">
        <v>972</v>
      </c>
      <c r="B1387" s="63"/>
      <c r="C1387" s="63"/>
      <c r="D1387" s="63"/>
      <c r="E1387" s="63"/>
      <c r="F1387" s="63"/>
      <c r="G1387" s="63"/>
      <c r="H1387" s="63"/>
      <c r="I1387" s="13"/>
      <c r="J1387" s="14"/>
    </row>
    <row r="1389" spans="1:10" x14ac:dyDescent="0.2">
      <c r="A1389" s="43" t="s">
        <v>1</v>
      </c>
      <c r="B1389" s="56" t="s">
        <v>643</v>
      </c>
      <c r="C1389" s="45" t="s">
        <v>2</v>
      </c>
    </row>
    <row r="1390" spans="1:10" x14ac:dyDescent="0.2">
      <c r="A1390" s="46" t="s">
        <v>3</v>
      </c>
      <c r="B1390" s="15"/>
      <c r="C1390" s="69"/>
      <c r="D1390" s="254"/>
      <c r="E1390" s="2">
        <v>2020</v>
      </c>
      <c r="F1390" s="2">
        <v>2021</v>
      </c>
      <c r="G1390" s="2">
        <v>2022</v>
      </c>
      <c r="H1390" s="2">
        <v>2023</v>
      </c>
      <c r="I1390" s="468">
        <v>2023</v>
      </c>
    </row>
    <row r="1391" spans="1:10" x14ac:dyDescent="0.2">
      <c r="A1391" s="46" t="s">
        <v>4</v>
      </c>
      <c r="B1391" s="15"/>
      <c r="C1391" s="448"/>
      <c r="D1391" s="65"/>
      <c r="E1391" s="5">
        <v>3284</v>
      </c>
      <c r="F1391" s="66">
        <v>3284</v>
      </c>
      <c r="G1391" s="66">
        <v>3284</v>
      </c>
      <c r="H1391" s="427">
        <v>3700</v>
      </c>
      <c r="I1391" s="427">
        <v>2024</v>
      </c>
    </row>
    <row r="1392" spans="1:10" x14ac:dyDescent="0.2">
      <c r="A1392" s="46" t="s">
        <v>5</v>
      </c>
      <c r="B1392" s="15"/>
      <c r="C1392" s="448"/>
      <c r="D1392" s="65"/>
      <c r="E1392" s="5">
        <v>3488.62</v>
      </c>
      <c r="F1392" s="66">
        <v>3318.91</v>
      </c>
      <c r="G1392" s="66">
        <f>G1391+F1395+259.62</f>
        <v>3568.2699999999995</v>
      </c>
      <c r="H1392" s="427">
        <f>H1391+3</f>
        <v>3703</v>
      </c>
      <c r="I1392" s="427">
        <f>I1391+H1395+259.62</f>
        <v>2322.62</v>
      </c>
    </row>
    <row r="1393" spans="1:9" x14ac:dyDescent="0.2">
      <c r="A1393" s="46" t="s">
        <v>6</v>
      </c>
      <c r="B1393" s="15"/>
      <c r="C1393" s="448"/>
      <c r="D1393" s="65"/>
      <c r="E1393" s="5"/>
      <c r="F1393" s="66"/>
      <c r="G1393" s="66"/>
      <c r="H1393" s="427"/>
      <c r="I1393" s="427"/>
    </row>
    <row r="1394" spans="1:9" x14ac:dyDescent="0.2">
      <c r="A1394" s="46" t="s">
        <v>7</v>
      </c>
      <c r="B1394" s="15"/>
      <c r="C1394" s="448"/>
      <c r="D1394" s="65"/>
      <c r="E1394" s="5">
        <v>3453.71</v>
      </c>
      <c r="F1394" s="66">
        <v>3294.26</v>
      </c>
      <c r="G1394" s="66">
        <v>3565.05</v>
      </c>
      <c r="H1394" s="427">
        <v>3664</v>
      </c>
      <c r="I1394" s="427"/>
    </row>
    <row r="1395" spans="1:9" x14ac:dyDescent="0.2">
      <c r="A1395" s="46" t="s">
        <v>8</v>
      </c>
      <c r="B1395" s="15"/>
      <c r="C1395" s="448"/>
      <c r="D1395" s="65"/>
      <c r="E1395" s="5">
        <v>34.909999999999997</v>
      </c>
      <c r="F1395" s="66">
        <f>F1392-F1394</f>
        <v>24.649999999999636</v>
      </c>
      <c r="G1395" s="66">
        <f>G1392-G1394</f>
        <v>3.2199999999993452</v>
      </c>
      <c r="H1395" s="427">
        <f>H1392-H1394</f>
        <v>39</v>
      </c>
      <c r="I1395" s="427"/>
    </row>
    <row r="1396" spans="1:9" x14ac:dyDescent="0.2">
      <c r="A1396" s="8" t="s">
        <v>9</v>
      </c>
      <c r="B1396" s="16"/>
      <c r="C1396" s="28"/>
      <c r="D1396" s="9"/>
      <c r="E1396" s="28">
        <v>2021</v>
      </c>
      <c r="F1396" s="29">
        <v>2022</v>
      </c>
      <c r="G1396" s="29">
        <v>2023</v>
      </c>
      <c r="H1396" s="29">
        <v>2024</v>
      </c>
      <c r="I1396" s="473">
        <v>2025</v>
      </c>
    </row>
    <row r="1397" spans="1:9" x14ac:dyDescent="0.2">
      <c r="A1397" s="8" t="s">
        <v>10</v>
      </c>
      <c r="B1397" s="9"/>
      <c r="C1397" s="9"/>
      <c r="D1397" s="9"/>
      <c r="E1397" s="9"/>
      <c r="F1397" s="9"/>
      <c r="G1397" s="9"/>
      <c r="H1397" s="7"/>
      <c r="I1397" s="412"/>
    </row>
    <row r="1398" spans="1:9" x14ac:dyDescent="0.2">
      <c r="A1398" s="51" t="s">
        <v>752</v>
      </c>
      <c r="B1398" s="9"/>
      <c r="C1398" s="9"/>
      <c r="D1398" s="9"/>
      <c r="E1398" s="9"/>
      <c r="F1398" s="9"/>
      <c r="G1398" s="9"/>
      <c r="H1398" s="9"/>
      <c r="I1398" s="412"/>
    </row>
    <row r="1399" spans="1:9" x14ac:dyDescent="0.2">
      <c r="A1399" s="392" t="s">
        <v>753</v>
      </c>
      <c r="I1399" s="413"/>
    </row>
    <row r="1400" spans="1:9" x14ac:dyDescent="0.2">
      <c r="A1400" s="392" t="s">
        <v>754</v>
      </c>
      <c r="B1400" s="479"/>
      <c r="C1400" s="479"/>
      <c r="D1400" s="479"/>
      <c r="E1400" s="479"/>
      <c r="F1400" s="479"/>
      <c r="G1400" s="479"/>
      <c r="I1400" s="413"/>
    </row>
    <row r="1401" spans="1:9" x14ac:dyDescent="0.2">
      <c r="A1401" s="10" t="s">
        <v>751</v>
      </c>
      <c r="I1401" s="413"/>
    </row>
    <row r="1402" spans="1:9" x14ac:dyDescent="0.2">
      <c r="A1402" s="415" t="s">
        <v>973</v>
      </c>
      <c r="B1402" s="13"/>
      <c r="C1402" s="13"/>
      <c r="D1402" s="13"/>
      <c r="E1402" s="13"/>
      <c r="F1402" s="13"/>
      <c r="G1402" s="13"/>
      <c r="H1402" s="13"/>
      <c r="I1402" s="333"/>
    </row>
    <row r="1403" spans="1:9" x14ac:dyDescent="0.2">
      <c r="A1403" s="1"/>
      <c r="B1403" s="13"/>
      <c r="C1403" s="13"/>
    </row>
    <row r="1404" spans="1:9" x14ac:dyDescent="0.2">
      <c r="A1404" s="136" t="s">
        <v>1</v>
      </c>
      <c r="B1404" s="137" t="s">
        <v>74</v>
      </c>
      <c r="C1404" s="209" t="s">
        <v>2</v>
      </c>
    </row>
    <row r="1405" spans="1:9" x14ac:dyDescent="0.2">
      <c r="A1405" s="46" t="s">
        <v>3</v>
      </c>
      <c r="B1405" s="2">
        <v>2017</v>
      </c>
      <c r="C1405" s="2">
        <v>2018</v>
      </c>
      <c r="D1405" s="57">
        <v>2019</v>
      </c>
      <c r="E1405" s="2">
        <v>2020</v>
      </c>
      <c r="F1405" s="2">
        <v>2021</v>
      </c>
      <c r="G1405" s="2">
        <v>2022</v>
      </c>
      <c r="H1405" s="2">
        <v>2023</v>
      </c>
      <c r="I1405" s="2">
        <v>2024</v>
      </c>
    </row>
    <row r="1406" spans="1:9" x14ac:dyDescent="0.2">
      <c r="A1406" s="46" t="s">
        <v>4</v>
      </c>
      <c r="B1406" s="5">
        <v>10</v>
      </c>
      <c r="C1406" s="448">
        <v>10</v>
      </c>
      <c r="D1406" s="65">
        <v>10</v>
      </c>
      <c r="E1406" s="5">
        <v>10</v>
      </c>
      <c r="F1406" s="66">
        <v>10</v>
      </c>
      <c r="G1406" s="66">
        <v>10</v>
      </c>
      <c r="H1406" s="66">
        <v>10</v>
      </c>
      <c r="I1406" s="66">
        <v>10</v>
      </c>
    </row>
    <row r="1407" spans="1:9" x14ac:dyDescent="0.2">
      <c r="A1407" s="46" t="s">
        <v>5</v>
      </c>
      <c r="B1407" s="5">
        <v>10</v>
      </c>
      <c r="C1407" s="448">
        <v>-62</v>
      </c>
      <c r="D1407" s="65">
        <v>-52</v>
      </c>
      <c r="E1407" s="5">
        <v>-42</v>
      </c>
      <c r="F1407" s="66">
        <v>-32</v>
      </c>
      <c r="G1407" s="66">
        <v>-22</v>
      </c>
      <c r="H1407" s="66">
        <v>-12</v>
      </c>
      <c r="I1407" s="427">
        <f>H1410+I1406</f>
        <v>-2</v>
      </c>
    </row>
    <row r="1408" spans="1:9" x14ac:dyDescent="0.2">
      <c r="A1408" s="46" t="s">
        <v>6</v>
      </c>
      <c r="B1408" s="5"/>
      <c r="C1408" s="448"/>
      <c r="D1408" s="65"/>
      <c r="E1408" s="5"/>
      <c r="F1408" s="66"/>
      <c r="G1408" s="66"/>
      <c r="H1408" s="66"/>
      <c r="I1408" s="66"/>
    </row>
    <row r="1409" spans="1:10" x14ac:dyDescent="0.2">
      <c r="A1409" s="46" t="s">
        <v>7</v>
      </c>
      <c r="B1409" s="5">
        <v>82</v>
      </c>
      <c r="C1409" s="448">
        <v>0</v>
      </c>
      <c r="D1409" s="65">
        <v>0</v>
      </c>
      <c r="E1409" s="5">
        <v>0</v>
      </c>
      <c r="F1409" s="66">
        <v>0</v>
      </c>
      <c r="G1409" s="66">
        <v>0</v>
      </c>
      <c r="H1409" s="66">
        <v>0</v>
      </c>
      <c r="I1409" s="66"/>
    </row>
    <row r="1410" spans="1:10" x14ac:dyDescent="0.2">
      <c r="A1410" s="46" t="s">
        <v>8</v>
      </c>
      <c r="B1410" s="5">
        <v>-72</v>
      </c>
      <c r="C1410" s="448">
        <v>-62</v>
      </c>
      <c r="D1410" s="65">
        <v>-52</v>
      </c>
      <c r="E1410" s="5">
        <v>-42</v>
      </c>
      <c r="F1410" s="66">
        <v>-32</v>
      </c>
      <c r="G1410" s="66">
        <v>-22</v>
      </c>
      <c r="H1410" s="66">
        <f>H1407-H1409</f>
        <v>-12</v>
      </c>
      <c r="I1410" s="66"/>
    </row>
    <row r="1411" spans="1:10" x14ac:dyDescent="0.2">
      <c r="A1411" s="8" t="s">
        <v>9</v>
      </c>
      <c r="B1411" s="28">
        <v>2018</v>
      </c>
      <c r="C1411" s="28">
        <v>2019</v>
      </c>
      <c r="D1411" s="28">
        <v>2020</v>
      </c>
      <c r="E1411" s="28">
        <v>2021</v>
      </c>
      <c r="F1411" s="28">
        <v>2022</v>
      </c>
      <c r="G1411" s="28">
        <v>2023</v>
      </c>
      <c r="H1411" s="28">
        <v>2024</v>
      </c>
      <c r="I1411" s="28">
        <v>2025</v>
      </c>
    </row>
    <row r="1412" spans="1:10" x14ac:dyDescent="0.2">
      <c r="A1412" s="46" t="s">
        <v>10</v>
      </c>
      <c r="B1412" s="254"/>
      <c r="C1412" s="254"/>
      <c r="D1412" s="254"/>
      <c r="E1412" s="254"/>
      <c r="F1412" s="254"/>
      <c r="G1412" s="254"/>
      <c r="H1412" s="254"/>
      <c r="I1412" s="20"/>
    </row>
    <row r="1413" spans="1:10" x14ac:dyDescent="0.2">
      <c r="A1413" s="53" t="s">
        <v>756</v>
      </c>
      <c r="B1413" s="54"/>
      <c r="C1413" s="54"/>
      <c r="D1413" s="54"/>
      <c r="E1413" s="54"/>
      <c r="F1413" s="54"/>
      <c r="I1413" s="12"/>
    </row>
    <row r="1414" spans="1:10" x14ac:dyDescent="0.2">
      <c r="A1414" s="10" t="s">
        <v>757</v>
      </c>
      <c r="B1414" s="54"/>
      <c r="C1414" s="54"/>
      <c r="D1414" s="54"/>
      <c r="E1414" s="54"/>
      <c r="F1414" s="54"/>
      <c r="I1414" s="12"/>
    </row>
    <row r="1415" spans="1:10" x14ac:dyDescent="0.2">
      <c r="A1415" s="53" t="s">
        <v>758</v>
      </c>
      <c r="B1415" s="54"/>
      <c r="C1415" s="54"/>
      <c r="D1415" s="54"/>
      <c r="E1415" s="54"/>
      <c r="F1415" s="54"/>
      <c r="I1415" s="12"/>
    </row>
    <row r="1416" spans="1:10" x14ac:dyDescent="0.2">
      <c r="A1416" s="10" t="s">
        <v>759</v>
      </c>
      <c r="I1416" s="12"/>
    </row>
    <row r="1417" spans="1:10" x14ac:dyDescent="0.2">
      <c r="A1417" s="1" t="s">
        <v>755</v>
      </c>
      <c r="B1417" s="13"/>
      <c r="C1417" s="13"/>
      <c r="D1417" s="13"/>
      <c r="E1417" s="13"/>
      <c r="F1417" s="13"/>
      <c r="G1417" s="13"/>
      <c r="H1417" s="13"/>
      <c r="I1417" s="14"/>
    </row>
    <row r="1420" spans="1:10" x14ac:dyDescent="0.2">
      <c r="A1420" s="288" t="s">
        <v>24</v>
      </c>
      <c r="B1420" s="283" t="s">
        <v>25</v>
      </c>
    </row>
    <row r="1421" spans="1:10" x14ac:dyDescent="0.2">
      <c r="A1421" s="136" t="s">
        <v>14</v>
      </c>
      <c r="B1421" s="137" t="s">
        <v>625</v>
      </c>
      <c r="C1421" s="197" t="s">
        <v>26</v>
      </c>
    </row>
    <row r="1422" spans="1:10" x14ac:dyDescent="0.2">
      <c r="A1422" s="198" t="s">
        <v>27</v>
      </c>
      <c r="B1422" s="117">
        <v>2016</v>
      </c>
      <c r="C1422" s="2">
        <v>2017</v>
      </c>
      <c r="D1422" s="187">
        <v>2018</v>
      </c>
      <c r="E1422" s="2">
        <v>2019</v>
      </c>
      <c r="F1422" s="2">
        <v>2020</v>
      </c>
      <c r="G1422" s="2">
        <v>2021</v>
      </c>
      <c r="H1422" s="2">
        <v>2022</v>
      </c>
      <c r="I1422" s="2">
        <v>2023</v>
      </c>
      <c r="J1422" s="468">
        <v>2024</v>
      </c>
    </row>
    <row r="1423" spans="1:10" x14ac:dyDescent="0.2">
      <c r="A1423" s="15" t="s">
        <v>28</v>
      </c>
      <c r="B1423" s="102">
        <v>200</v>
      </c>
      <c r="C1423" s="102">
        <v>200</v>
      </c>
      <c r="D1423" s="102">
        <v>200</v>
      </c>
      <c r="E1423" s="102">
        <v>215</v>
      </c>
      <c r="F1423" s="5">
        <v>215</v>
      </c>
      <c r="G1423" s="15">
        <v>242</v>
      </c>
      <c r="H1423" s="15">
        <v>242</v>
      </c>
      <c r="I1423" s="15">
        <v>242</v>
      </c>
      <c r="J1423" s="408">
        <v>302</v>
      </c>
    </row>
    <row r="1424" spans="1:10" x14ac:dyDescent="0.2">
      <c r="A1424" s="15" t="s">
        <v>29</v>
      </c>
      <c r="B1424" s="102">
        <f>200+200*0.25</f>
        <v>250</v>
      </c>
      <c r="C1424" s="102">
        <f>200+200*0.25</f>
        <v>250</v>
      </c>
      <c r="D1424" s="102">
        <f t="shared" ref="D1424:J1424" si="45">D1423+B1423*0.25</f>
        <v>250</v>
      </c>
      <c r="E1424" s="102">
        <f t="shared" si="45"/>
        <v>265</v>
      </c>
      <c r="F1424" s="102">
        <f t="shared" si="45"/>
        <v>265</v>
      </c>
      <c r="G1424" s="102">
        <f t="shared" si="45"/>
        <v>295.75</v>
      </c>
      <c r="H1424" s="102">
        <f t="shared" si="45"/>
        <v>295.75</v>
      </c>
      <c r="I1424" s="102">
        <f t="shared" si="45"/>
        <v>302.5</v>
      </c>
      <c r="J1424" s="462">
        <f t="shared" si="45"/>
        <v>362.5</v>
      </c>
    </row>
    <row r="1425" spans="1:13" x14ac:dyDescent="0.2">
      <c r="A1425" s="15" t="s">
        <v>30</v>
      </c>
      <c r="B1425" s="105" t="s">
        <v>410</v>
      </c>
      <c r="C1425" s="105" t="s">
        <v>410</v>
      </c>
      <c r="D1425" s="105" t="s">
        <v>410</v>
      </c>
      <c r="E1425" s="105" t="s">
        <v>411</v>
      </c>
      <c r="F1425" s="105" t="s">
        <v>411</v>
      </c>
      <c r="G1425" s="105" t="s">
        <v>430</v>
      </c>
      <c r="H1425" s="105" t="s">
        <v>430</v>
      </c>
      <c r="I1425" s="105" t="s">
        <v>811</v>
      </c>
      <c r="J1425" s="571" t="s">
        <v>1071</v>
      </c>
    </row>
    <row r="1426" spans="1:13" x14ac:dyDescent="0.2">
      <c r="A1426" s="15" t="s">
        <v>31</v>
      </c>
      <c r="B1426" s="102">
        <v>2.19</v>
      </c>
      <c r="C1426" s="102">
        <v>0.38</v>
      </c>
      <c r="D1426" s="102">
        <v>7.19</v>
      </c>
      <c r="E1426" s="102">
        <v>0.28999999999999998</v>
      </c>
      <c r="F1426" s="5">
        <v>1.45</v>
      </c>
      <c r="G1426" s="15">
        <v>0.72</v>
      </c>
      <c r="H1426" s="15">
        <v>0.64</v>
      </c>
      <c r="I1426" s="15">
        <v>0.2</v>
      </c>
      <c r="J1426" s="408"/>
    </row>
    <row r="1427" spans="1:13" x14ac:dyDescent="0.2">
      <c r="A1427" s="15" t="s">
        <v>32</v>
      </c>
      <c r="B1427" s="102">
        <f t="shared" ref="B1427:I1427" si="46">B1424-B1426</f>
        <v>247.81</v>
      </c>
      <c r="C1427" s="102">
        <f t="shared" si="46"/>
        <v>249.62</v>
      </c>
      <c r="D1427" s="102">
        <f t="shared" si="46"/>
        <v>242.81</v>
      </c>
      <c r="E1427" s="102">
        <f t="shared" si="46"/>
        <v>264.70999999999998</v>
      </c>
      <c r="F1427" s="102">
        <f t="shared" si="46"/>
        <v>263.55</v>
      </c>
      <c r="G1427" s="5">
        <f t="shared" si="46"/>
        <v>295.02999999999997</v>
      </c>
      <c r="H1427" s="5">
        <f t="shared" si="46"/>
        <v>295.11</v>
      </c>
      <c r="I1427" s="5">
        <f t="shared" si="46"/>
        <v>302.3</v>
      </c>
      <c r="J1427" s="409"/>
    </row>
    <row r="1428" spans="1:13" x14ac:dyDescent="0.2">
      <c r="A1428" s="8" t="s">
        <v>33</v>
      </c>
      <c r="B1428" s="28">
        <v>2018</v>
      </c>
      <c r="C1428" s="28">
        <v>2019</v>
      </c>
      <c r="D1428" s="191">
        <v>2020</v>
      </c>
      <c r="E1428" s="28">
        <v>2021</v>
      </c>
      <c r="F1428" s="28">
        <v>2022</v>
      </c>
      <c r="G1428" s="16">
        <v>2023</v>
      </c>
      <c r="H1428" s="16">
        <v>2024</v>
      </c>
      <c r="I1428" s="16">
        <v>2025</v>
      </c>
      <c r="J1428" s="421">
        <v>2026</v>
      </c>
    </row>
    <row r="1429" spans="1:13" ht="13.15" customHeight="1" x14ac:dyDescent="0.2">
      <c r="A1429" s="46" t="s">
        <v>135</v>
      </c>
      <c r="B1429" s="254"/>
      <c r="C1429" s="254"/>
      <c r="D1429" s="254"/>
      <c r="E1429" s="254"/>
      <c r="F1429" s="254"/>
      <c r="G1429" s="254"/>
      <c r="H1429" s="20"/>
      <c r="I1429" s="20"/>
      <c r="J1429" s="512"/>
    </row>
    <row r="1430" spans="1:13" x14ac:dyDescent="0.2">
      <c r="A1430" s="135"/>
      <c r="B1430" s="135"/>
    </row>
    <row r="1431" spans="1:13" x14ac:dyDescent="0.2">
      <c r="A1431" s="43" t="s">
        <v>14</v>
      </c>
      <c r="B1431" s="56" t="s">
        <v>624</v>
      </c>
      <c r="C1431" s="197" t="s">
        <v>26</v>
      </c>
    </row>
    <row r="1432" spans="1:13" x14ac:dyDescent="0.2">
      <c r="A1432" s="198" t="s">
        <v>27</v>
      </c>
      <c r="B1432" s="117">
        <v>2013</v>
      </c>
      <c r="C1432" s="2">
        <v>2014</v>
      </c>
      <c r="D1432" s="187">
        <v>2015</v>
      </c>
      <c r="E1432" s="2">
        <v>2016</v>
      </c>
      <c r="F1432" s="2">
        <v>2017</v>
      </c>
      <c r="G1432" s="187">
        <v>2018</v>
      </c>
      <c r="H1432" s="2">
        <v>2019</v>
      </c>
      <c r="I1432" s="2">
        <v>2020</v>
      </c>
      <c r="J1432" s="2">
        <v>2021</v>
      </c>
      <c r="K1432" s="2">
        <v>2022</v>
      </c>
      <c r="L1432" s="2">
        <v>2023</v>
      </c>
      <c r="M1432" s="468">
        <v>2024</v>
      </c>
    </row>
    <row r="1433" spans="1:13" x14ac:dyDescent="0.2">
      <c r="A1433" s="15" t="s">
        <v>28</v>
      </c>
      <c r="B1433" s="5">
        <v>200</v>
      </c>
      <c r="C1433" s="5">
        <v>200</v>
      </c>
      <c r="D1433" s="102">
        <v>200</v>
      </c>
      <c r="E1433" s="102">
        <v>200</v>
      </c>
      <c r="F1433" s="102">
        <v>200</v>
      </c>
      <c r="G1433" s="102">
        <v>200</v>
      </c>
      <c r="H1433" s="102">
        <v>200</v>
      </c>
      <c r="I1433" s="5">
        <v>200</v>
      </c>
      <c r="J1433" s="5">
        <v>200</v>
      </c>
      <c r="K1433" s="5">
        <v>200</v>
      </c>
      <c r="L1433" s="5">
        <v>200</v>
      </c>
      <c r="M1433" s="409">
        <v>200</v>
      </c>
    </row>
    <row r="1434" spans="1:13" x14ac:dyDescent="0.2">
      <c r="A1434" s="15" t="s">
        <v>29</v>
      </c>
      <c r="B1434" s="19">
        <f>(B1435)</f>
        <v>300</v>
      </c>
      <c r="C1434" s="19">
        <f>(C1435)</f>
        <v>300</v>
      </c>
      <c r="D1434" s="102">
        <v>300</v>
      </c>
      <c r="E1434" s="102">
        <v>300</v>
      </c>
      <c r="F1434" s="102">
        <v>300</v>
      </c>
      <c r="G1434" s="102">
        <v>280</v>
      </c>
      <c r="H1434" s="102">
        <v>280</v>
      </c>
      <c r="I1434" s="5">
        <v>280</v>
      </c>
      <c r="J1434" s="5">
        <v>280</v>
      </c>
      <c r="K1434" s="5">
        <v>280</v>
      </c>
      <c r="L1434" s="5">
        <v>280</v>
      </c>
      <c r="M1434" s="409">
        <v>280</v>
      </c>
    </row>
    <row r="1435" spans="1:13" x14ac:dyDescent="0.2">
      <c r="A1435" s="15" t="s">
        <v>30</v>
      </c>
      <c r="B1435" s="5">
        <f>(B1433*50%)+B1433</f>
        <v>300</v>
      </c>
      <c r="C1435" s="5">
        <f>(C1433*50%)+C1433</f>
        <v>300</v>
      </c>
      <c r="D1435" s="105" t="s">
        <v>247</v>
      </c>
      <c r="E1435" s="105" t="s">
        <v>247</v>
      </c>
      <c r="F1435" s="105" t="s">
        <v>247</v>
      </c>
      <c r="G1435" s="105" t="s">
        <v>248</v>
      </c>
      <c r="H1435" s="105" t="s">
        <v>248</v>
      </c>
      <c r="I1435" s="105" t="s">
        <v>248</v>
      </c>
      <c r="J1435" s="105" t="s">
        <v>248</v>
      </c>
      <c r="K1435" s="105" t="s">
        <v>248</v>
      </c>
      <c r="L1435" s="105" t="s">
        <v>248</v>
      </c>
      <c r="M1435" s="571" t="s">
        <v>248</v>
      </c>
    </row>
    <row r="1436" spans="1:13" x14ac:dyDescent="0.2">
      <c r="A1436" s="15" t="s">
        <v>31</v>
      </c>
      <c r="B1436" s="5">
        <v>32</v>
      </c>
      <c r="C1436" s="5">
        <v>32</v>
      </c>
      <c r="D1436" s="102">
        <v>31</v>
      </c>
      <c r="E1436" s="102">
        <v>36</v>
      </c>
      <c r="F1436" s="102">
        <v>64</v>
      </c>
      <c r="G1436" s="102">
        <v>45</v>
      </c>
      <c r="H1436" s="102">
        <v>30</v>
      </c>
      <c r="I1436" s="5">
        <v>21</v>
      </c>
      <c r="J1436" s="5">
        <v>25</v>
      </c>
      <c r="K1436" s="5">
        <v>22</v>
      </c>
      <c r="L1436" s="5">
        <v>26</v>
      </c>
      <c r="M1436" s="409"/>
    </row>
    <row r="1437" spans="1:13" x14ac:dyDescent="0.2">
      <c r="A1437" s="15" t="s">
        <v>32</v>
      </c>
      <c r="B1437" s="19">
        <f>(B1434-B1436)</f>
        <v>268</v>
      </c>
      <c r="C1437" s="19">
        <f>(C1434-C1436)</f>
        <v>268</v>
      </c>
      <c r="D1437" s="102">
        <f t="shared" ref="D1437:L1437" si="47">D1434-D1436</f>
        <v>269</v>
      </c>
      <c r="E1437" s="102">
        <f t="shared" si="47"/>
        <v>264</v>
      </c>
      <c r="F1437" s="102">
        <f t="shared" si="47"/>
        <v>236</v>
      </c>
      <c r="G1437" s="102">
        <f t="shared" si="47"/>
        <v>235</v>
      </c>
      <c r="H1437" s="102">
        <f t="shared" si="47"/>
        <v>250</v>
      </c>
      <c r="I1437" s="102">
        <f t="shared" si="47"/>
        <v>259</v>
      </c>
      <c r="J1437" s="102">
        <f t="shared" si="47"/>
        <v>255</v>
      </c>
      <c r="K1437" s="102">
        <f t="shared" si="47"/>
        <v>258</v>
      </c>
      <c r="L1437" s="102">
        <f t="shared" si="47"/>
        <v>254</v>
      </c>
      <c r="M1437" s="462"/>
    </row>
    <row r="1438" spans="1:13" ht="13.15" customHeight="1" x14ac:dyDescent="0.2">
      <c r="A1438" s="8" t="s">
        <v>33</v>
      </c>
      <c r="B1438" s="28">
        <v>2015</v>
      </c>
      <c r="C1438" s="28">
        <v>2016</v>
      </c>
      <c r="D1438" s="28">
        <v>2017</v>
      </c>
      <c r="E1438" s="28">
        <v>2018</v>
      </c>
      <c r="F1438" s="28">
        <v>2019</v>
      </c>
      <c r="G1438" s="191">
        <v>2020</v>
      </c>
      <c r="H1438" s="28">
        <v>2021</v>
      </c>
      <c r="I1438" s="28">
        <v>2022</v>
      </c>
      <c r="J1438" s="28">
        <v>2023</v>
      </c>
      <c r="K1438" s="28">
        <v>2024</v>
      </c>
      <c r="L1438" s="28">
        <v>2025</v>
      </c>
      <c r="M1438" s="467">
        <v>2026</v>
      </c>
    </row>
    <row r="1439" spans="1:13" ht="13.15" customHeight="1" x14ac:dyDescent="0.2">
      <c r="A1439" s="8" t="s">
        <v>502</v>
      </c>
      <c r="B1439" s="62"/>
      <c r="C1439" s="62"/>
      <c r="D1439" s="62"/>
      <c r="E1439" s="62"/>
      <c r="F1439" s="62"/>
      <c r="G1439" s="62"/>
      <c r="H1439" s="62"/>
      <c r="I1439" s="62"/>
      <c r="J1439" s="62"/>
      <c r="K1439" s="29"/>
      <c r="L1439" s="29"/>
      <c r="M1439" s="473"/>
    </row>
    <row r="1440" spans="1:13" x14ac:dyDescent="0.2">
      <c r="A1440" s="1" t="s">
        <v>503</v>
      </c>
      <c r="B1440" s="125"/>
      <c r="C1440" s="125"/>
      <c r="D1440" s="125"/>
      <c r="E1440" s="125"/>
      <c r="F1440" s="125"/>
      <c r="G1440" s="125"/>
      <c r="H1440" s="125"/>
      <c r="I1440" s="125"/>
      <c r="J1440" s="125"/>
      <c r="K1440" s="154"/>
      <c r="L1440" s="154"/>
      <c r="M1440" s="499"/>
    </row>
    <row r="1442" spans="1:16" ht="15" x14ac:dyDescent="0.25">
      <c r="A1442" s="43" t="s">
        <v>14</v>
      </c>
      <c r="B1442" s="56" t="s">
        <v>646</v>
      </c>
      <c r="C1442" s="56" t="s">
        <v>26</v>
      </c>
      <c r="O1442" s="186"/>
    </row>
    <row r="1443" spans="1:16" x14ac:dyDescent="0.2">
      <c r="A1443" s="1" t="s">
        <v>27</v>
      </c>
      <c r="B1443" s="117">
        <v>2010</v>
      </c>
      <c r="C1443" s="2">
        <v>2011</v>
      </c>
      <c r="D1443" s="2">
        <v>2012</v>
      </c>
      <c r="E1443" s="2">
        <v>2013</v>
      </c>
      <c r="F1443" s="2">
        <v>2014</v>
      </c>
      <c r="G1443" s="2">
        <v>2015</v>
      </c>
      <c r="H1443" s="2">
        <v>2016</v>
      </c>
      <c r="I1443" s="187">
        <v>2017</v>
      </c>
      <c r="J1443" s="2">
        <v>2018</v>
      </c>
      <c r="K1443" s="2">
        <v>2019</v>
      </c>
      <c r="L1443" s="2">
        <v>2020</v>
      </c>
      <c r="M1443" s="2">
        <v>2021</v>
      </c>
      <c r="N1443" s="2">
        <v>2022</v>
      </c>
      <c r="O1443" s="2">
        <v>2023</v>
      </c>
      <c r="P1443" s="468">
        <v>2024</v>
      </c>
    </row>
    <row r="1444" spans="1:16" x14ac:dyDescent="0.2">
      <c r="A1444" s="46" t="s">
        <v>28</v>
      </c>
      <c r="B1444" s="5">
        <v>95</v>
      </c>
      <c r="C1444" s="5">
        <v>95</v>
      </c>
      <c r="D1444" s="5">
        <v>95</v>
      </c>
      <c r="E1444" s="5">
        <v>95</v>
      </c>
      <c r="F1444" s="19">
        <v>95</v>
      </c>
      <c r="G1444" s="188">
        <v>108.98</v>
      </c>
      <c r="H1444" s="188">
        <v>108.98</v>
      </c>
      <c r="I1444" s="189">
        <v>108.98</v>
      </c>
      <c r="J1444" s="188">
        <v>128.44</v>
      </c>
      <c r="K1444" s="188">
        <v>128.44</v>
      </c>
      <c r="L1444" s="188">
        <v>128.44</v>
      </c>
      <c r="M1444" s="188">
        <v>128.44</v>
      </c>
      <c r="N1444" s="188">
        <v>149.34</v>
      </c>
      <c r="O1444" s="188">
        <v>149.34</v>
      </c>
      <c r="P1444" s="470">
        <v>149.34</v>
      </c>
    </row>
    <row r="1445" spans="1:16" x14ac:dyDescent="0.2">
      <c r="A1445" s="46" t="s">
        <v>29</v>
      </c>
      <c r="B1445" s="19">
        <f>(B1446)</f>
        <v>56</v>
      </c>
      <c r="C1445" s="19">
        <f t="shared" ref="C1445:J1445" si="48">(C1446)</f>
        <v>137</v>
      </c>
      <c r="D1445" s="19">
        <f t="shared" si="48"/>
        <v>103.5</v>
      </c>
      <c r="E1445" s="19">
        <f t="shared" si="48"/>
        <v>147.9</v>
      </c>
      <c r="F1445" s="19">
        <f t="shared" si="48"/>
        <v>103.5</v>
      </c>
      <c r="G1445" s="188">
        <f t="shared" si="48"/>
        <v>74.980000000000018</v>
      </c>
      <c r="H1445" s="188">
        <f t="shared" si="48"/>
        <v>78.980000000000047</v>
      </c>
      <c r="I1445" s="189">
        <f t="shared" si="48"/>
        <v>76.980000000000047</v>
      </c>
      <c r="J1445" s="188">
        <f t="shared" si="48"/>
        <v>97.44000000000004</v>
      </c>
      <c r="K1445" s="188">
        <f t="shared" ref="K1445:P1445" si="49">K1446</f>
        <v>85.440000000000055</v>
      </c>
      <c r="L1445" s="5">
        <f t="shared" si="49"/>
        <v>95.440000000000055</v>
      </c>
      <c r="M1445" s="5">
        <f t="shared" si="49"/>
        <v>95.440000000000055</v>
      </c>
      <c r="N1445" s="5">
        <f t="shared" si="49"/>
        <v>122.78000000000006</v>
      </c>
      <c r="O1445" s="5">
        <f t="shared" si="49"/>
        <v>152.12000000000006</v>
      </c>
      <c r="P1445" s="409">
        <f t="shared" si="49"/>
        <v>202.46000000000006</v>
      </c>
    </row>
    <row r="1446" spans="1:16" x14ac:dyDescent="0.2">
      <c r="A1446" s="46" t="s">
        <v>30</v>
      </c>
      <c r="B1446" s="188">
        <f>(B1444+47.5)-86.5</f>
        <v>56</v>
      </c>
      <c r="C1446" s="188">
        <f>(C1444+B1448)</f>
        <v>137</v>
      </c>
      <c r="D1446" s="188">
        <f>D1444+95-86.5</f>
        <v>103.5</v>
      </c>
      <c r="E1446" s="188">
        <f>E1444+D1448</f>
        <v>147.9</v>
      </c>
      <c r="F1446" s="188">
        <f>(F1444+95)-86.5</f>
        <v>103.5</v>
      </c>
      <c r="G1446" s="188">
        <f>(G1444+F1448)-86.5</f>
        <v>74.980000000000018</v>
      </c>
      <c r="H1446" s="188">
        <f>(H1444+G1448)-51.98</f>
        <v>78.980000000000047</v>
      </c>
      <c r="I1446" s="189">
        <f>(I1444+H1448)-55.98</f>
        <v>76.980000000000047</v>
      </c>
      <c r="J1446" s="188">
        <f>(J1444+I1448)-73.98</f>
        <v>97.44000000000004</v>
      </c>
      <c r="K1446" s="188">
        <f>K1444+J1448-60.44</f>
        <v>85.440000000000055</v>
      </c>
      <c r="L1446" s="5">
        <f>L1444+K1448-79.44</f>
        <v>95.440000000000055</v>
      </c>
      <c r="M1446" s="5">
        <f>M1444+L1448-100.44</f>
        <v>95.440000000000055</v>
      </c>
      <c r="N1446" s="5">
        <f>N1444+M1448-60</f>
        <v>122.78000000000006</v>
      </c>
      <c r="O1446" s="5">
        <f>O1444+N1448-60</f>
        <v>152.12000000000006</v>
      </c>
      <c r="P1446" s="409">
        <f>P1444-60+O1448</f>
        <v>202.46000000000006</v>
      </c>
    </row>
    <row r="1447" spans="1:16" x14ac:dyDescent="0.2">
      <c r="A1447" s="46" t="s">
        <v>31</v>
      </c>
      <c r="B1447" s="19">
        <v>14</v>
      </c>
      <c r="C1447" s="19">
        <v>14</v>
      </c>
      <c r="D1447" s="19">
        <v>50.6</v>
      </c>
      <c r="E1447" s="19">
        <v>22</v>
      </c>
      <c r="F1447" s="19">
        <v>51</v>
      </c>
      <c r="G1447" s="19">
        <v>53</v>
      </c>
      <c r="H1447" s="19">
        <v>55</v>
      </c>
      <c r="I1447" s="190">
        <v>34</v>
      </c>
      <c r="J1447" s="19">
        <v>80</v>
      </c>
      <c r="K1447" s="19">
        <v>39</v>
      </c>
      <c r="L1447" s="5">
        <v>28</v>
      </c>
      <c r="M1447" s="5">
        <v>62</v>
      </c>
      <c r="N1447" s="5">
        <v>60</v>
      </c>
      <c r="O1447" s="5">
        <v>39</v>
      </c>
      <c r="P1447" s="409"/>
    </row>
    <row r="1448" spans="1:16" x14ac:dyDescent="0.2">
      <c r="A1448" s="46" t="s">
        <v>32</v>
      </c>
      <c r="B1448" s="19">
        <f>(B1445-B1447)</f>
        <v>42</v>
      </c>
      <c r="C1448" s="19">
        <f t="shared" ref="C1448:J1448" si="50">(C1445-C1447)</f>
        <v>123</v>
      </c>
      <c r="D1448" s="19">
        <f t="shared" si="50"/>
        <v>52.9</v>
      </c>
      <c r="E1448" s="19">
        <f t="shared" si="50"/>
        <v>125.9</v>
      </c>
      <c r="F1448" s="19">
        <f t="shared" si="50"/>
        <v>52.5</v>
      </c>
      <c r="G1448" s="19">
        <f t="shared" si="50"/>
        <v>21.980000000000018</v>
      </c>
      <c r="H1448" s="19">
        <f t="shared" si="50"/>
        <v>23.980000000000047</v>
      </c>
      <c r="I1448" s="190">
        <f t="shared" si="50"/>
        <v>42.980000000000047</v>
      </c>
      <c r="J1448" s="19">
        <f t="shared" si="50"/>
        <v>17.44000000000004</v>
      </c>
      <c r="K1448" s="19">
        <f>K1445-K1447</f>
        <v>46.440000000000055</v>
      </c>
      <c r="L1448" s="5">
        <f>L1445-L1447</f>
        <v>67.440000000000055</v>
      </c>
      <c r="M1448" s="5">
        <f>M1445-M1447</f>
        <v>33.440000000000055</v>
      </c>
      <c r="N1448" s="5">
        <f>N1445-N1447</f>
        <v>62.780000000000058</v>
      </c>
      <c r="O1448" s="5">
        <f>O1445-O1447</f>
        <v>113.12000000000006</v>
      </c>
      <c r="P1448" s="409"/>
    </row>
    <row r="1449" spans="1:16" x14ac:dyDescent="0.2">
      <c r="A1449" s="8" t="s">
        <v>33</v>
      </c>
      <c r="B1449" s="28">
        <v>2011</v>
      </c>
      <c r="C1449" s="28">
        <v>2012</v>
      </c>
      <c r="D1449" s="28">
        <v>2013</v>
      </c>
      <c r="E1449" s="28">
        <v>2014</v>
      </c>
      <c r="F1449" s="28">
        <v>2015</v>
      </c>
      <c r="G1449" s="28">
        <v>2016</v>
      </c>
      <c r="H1449" s="28">
        <v>2017</v>
      </c>
      <c r="I1449" s="191">
        <v>2018</v>
      </c>
      <c r="J1449" s="28">
        <v>2019</v>
      </c>
      <c r="K1449" s="28">
        <v>2020</v>
      </c>
      <c r="L1449" s="28">
        <v>2021</v>
      </c>
      <c r="M1449" s="28">
        <v>2022</v>
      </c>
      <c r="N1449" s="28">
        <v>2023</v>
      </c>
      <c r="O1449" s="28">
        <v>2024</v>
      </c>
      <c r="P1449" s="467">
        <v>2025</v>
      </c>
    </row>
    <row r="1450" spans="1:16" x14ac:dyDescent="0.2">
      <c r="A1450" s="8" t="s">
        <v>34</v>
      </c>
      <c r="B1450" s="9"/>
      <c r="C1450" s="9"/>
      <c r="D1450" s="9"/>
      <c r="E1450" s="9"/>
      <c r="F1450" s="9"/>
      <c r="G1450" s="9"/>
      <c r="H1450" s="9"/>
      <c r="I1450" s="9"/>
      <c r="J1450" s="9"/>
      <c r="K1450" s="9"/>
      <c r="L1450" s="9"/>
      <c r="M1450" s="9"/>
      <c r="N1450" s="9"/>
      <c r="O1450" s="9"/>
      <c r="P1450" s="7"/>
    </row>
    <row r="1451" spans="1:16" x14ac:dyDescent="0.2">
      <c r="A1451" s="53" t="s">
        <v>35</v>
      </c>
      <c r="P1451" s="12"/>
    </row>
    <row r="1452" spans="1:16" x14ac:dyDescent="0.2">
      <c r="A1452" s="53" t="s">
        <v>721</v>
      </c>
      <c r="P1452" s="12"/>
    </row>
    <row r="1453" spans="1:16" x14ac:dyDescent="0.2">
      <c r="A1453" s="53" t="s">
        <v>722</v>
      </c>
      <c r="P1453" s="12"/>
    </row>
    <row r="1454" spans="1:16" x14ac:dyDescent="0.2">
      <c r="A1454" s="53" t="s">
        <v>723</v>
      </c>
      <c r="P1454" s="12"/>
    </row>
    <row r="1455" spans="1:16" x14ac:dyDescent="0.2">
      <c r="A1455" s="53" t="s">
        <v>724</v>
      </c>
      <c r="P1455" s="12"/>
    </row>
    <row r="1456" spans="1:16" x14ac:dyDescent="0.2">
      <c r="A1456" s="10" t="s">
        <v>725</v>
      </c>
      <c r="P1456" s="12"/>
    </row>
    <row r="1457" spans="1:16" x14ac:dyDescent="0.2">
      <c r="A1457" s="10" t="s">
        <v>726</v>
      </c>
      <c r="P1457" s="12"/>
    </row>
    <row r="1458" spans="1:16" x14ac:dyDescent="0.2">
      <c r="A1458" s="10" t="s">
        <v>727</v>
      </c>
      <c r="P1458" s="12"/>
    </row>
    <row r="1459" spans="1:16" x14ac:dyDescent="0.2">
      <c r="A1459" s="10" t="s">
        <v>728</v>
      </c>
      <c r="P1459" s="12"/>
    </row>
    <row r="1460" spans="1:16" x14ac:dyDescent="0.2">
      <c r="A1460" s="10" t="s">
        <v>729</v>
      </c>
      <c r="P1460" s="12"/>
    </row>
    <row r="1461" spans="1:16" x14ac:dyDescent="0.2">
      <c r="A1461" s="10" t="s">
        <v>730</v>
      </c>
      <c r="P1461" s="12"/>
    </row>
    <row r="1462" spans="1:16" x14ac:dyDescent="0.2">
      <c r="A1462" s="10" t="s">
        <v>731</v>
      </c>
      <c r="P1462" s="12"/>
    </row>
    <row r="1463" spans="1:16" x14ac:dyDescent="0.2">
      <c r="A1463" s="10" t="s">
        <v>812</v>
      </c>
      <c r="P1463" s="12"/>
    </row>
    <row r="1464" spans="1:16" x14ac:dyDescent="0.2">
      <c r="A1464" s="10" t="s">
        <v>895</v>
      </c>
      <c r="P1464" s="12"/>
    </row>
    <row r="1465" spans="1:16" x14ac:dyDescent="0.2">
      <c r="A1465" s="415" t="s">
        <v>1072</v>
      </c>
      <c r="B1465" s="13"/>
      <c r="C1465" s="13"/>
      <c r="D1465" s="13"/>
      <c r="E1465" s="13"/>
      <c r="F1465" s="13"/>
      <c r="G1465" s="13"/>
      <c r="H1465" s="13"/>
      <c r="I1465" s="13"/>
      <c r="J1465" s="13"/>
      <c r="K1465" s="13"/>
      <c r="L1465" s="13"/>
      <c r="M1465" s="13"/>
      <c r="N1465" s="13"/>
      <c r="O1465" s="13"/>
      <c r="P1465" s="14"/>
    </row>
    <row r="1467" spans="1:16" x14ac:dyDescent="0.2">
      <c r="A1467" s="43" t="s">
        <v>14</v>
      </c>
      <c r="B1467" s="56" t="s">
        <v>74</v>
      </c>
      <c r="C1467" s="56" t="s">
        <v>26</v>
      </c>
    </row>
    <row r="1468" spans="1:16" x14ac:dyDescent="0.2">
      <c r="A1468" s="1" t="s">
        <v>27</v>
      </c>
      <c r="B1468" s="117">
        <v>2013</v>
      </c>
      <c r="C1468" s="2">
        <v>2014</v>
      </c>
      <c r="D1468" s="2">
        <v>2015</v>
      </c>
      <c r="E1468" s="187">
        <v>2016</v>
      </c>
      <c r="F1468" s="2">
        <v>2017</v>
      </c>
      <c r="G1468" s="187">
        <v>2018</v>
      </c>
      <c r="H1468" s="2">
        <v>2019</v>
      </c>
      <c r="I1468" s="2">
        <v>2020</v>
      </c>
      <c r="J1468" s="2">
        <v>2021</v>
      </c>
      <c r="K1468" s="2">
        <v>2022</v>
      </c>
      <c r="L1468" s="2">
        <v>2023</v>
      </c>
    </row>
    <row r="1469" spans="1:16" x14ac:dyDescent="0.2">
      <c r="A1469" s="46" t="s">
        <v>28</v>
      </c>
      <c r="B1469" s="5">
        <v>70</v>
      </c>
      <c r="C1469" s="5">
        <v>70</v>
      </c>
      <c r="D1469" s="5">
        <v>70</v>
      </c>
      <c r="E1469" s="5">
        <v>70</v>
      </c>
      <c r="F1469" s="19">
        <v>70</v>
      </c>
      <c r="G1469" s="19">
        <v>70</v>
      </c>
      <c r="H1469" s="19">
        <v>70</v>
      </c>
      <c r="I1469" s="5">
        <v>58.9</v>
      </c>
      <c r="J1469" s="5">
        <v>58.9</v>
      </c>
      <c r="K1469" s="5">
        <v>58.9</v>
      </c>
      <c r="L1469" s="5">
        <v>58.9</v>
      </c>
    </row>
    <row r="1470" spans="1:16" x14ac:dyDescent="0.2">
      <c r="A1470" s="46" t="s">
        <v>29</v>
      </c>
      <c r="B1470" s="5">
        <f>(B1471)</f>
        <v>-15</v>
      </c>
      <c r="C1470" s="5">
        <f t="shared" ref="C1470:H1470" si="51">(C1471)</f>
        <v>3</v>
      </c>
      <c r="D1470" s="5">
        <v>55</v>
      </c>
      <c r="E1470" s="5">
        <f t="shared" si="51"/>
        <v>56</v>
      </c>
      <c r="F1470" s="5">
        <f t="shared" si="51"/>
        <v>61</v>
      </c>
      <c r="G1470" s="19">
        <f t="shared" si="51"/>
        <v>71</v>
      </c>
      <c r="H1470" s="19">
        <f t="shared" si="51"/>
        <v>73</v>
      </c>
      <c r="I1470" s="5">
        <v>65.900000000000006</v>
      </c>
      <c r="J1470" s="5"/>
      <c r="K1470" s="5"/>
      <c r="L1470" s="5"/>
    </row>
    <row r="1471" spans="1:16" x14ac:dyDescent="0.2">
      <c r="A1471" s="46" t="s">
        <v>30</v>
      </c>
      <c r="B1471" s="19">
        <f>(B1469-B1472)</f>
        <v>-15</v>
      </c>
      <c r="C1471" s="19">
        <f>(C1469-C1472)</f>
        <v>3</v>
      </c>
      <c r="D1471" s="19">
        <f>D1469+B1473</f>
        <v>55</v>
      </c>
      <c r="E1471" s="19">
        <f>E1469+D1473+C1473</f>
        <v>56</v>
      </c>
      <c r="F1471" s="19">
        <f>F1469+E1473</f>
        <v>61</v>
      </c>
      <c r="G1471" s="19">
        <f>G1469+F1473</f>
        <v>71</v>
      </c>
      <c r="H1471" s="19">
        <f>H1469+G1473</f>
        <v>73</v>
      </c>
      <c r="I1471" s="5">
        <f>I1469+0.1*H1469</f>
        <v>65.900000000000006</v>
      </c>
      <c r="J1471" s="5"/>
      <c r="K1471" s="5"/>
      <c r="L1471" s="5"/>
    </row>
    <row r="1472" spans="1:16" x14ac:dyDescent="0.2">
      <c r="A1472" s="46" t="s">
        <v>36</v>
      </c>
      <c r="B1472" s="19">
        <v>85</v>
      </c>
      <c r="C1472" s="19">
        <v>67</v>
      </c>
      <c r="D1472" s="19">
        <v>72</v>
      </c>
      <c r="E1472" s="19">
        <v>65</v>
      </c>
      <c r="F1472" s="19">
        <v>60</v>
      </c>
      <c r="G1472" s="19">
        <v>68</v>
      </c>
      <c r="H1472" s="19">
        <v>51</v>
      </c>
      <c r="I1472" s="5">
        <v>39</v>
      </c>
      <c r="J1472" s="5">
        <v>43</v>
      </c>
      <c r="K1472" s="5">
        <v>29</v>
      </c>
      <c r="L1472" s="5">
        <v>43</v>
      </c>
    </row>
    <row r="1473" spans="1:12" x14ac:dyDescent="0.2">
      <c r="A1473" s="46" t="s">
        <v>37</v>
      </c>
      <c r="B1473" s="5">
        <f>(B1471)</f>
        <v>-15</v>
      </c>
      <c r="C1473" s="5">
        <f>(C1471)</f>
        <v>3</v>
      </c>
      <c r="D1473" s="5">
        <f t="shared" ref="D1473:I1473" si="52">D1470-D1472</f>
        <v>-17</v>
      </c>
      <c r="E1473" s="5">
        <f t="shared" si="52"/>
        <v>-9</v>
      </c>
      <c r="F1473" s="5">
        <f t="shared" si="52"/>
        <v>1</v>
      </c>
      <c r="G1473" s="19">
        <f t="shared" si="52"/>
        <v>3</v>
      </c>
      <c r="H1473" s="19">
        <f t="shared" si="52"/>
        <v>22</v>
      </c>
      <c r="I1473" s="5">
        <f t="shared" si="52"/>
        <v>26.900000000000006</v>
      </c>
      <c r="J1473" s="5">
        <f>J1469-J1472</f>
        <v>15.899999999999999</v>
      </c>
      <c r="K1473" s="5">
        <f>K1469-K1472</f>
        <v>29.9</v>
      </c>
      <c r="L1473" s="5">
        <f>L1469-L1472</f>
        <v>15.899999999999999</v>
      </c>
    </row>
    <row r="1474" spans="1:12" x14ac:dyDescent="0.2">
      <c r="A1474" s="8" t="s">
        <v>33</v>
      </c>
      <c r="B1474" s="185">
        <v>2015</v>
      </c>
      <c r="C1474" s="185">
        <v>2016</v>
      </c>
      <c r="D1474" s="185">
        <v>2016</v>
      </c>
      <c r="E1474" s="185">
        <v>2017</v>
      </c>
      <c r="F1474" s="185">
        <v>2018</v>
      </c>
      <c r="G1474" s="185">
        <v>2019</v>
      </c>
      <c r="H1474" s="185">
        <v>2020</v>
      </c>
      <c r="I1474" s="28"/>
      <c r="J1474" s="28"/>
      <c r="K1474" s="28"/>
      <c r="L1474" s="28"/>
    </row>
    <row r="1475" spans="1:12" x14ac:dyDescent="0.2">
      <c r="A1475" s="8" t="s">
        <v>34</v>
      </c>
      <c r="B1475" s="9"/>
      <c r="C1475" s="9"/>
      <c r="D1475" s="9"/>
      <c r="E1475" s="9"/>
      <c r="F1475" s="9"/>
      <c r="G1475" s="9"/>
      <c r="H1475" s="9"/>
      <c r="I1475" s="9"/>
      <c r="J1475" s="9"/>
      <c r="K1475" s="7"/>
      <c r="L1475" s="7"/>
    </row>
    <row r="1476" spans="1:12" x14ac:dyDescent="0.2">
      <c r="A1476" s="51" t="s">
        <v>311</v>
      </c>
      <c r="B1476" s="9"/>
      <c r="C1476" s="9"/>
      <c r="D1476" s="9"/>
      <c r="E1476" s="9"/>
      <c r="F1476" s="9"/>
      <c r="G1476" s="9"/>
      <c r="H1476" s="9"/>
      <c r="I1476" s="9"/>
      <c r="J1476" s="9"/>
      <c r="K1476" s="9"/>
      <c r="L1476" s="7"/>
    </row>
    <row r="1477" spans="1:12" x14ac:dyDescent="0.2">
      <c r="A1477" s="10" t="s">
        <v>312</v>
      </c>
      <c r="L1477" s="12"/>
    </row>
    <row r="1478" spans="1:12" x14ac:dyDescent="0.2">
      <c r="A1478" s="53" t="s">
        <v>313</v>
      </c>
      <c r="L1478" s="12"/>
    </row>
    <row r="1479" spans="1:12" x14ac:dyDescent="0.2">
      <c r="A1479" s="53" t="s">
        <v>314</v>
      </c>
      <c r="L1479" s="12"/>
    </row>
    <row r="1480" spans="1:12" x14ac:dyDescent="0.2">
      <c r="A1480" s="10" t="s">
        <v>305</v>
      </c>
      <c r="L1480" s="12"/>
    </row>
    <row r="1481" spans="1:12" x14ac:dyDescent="0.2">
      <c r="A1481" s="1" t="s">
        <v>407</v>
      </c>
      <c r="B1481" s="13"/>
      <c r="C1481" s="13"/>
      <c r="D1481" s="13"/>
      <c r="E1481" s="13"/>
      <c r="F1481" s="13"/>
      <c r="G1481" s="13"/>
      <c r="H1481" s="13"/>
      <c r="I1481" s="13"/>
      <c r="J1481" s="13"/>
      <c r="K1481" s="13"/>
      <c r="L1481" s="14"/>
    </row>
    <row r="1483" spans="1:12" x14ac:dyDescent="0.2">
      <c r="A1483" s="43" t="s">
        <v>14</v>
      </c>
      <c r="B1483" s="56" t="s">
        <v>79</v>
      </c>
      <c r="C1483" s="56" t="s">
        <v>26</v>
      </c>
    </row>
    <row r="1484" spans="1:12" x14ac:dyDescent="0.2">
      <c r="A1484" s="198" t="s">
        <v>27</v>
      </c>
      <c r="B1484" s="117">
        <v>2013</v>
      </c>
      <c r="C1484" s="2">
        <v>2014</v>
      </c>
      <c r="D1484" s="2">
        <v>2015</v>
      </c>
      <c r="E1484" s="2">
        <v>2016</v>
      </c>
      <c r="F1484" s="2">
        <v>2017</v>
      </c>
      <c r="G1484" s="187">
        <v>2018</v>
      </c>
      <c r="H1484" s="187">
        <v>2019</v>
      </c>
      <c r="I1484" s="2">
        <v>2020</v>
      </c>
      <c r="J1484" s="2">
        <v>2021</v>
      </c>
      <c r="K1484" s="2">
        <v>2022</v>
      </c>
      <c r="L1484" s="2">
        <v>2023</v>
      </c>
    </row>
    <row r="1485" spans="1:12" x14ac:dyDescent="0.2">
      <c r="A1485" s="15" t="s">
        <v>28</v>
      </c>
      <c r="B1485" s="5">
        <v>25</v>
      </c>
      <c r="C1485" s="5">
        <v>25</v>
      </c>
      <c r="D1485" s="5">
        <v>25</v>
      </c>
      <c r="E1485" s="5">
        <v>25</v>
      </c>
      <c r="F1485" s="19">
        <v>25</v>
      </c>
      <c r="G1485" s="189">
        <v>25</v>
      </c>
      <c r="H1485" s="189">
        <v>25</v>
      </c>
      <c r="I1485" s="5">
        <v>25</v>
      </c>
      <c r="J1485" s="5">
        <v>25</v>
      </c>
      <c r="K1485" s="5">
        <v>25</v>
      </c>
      <c r="L1485" s="5">
        <v>25</v>
      </c>
    </row>
    <row r="1486" spans="1:12" x14ac:dyDescent="0.2">
      <c r="A1486" s="15" t="s">
        <v>29</v>
      </c>
      <c r="B1486" s="5">
        <f>(B1487)</f>
        <v>-5</v>
      </c>
      <c r="C1486" s="5">
        <v>25</v>
      </c>
      <c r="D1486" s="5">
        <f>(D1487)</f>
        <v>25</v>
      </c>
      <c r="E1486" s="5">
        <f>(E1487)</f>
        <v>24</v>
      </c>
      <c r="F1486" s="5">
        <f>F1485</f>
        <v>25</v>
      </c>
      <c r="G1486" s="189">
        <v>29</v>
      </c>
      <c r="H1486" s="189">
        <f>H1485+5</f>
        <v>30</v>
      </c>
      <c r="I1486" s="5">
        <f>I1487</f>
        <v>30</v>
      </c>
      <c r="J1486" s="5">
        <f>J1487</f>
        <v>30</v>
      </c>
      <c r="K1486" s="5"/>
      <c r="L1486" s="5"/>
    </row>
    <row r="1487" spans="1:12" x14ac:dyDescent="0.2">
      <c r="A1487" s="15" t="s">
        <v>30</v>
      </c>
      <c r="B1487" s="19">
        <f>(B1485-B1488)</f>
        <v>-5</v>
      </c>
      <c r="C1487" s="19">
        <v>25</v>
      </c>
      <c r="D1487" s="19">
        <f>D1485+B1489+C1489</f>
        <v>25</v>
      </c>
      <c r="E1487" s="19">
        <f>E1485+D1489</f>
        <v>24</v>
      </c>
      <c r="F1487" s="19">
        <v>25</v>
      </c>
      <c r="G1487" s="189">
        <v>29</v>
      </c>
      <c r="H1487" s="189">
        <f>H1485+5</f>
        <v>30</v>
      </c>
      <c r="I1487" s="5">
        <f>I1485+0.2*G1485</f>
        <v>30</v>
      </c>
      <c r="J1487" s="5">
        <f>J1485+0.2*H1485</f>
        <v>30</v>
      </c>
      <c r="K1487" s="5"/>
      <c r="L1487" s="5"/>
    </row>
    <row r="1488" spans="1:12" x14ac:dyDescent="0.2">
      <c r="A1488" s="15" t="s">
        <v>36</v>
      </c>
      <c r="B1488" s="19">
        <v>30</v>
      </c>
      <c r="C1488" s="19">
        <v>20</v>
      </c>
      <c r="D1488" s="19">
        <v>26</v>
      </c>
      <c r="E1488" s="19">
        <v>20</v>
      </c>
      <c r="F1488" s="19">
        <v>12</v>
      </c>
      <c r="G1488" s="189">
        <v>15.89</v>
      </c>
      <c r="H1488" s="189">
        <v>9</v>
      </c>
      <c r="I1488" s="5">
        <v>10</v>
      </c>
      <c r="J1488" s="5">
        <v>12</v>
      </c>
      <c r="K1488" s="5">
        <v>8</v>
      </c>
      <c r="L1488" s="5">
        <v>8</v>
      </c>
    </row>
    <row r="1489" spans="1:12" x14ac:dyDescent="0.2">
      <c r="A1489" s="15" t="s">
        <v>37</v>
      </c>
      <c r="B1489" s="5">
        <v>-5</v>
      </c>
      <c r="C1489" s="5">
        <v>5</v>
      </c>
      <c r="D1489" s="5">
        <f>D1486-D1488</f>
        <v>-1</v>
      </c>
      <c r="E1489" s="122">
        <f>E1486-E1488</f>
        <v>4</v>
      </c>
      <c r="F1489" s="5">
        <f>F1486-F1488</f>
        <v>13</v>
      </c>
      <c r="G1489" s="189">
        <v>13.11</v>
      </c>
      <c r="H1489" s="189">
        <f>H1486-H1488</f>
        <v>21</v>
      </c>
      <c r="I1489" s="189">
        <f>I1486-I1488</f>
        <v>20</v>
      </c>
      <c r="J1489" s="5">
        <f>J1486-J1488</f>
        <v>18</v>
      </c>
      <c r="K1489" s="5">
        <f>K1485-K1488</f>
        <v>17</v>
      </c>
      <c r="L1489" s="5">
        <f>L1485-L1488</f>
        <v>17</v>
      </c>
    </row>
    <row r="1490" spans="1:12" x14ac:dyDescent="0.2">
      <c r="A1490" s="16" t="s">
        <v>33</v>
      </c>
      <c r="B1490" s="185">
        <v>2015</v>
      </c>
      <c r="C1490" s="185">
        <v>2016</v>
      </c>
      <c r="D1490" s="185">
        <v>2017</v>
      </c>
      <c r="E1490" s="185">
        <v>2018</v>
      </c>
      <c r="F1490" s="28">
        <v>2019</v>
      </c>
      <c r="G1490" s="28">
        <v>2020</v>
      </c>
      <c r="H1490" s="191">
        <v>2021</v>
      </c>
      <c r="I1490" s="28"/>
      <c r="J1490" s="28"/>
      <c r="K1490" s="28"/>
      <c r="L1490" s="28"/>
    </row>
    <row r="1491" spans="1:12" x14ac:dyDescent="0.2">
      <c r="A1491" s="8" t="s">
        <v>34</v>
      </c>
      <c r="B1491" s="9"/>
      <c r="C1491" s="9"/>
      <c r="D1491" s="9"/>
      <c r="E1491" s="9"/>
      <c r="F1491" s="9"/>
      <c r="G1491" s="9"/>
      <c r="H1491" s="9"/>
      <c r="I1491" s="9"/>
      <c r="J1491" s="9"/>
      <c r="K1491" s="7"/>
      <c r="L1491" s="7"/>
    </row>
    <row r="1492" spans="1:12" x14ac:dyDescent="0.2">
      <c r="A1492" s="51" t="s">
        <v>306</v>
      </c>
      <c r="B1492" s="9"/>
      <c r="C1492" s="9"/>
      <c r="D1492" s="9"/>
      <c r="E1492" s="9"/>
      <c r="F1492" s="9"/>
      <c r="G1492" s="9"/>
      <c r="H1492" s="9"/>
      <c r="I1492" s="9"/>
      <c r="J1492" s="9"/>
      <c r="K1492" s="9"/>
      <c r="L1492" s="7"/>
    </row>
    <row r="1493" spans="1:12" x14ac:dyDescent="0.2">
      <c r="A1493" s="10" t="s">
        <v>307</v>
      </c>
      <c r="L1493" s="12"/>
    </row>
    <row r="1494" spans="1:12" x14ac:dyDescent="0.2">
      <c r="A1494" s="53" t="s">
        <v>308</v>
      </c>
      <c r="L1494" s="12"/>
    </row>
    <row r="1495" spans="1:12" x14ac:dyDescent="0.2">
      <c r="A1495" s="53" t="s">
        <v>309</v>
      </c>
      <c r="L1495" s="12"/>
    </row>
    <row r="1496" spans="1:12" x14ac:dyDescent="0.2">
      <c r="A1496" s="10" t="s">
        <v>310</v>
      </c>
      <c r="L1496" s="12"/>
    </row>
    <row r="1497" spans="1:12" x14ac:dyDescent="0.2">
      <c r="A1497" s="10" t="s">
        <v>408</v>
      </c>
      <c r="L1497" s="12"/>
    </row>
    <row r="1498" spans="1:12" x14ac:dyDescent="0.2">
      <c r="A1498" s="1" t="s">
        <v>409</v>
      </c>
      <c r="B1498" s="13"/>
      <c r="C1498" s="13"/>
      <c r="D1498" s="13"/>
      <c r="E1498" s="13"/>
      <c r="F1498" s="13"/>
      <c r="G1498" s="13"/>
      <c r="H1498" s="13"/>
      <c r="I1498" s="13"/>
      <c r="J1498" s="13"/>
      <c r="K1498" s="13"/>
      <c r="L1498" s="14"/>
    </row>
    <row r="1501" spans="1:12" x14ac:dyDescent="0.2">
      <c r="A1501" s="164" t="s">
        <v>12</v>
      </c>
      <c r="B1501" s="284" t="s">
        <v>453</v>
      </c>
      <c r="C1501" s="35"/>
      <c r="D1501" s="35"/>
      <c r="E1501" s="35"/>
      <c r="F1501" s="35"/>
      <c r="G1501" s="35"/>
    </row>
    <row r="1502" spans="1:12" x14ac:dyDescent="0.2">
      <c r="A1502" s="32" t="s">
        <v>14</v>
      </c>
      <c r="B1502" s="33" t="s">
        <v>639</v>
      </c>
      <c r="C1502" s="33" t="s">
        <v>15</v>
      </c>
      <c r="D1502" s="35"/>
      <c r="E1502" s="35"/>
      <c r="F1502" s="35"/>
      <c r="G1502" s="35"/>
    </row>
    <row r="1503" spans="1:12" x14ac:dyDescent="0.2">
      <c r="A1503" s="98" t="s">
        <v>16</v>
      </c>
      <c r="B1503" s="99"/>
      <c r="C1503" s="113">
        <v>2016</v>
      </c>
      <c r="D1503" s="17">
        <v>2017</v>
      </c>
      <c r="E1503" s="17">
        <v>2018</v>
      </c>
      <c r="F1503" s="17">
        <v>2019</v>
      </c>
      <c r="G1503" s="17">
        <v>2020</v>
      </c>
      <c r="H1503" s="17">
        <v>2021</v>
      </c>
      <c r="I1503" s="17">
        <v>2022</v>
      </c>
      <c r="J1503" s="17" t="s">
        <v>847</v>
      </c>
      <c r="K1503" s="17" t="s">
        <v>848</v>
      </c>
      <c r="L1503" s="17" t="s">
        <v>849</v>
      </c>
    </row>
    <row r="1504" spans="1:12" x14ac:dyDescent="0.2">
      <c r="A1504" s="36" t="s">
        <v>17</v>
      </c>
      <c r="B1504" s="101"/>
      <c r="C1504" s="102">
        <v>3600</v>
      </c>
      <c r="D1504" s="192">
        <v>3600</v>
      </c>
      <c r="E1504" s="192">
        <v>3600</v>
      </c>
      <c r="F1504" s="192">
        <v>3600</v>
      </c>
      <c r="G1504" s="192">
        <v>3600</v>
      </c>
      <c r="H1504" s="192">
        <v>3600</v>
      </c>
      <c r="I1504" s="192">
        <v>3600</v>
      </c>
      <c r="J1504" s="192">
        <v>4320</v>
      </c>
      <c r="K1504" s="192">
        <v>4320</v>
      </c>
      <c r="L1504" s="192">
        <v>4320</v>
      </c>
    </row>
    <row r="1505" spans="1:12" x14ac:dyDescent="0.2">
      <c r="A1505" s="36" t="s">
        <v>18</v>
      </c>
      <c r="B1505" s="101"/>
      <c r="C1505" s="193">
        <f>C1504+0.25*C1504</f>
        <v>4500</v>
      </c>
      <c r="D1505" s="193">
        <v>4477</v>
      </c>
      <c r="E1505" s="193">
        <f>E1504+0.25*E1504</f>
        <v>4500</v>
      </c>
      <c r="F1505" s="193">
        <f>F1504+0.25*F1504</f>
        <v>4500</v>
      </c>
      <c r="G1505" s="193">
        <f>G1504+0.25*G1504</f>
        <v>4500</v>
      </c>
      <c r="H1505" s="193">
        <f>H1504+0.25*H1504</f>
        <v>4500</v>
      </c>
      <c r="I1505" s="193">
        <f>I1504+0.25*I1504</f>
        <v>4500</v>
      </c>
      <c r="J1505" s="193">
        <f>J1504+0.25*H1504</f>
        <v>5220</v>
      </c>
      <c r="K1505" s="193">
        <f>K1504+I1508</f>
        <v>2075</v>
      </c>
      <c r="L1505" s="193">
        <f>L1504</f>
        <v>4320</v>
      </c>
    </row>
    <row r="1506" spans="1:12" ht="38.25" x14ac:dyDescent="0.2">
      <c r="A1506" s="36" t="s">
        <v>19</v>
      </c>
      <c r="B1506" s="194"/>
      <c r="C1506" s="193" t="s">
        <v>845</v>
      </c>
      <c r="D1506" s="193" t="s">
        <v>845</v>
      </c>
      <c r="E1506" s="193" t="s">
        <v>845</v>
      </c>
      <c r="F1506" s="193" t="s">
        <v>845</v>
      </c>
      <c r="G1506" s="193" t="s">
        <v>845</v>
      </c>
      <c r="H1506" s="193" t="s">
        <v>845</v>
      </c>
      <c r="I1506" s="193" t="s">
        <v>845</v>
      </c>
      <c r="J1506" s="193" t="s">
        <v>846</v>
      </c>
      <c r="K1506" s="327" t="s">
        <v>851</v>
      </c>
      <c r="L1506" s="327" t="s">
        <v>852</v>
      </c>
    </row>
    <row r="1507" spans="1:12" x14ac:dyDescent="0.2">
      <c r="A1507" s="36" t="s">
        <v>20</v>
      </c>
      <c r="B1507" s="101"/>
      <c r="C1507" s="102">
        <v>994</v>
      </c>
      <c r="D1507" s="192">
        <v>365.62</v>
      </c>
      <c r="E1507" s="192">
        <v>888.8</v>
      </c>
      <c r="F1507" s="192">
        <v>966.50400000000002</v>
      </c>
      <c r="G1507" s="192">
        <v>2165.75</v>
      </c>
      <c r="H1507" s="192">
        <v>3412.63</v>
      </c>
      <c r="I1507" s="192">
        <v>6745</v>
      </c>
      <c r="J1507" s="192">
        <v>4856.4380000000001</v>
      </c>
      <c r="K1507" s="192"/>
      <c r="L1507" s="192"/>
    </row>
    <row r="1508" spans="1:12" x14ac:dyDescent="0.2">
      <c r="A1508" s="36" t="s">
        <v>21</v>
      </c>
      <c r="B1508" s="101"/>
      <c r="C1508" s="102">
        <f>C1505-C1507</f>
        <v>3506</v>
      </c>
      <c r="D1508" s="102">
        <f t="shared" ref="D1508:J1508" si="53">D1505-D1507</f>
        <v>4111.38</v>
      </c>
      <c r="E1508" s="102">
        <f t="shared" si="53"/>
        <v>3611.2</v>
      </c>
      <c r="F1508" s="102">
        <f t="shared" si="53"/>
        <v>3533.4960000000001</v>
      </c>
      <c r="G1508" s="102">
        <f t="shared" si="53"/>
        <v>2334.25</v>
      </c>
      <c r="H1508" s="102">
        <f t="shared" si="53"/>
        <v>1087.3699999999999</v>
      </c>
      <c r="I1508" s="102">
        <f t="shared" si="53"/>
        <v>-2245</v>
      </c>
      <c r="J1508" s="102">
        <f t="shared" si="53"/>
        <v>363.5619999999999</v>
      </c>
      <c r="K1508" s="102"/>
      <c r="L1508" s="102"/>
    </row>
    <row r="1509" spans="1:12" x14ac:dyDescent="0.2">
      <c r="A1509" s="36" t="s">
        <v>22</v>
      </c>
      <c r="B1509" s="101"/>
      <c r="C1509" s="100">
        <v>2018</v>
      </c>
      <c r="D1509" s="100">
        <v>2019</v>
      </c>
      <c r="E1509" s="100">
        <v>2020</v>
      </c>
      <c r="F1509" s="100">
        <v>2021</v>
      </c>
      <c r="G1509" s="100">
        <v>2022</v>
      </c>
      <c r="H1509" s="100">
        <v>2023</v>
      </c>
      <c r="I1509" s="100">
        <v>2024</v>
      </c>
      <c r="J1509" s="100">
        <v>2025</v>
      </c>
      <c r="K1509" s="100">
        <v>2026</v>
      </c>
      <c r="L1509" s="100">
        <v>2027</v>
      </c>
    </row>
    <row r="1510" spans="1:12" x14ac:dyDescent="0.2">
      <c r="A1510" s="693" t="s">
        <v>23</v>
      </c>
      <c r="B1510" s="694"/>
      <c r="C1510" s="694"/>
      <c r="D1510" s="694"/>
      <c r="E1510" s="694"/>
      <c r="F1510" s="41"/>
      <c r="G1510" s="42"/>
      <c r="H1510" s="42"/>
      <c r="I1510" s="42"/>
      <c r="J1510" s="42"/>
      <c r="K1510" s="42"/>
      <c r="L1510" s="42"/>
    </row>
    <row r="1511" spans="1:12" x14ac:dyDescent="0.2">
      <c r="A1511" s="259" t="s">
        <v>850</v>
      </c>
      <c r="B1511" s="260"/>
      <c r="C1511" s="260"/>
      <c r="D1511" s="260"/>
      <c r="E1511" s="260"/>
      <c r="F1511" s="303"/>
      <c r="G1511" s="303"/>
      <c r="H1511" s="254"/>
      <c r="I1511" s="254"/>
      <c r="J1511" s="254"/>
      <c r="K1511" s="254"/>
      <c r="L1511" s="20"/>
    </row>
    <row r="1513" spans="1:12" x14ac:dyDescent="0.2">
      <c r="A1513" s="32" t="s">
        <v>14</v>
      </c>
      <c r="B1513" s="33" t="s">
        <v>642</v>
      </c>
      <c r="C1513" s="33" t="s">
        <v>15</v>
      </c>
      <c r="D1513" s="35"/>
      <c r="E1513" s="35"/>
      <c r="F1513" s="35"/>
      <c r="G1513" s="35"/>
    </row>
    <row r="1514" spans="1:12" x14ac:dyDescent="0.2">
      <c r="A1514" s="98" t="s">
        <v>16</v>
      </c>
      <c r="B1514" s="99"/>
      <c r="C1514" s="113">
        <v>2016</v>
      </c>
      <c r="D1514" s="17">
        <v>2017</v>
      </c>
      <c r="E1514" s="17">
        <v>2018</v>
      </c>
      <c r="F1514" s="17">
        <v>2019</v>
      </c>
      <c r="G1514" s="17">
        <v>2020</v>
      </c>
      <c r="H1514" s="17">
        <v>2021</v>
      </c>
      <c r="I1514" s="17">
        <v>2022</v>
      </c>
      <c r="J1514" s="17">
        <v>2023</v>
      </c>
      <c r="K1514" s="505">
        <v>2024</v>
      </c>
    </row>
    <row r="1515" spans="1:12" x14ac:dyDescent="0.2">
      <c r="A1515" s="36" t="s">
        <v>17</v>
      </c>
      <c r="B1515" s="101"/>
      <c r="C1515" s="102">
        <v>1168</v>
      </c>
      <c r="D1515" s="192">
        <v>1168</v>
      </c>
      <c r="E1515" s="192">
        <v>1168</v>
      </c>
      <c r="F1515" s="192">
        <v>1168</v>
      </c>
      <c r="G1515" s="192">
        <v>1168</v>
      </c>
      <c r="H1515" s="192">
        <v>1168</v>
      </c>
      <c r="I1515" s="192">
        <v>1168</v>
      </c>
      <c r="J1515" s="192">
        <v>1168</v>
      </c>
      <c r="K1515" s="519">
        <v>1168</v>
      </c>
    </row>
    <row r="1516" spans="1:12" x14ac:dyDescent="0.2">
      <c r="A1516" s="36" t="s">
        <v>18</v>
      </c>
      <c r="B1516" s="101"/>
      <c r="C1516" s="193">
        <f>C1515+0.3*C1515+50+50+50</f>
        <v>1668.4</v>
      </c>
      <c r="D1516" s="193">
        <f>D1515+0.3*D1515+50+50+50</f>
        <v>1668.4</v>
      </c>
      <c r="E1516" s="193">
        <f>E1515+0.2*E1515+50+50+50</f>
        <v>1551.6</v>
      </c>
      <c r="F1516" s="193">
        <f>F1515+0.2*F1515+50+50+50</f>
        <v>1551.6</v>
      </c>
      <c r="G1516" s="193">
        <f>G1515+0.2*G1515+50+50+50</f>
        <v>1551.6</v>
      </c>
      <c r="H1516" s="193">
        <f>H1515+0.2*H1515+50+50</f>
        <v>1501.6</v>
      </c>
      <c r="I1516" s="193">
        <f>I1515+0.2*G1515+50</f>
        <v>1451.6</v>
      </c>
      <c r="J1516" s="193">
        <f>J1515+0.1*H1515+50</f>
        <v>1334.8</v>
      </c>
      <c r="K1516" s="626">
        <f>K1515+50+50</f>
        <v>1268</v>
      </c>
    </row>
    <row r="1517" spans="1:12" x14ac:dyDescent="0.2">
      <c r="A1517" s="36" t="s">
        <v>19</v>
      </c>
      <c r="B1517" s="194"/>
      <c r="C1517" s="193" t="s">
        <v>456</v>
      </c>
      <c r="D1517" s="193" t="s">
        <v>456</v>
      </c>
      <c r="E1517" s="193" t="s">
        <v>459</v>
      </c>
      <c r="F1517" s="193" t="s">
        <v>459</v>
      </c>
      <c r="G1517" s="193" t="s">
        <v>459</v>
      </c>
      <c r="H1517" s="193" t="s">
        <v>670</v>
      </c>
      <c r="I1517" s="193" t="s">
        <v>842</v>
      </c>
      <c r="J1517" s="193" t="s">
        <v>843</v>
      </c>
      <c r="K1517" s="626" t="s">
        <v>1073</v>
      </c>
    </row>
    <row r="1518" spans="1:12" x14ac:dyDescent="0.2">
      <c r="A1518" s="36" t="s">
        <v>20</v>
      </c>
      <c r="B1518" s="101"/>
      <c r="C1518" s="102">
        <v>466</v>
      </c>
      <c r="D1518" s="192">
        <v>717</v>
      </c>
      <c r="E1518" s="192">
        <v>881</v>
      </c>
      <c r="F1518" s="192">
        <v>811.28</v>
      </c>
      <c r="G1518" s="192">
        <v>789.23699999999997</v>
      </c>
      <c r="H1518" s="192">
        <v>252.99</v>
      </c>
      <c r="I1518" s="192">
        <v>1083</v>
      </c>
      <c r="J1518" s="192">
        <v>664.495</v>
      </c>
      <c r="K1518" s="519"/>
    </row>
    <row r="1519" spans="1:12" x14ac:dyDescent="0.2">
      <c r="A1519" s="36" t="s">
        <v>21</v>
      </c>
      <c r="B1519" s="101"/>
      <c r="C1519" s="102">
        <f>C1516-C1518</f>
        <v>1202.4000000000001</v>
      </c>
      <c r="D1519" s="102">
        <f t="shared" ref="D1519:J1519" si="54">D1516-D1518</f>
        <v>951.40000000000009</v>
      </c>
      <c r="E1519" s="102">
        <f t="shared" si="54"/>
        <v>670.59999999999991</v>
      </c>
      <c r="F1519" s="102">
        <f t="shared" si="54"/>
        <v>740.31999999999994</v>
      </c>
      <c r="G1519" s="102">
        <f t="shared" si="54"/>
        <v>762.36299999999994</v>
      </c>
      <c r="H1519" s="102">
        <f t="shared" si="54"/>
        <v>1248.6099999999999</v>
      </c>
      <c r="I1519" s="102">
        <f t="shared" si="54"/>
        <v>368.59999999999991</v>
      </c>
      <c r="J1519" s="102">
        <f t="shared" si="54"/>
        <v>670.30499999999995</v>
      </c>
      <c r="K1519" s="462"/>
    </row>
    <row r="1520" spans="1:12" x14ac:dyDescent="0.2">
      <c r="A1520" s="36" t="s">
        <v>22</v>
      </c>
      <c r="B1520" s="101"/>
      <c r="C1520" s="100">
        <v>2018</v>
      </c>
      <c r="D1520" s="100">
        <v>2019</v>
      </c>
      <c r="E1520" s="100">
        <v>2020</v>
      </c>
      <c r="F1520" s="100">
        <v>2021</v>
      </c>
      <c r="G1520" s="100">
        <v>2022</v>
      </c>
      <c r="H1520" s="100">
        <v>2023</v>
      </c>
      <c r="I1520" s="100">
        <v>2023</v>
      </c>
      <c r="J1520" s="100">
        <v>2025</v>
      </c>
      <c r="K1520" s="627">
        <v>2026</v>
      </c>
    </row>
    <row r="1521" spans="1:11" x14ac:dyDescent="0.2">
      <c r="A1521" s="693" t="s">
        <v>23</v>
      </c>
      <c r="B1521" s="694"/>
      <c r="C1521" s="694"/>
      <c r="D1521" s="694"/>
      <c r="E1521" s="694"/>
      <c r="F1521" s="41"/>
      <c r="G1521" s="42"/>
      <c r="H1521" s="42"/>
      <c r="I1521" s="42"/>
      <c r="J1521" s="42"/>
      <c r="K1521" s="591"/>
    </row>
    <row r="1522" spans="1:11" x14ac:dyDescent="0.2">
      <c r="A1522" s="195" t="s">
        <v>455</v>
      </c>
      <c r="B1522" s="196"/>
      <c r="C1522" s="196"/>
      <c r="D1522" s="196"/>
      <c r="E1522" s="196"/>
      <c r="F1522" s="41"/>
      <c r="G1522" s="41"/>
      <c r="H1522" s="9"/>
      <c r="I1522" s="9"/>
      <c r="J1522" s="9"/>
      <c r="K1522" s="412"/>
    </row>
    <row r="1523" spans="1:11" x14ac:dyDescent="0.2">
      <c r="A1523" s="10" t="s">
        <v>454</v>
      </c>
      <c r="K1523" s="413"/>
    </row>
    <row r="1524" spans="1:11" x14ac:dyDescent="0.2">
      <c r="A1524" s="10" t="s">
        <v>844</v>
      </c>
      <c r="K1524" s="413"/>
    </row>
    <row r="1525" spans="1:11" x14ac:dyDescent="0.2">
      <c r="A1525" s="10" t="s">
        <v>841</v>
      </c>
      <c r="K1525" s="413"/>
    </row>
    <row r="1526" spans="1:11" x14ac:dyDescent="0.2">
      <c r="A1526" s="10" t="s">
        <v>457</v>
      </c>
      <c r="K1526" s="413"/>
    </row>
    <row r="1527" spans="1:11" x14ac:dyDescent="0.2">
      <c r="A1527" s="10" t="s">
        <v>458</v>
      </c>
      <c r="K1527" s="413"/>
    </row>
    <row r="1528" spans="1:11" x14ac:dyDescent="0.2">
      <c r="A1528" s="415" t="s">
        <v>1074</v>
      </c>
      <c r="B1528" s="13"/>
      <c r="C1528" s="13"/>
      <c r="D1528" s="13"/>
      <c r="E1528" s="13"/>
      <c r="F1528" s="13"/>
      <c r="G1528" s="13"/>
      <c r="H1528" s="13"/>
      <c r="I1528" s="13"/>
      <c r="J1528" s="13"/>
      <c r="K1528" s="333"/>
    </row>
    <row r="1530" spans="1:11" x14ac:dyDescent="0.2">
      <c r="A1530" s="43" t="s">
        <v>14</v>
      </c>
      <c r="B1530" s="56" t="s">
        <v>74</v>
      </c>
      <c r="C1530" s="56" t="s">
        <v>152</v>
      </c>
    </row>
    <row r="1531" spans="1:11" x14ac:dyDescent="0.2">
      <c r="A1531" s="1" t="s">
        <v>16</v>
      </c>
      <c r="B1531" s="117">
        <v>2016</v>
      </c>
      <c r="C1531" s="2">
        <v>2017</v>
      </c>
      <c r="D1531" s="2">
        <v>2018</v>
      </c>
      <c r="E1531" s="2">
        <v>2019</v>
      </c>
      <c r="F1531" s="2">
        <v>2020</v>
      </c>
      <c r="G1531" s="2">
        <v>2021</v>
      </c>
      <c r="H1531" s="2">
        <v>2022</v>
      </c>
      <c r="I1531" s="2">
        <v>2023</v>
      </c>
      <c r="J1531" s="468">
        <v>2024</v>
      </c>
    </row>
    <row r="1532" spans="1:11" x14ac:dyDescent="0.2">
      <c r="A1532" s="46" t="s">
        <v>17</v>
      </c>
      <c r="B1532" s="5">
        <v>10</v>
      </c>
      <c r="C1532" s="5">
        <v>10</v>
      </c>
      <c r="D1532" s="5">
        <v>10</v>
      </c>
      <c r="E1532" s="5">
        <v>10</v>
      </c>
      <c r="F1532" s="5">
        <v>10</v>
      </c>
      <c r="G1532" s="5">
        <v>10</v>
      </c>
      <c r="H1532" s="5">
        <v>10</v>
      </c>
      <c r="I1532" s="5">
        <v>10</v>
      </c>
      <c r="J1532" s="409">
        <v>10</v>
      </c>
    </row>
    <row r="1533" spans="1:11" x14ac:dyDescent="0.2">
      <c r="A1533" s="46" t="s">
        <v>18</v>
      </c>
      <c r="B1533" s="5">
        <v>10</v>
      </c>
      <c r="C1533" s="5">
        <f>C1532+B1536</f>
        <v>-12</v>
      </c>
      <c r="D1533" s="5">
        <f>D1532+C1536</f>
        <v>-59</v>
      </c>
      <c r="E1533" s="5">
        <f>E1532+D1536</f>
        <v>-133</v>
      </c>
      <c r="F1533" s="5">
        <f>F1532+E1536</f>
        <v>-175.72</v>
      </c>
      <c r="G1533" s="5">
        <f>F1536+G1532</f>
        <v>-217.13</v>
      </c>
      <c r="H1533" s="5">
        <f xml:space="preserve"> 1.25*G1536+H1532</f>
        <v>-273.72499999999997</v>
      </c>
      <c r="I1533" s="5">
        <f xml:space="preserve"> 1.25*H1536+I1532</f>
        <v>-342.58124999999995</v>
      </c>
      <c r="J1533" s="409">
        <f xml:space="preserve"> 1.25*I1536+J1532</f>
        <v>-430.47656249999994</v>
      </c>
    </row>
    <row r="1534" spans="1:11" x14ac:dyDescent="0.2">
      <c r="A1534" s="46" t="s">
        <v>19</v>
      </c>
      <c r="B1534" s="19"/>
      <c r="C1534" s="19" t="s">
        <v>399</v>
      </c>
      <c r="D1534" s="19" t="s">
        <v>400</v>
      </c>
      <c r="E1534" s="19" t="s">
        <v>401</v>
      </c>
      <c r="F1534" s="19" t="s">
        <v>402</v>
      </c>
      <c r="G1534" s="19" t="s">
        <v>566</v>
      </c>
      <c r="H1534" s="19" t="s">
        <v>605</v>
      </c>
      <c r="I1534" s="19" t="s">
        <v>626</v>
      </c>
      <c r="J1534" s="485" t="s">
        <v>792</v>
      </c>
    </row>
    <row r="1535" spans="1:11" x14ac:dyDescent="0.2">
      <c r="A1535" s="46" t="s">
        <v>20</v>
      </c>
      <c r="B1535" s="19">
        <v>32</v>
      </c>
      <c r="C1535" s="19">
        <v>57</v>
      </c>
      <c r="D1535" s="19">
        <v>84</v>
      </c>
      <c r="E1535" s="19">
        <v>52.72</v>
      </c>
      <c r="F1535" s="19">
        <v>51.41</v>
      </c>
      <c r="G1535" s="19">
        <v>9.85</v>
      </c>
      <c r="H1535" s="19">
        <v>8.34</v>
      </c>
      <c r="I1535" s="19">
        <v>9.8000000000000007</v>
      </c>
      <c r="J1535" s="485"/>
    </row>
    <row r="1536" spans="1:11" x14ac:dyDescent="0.2">
      <c r="A1536" s="46" t="s">
        <v>21</v>
      </c>
      <c r="B1536" s="5">
        <f t="shared" ref="B1536:I1536" si="55">B1533-B1535</f>
        <v>-22</v>
      </c>
      <c r="C1536" s="5">
        <f t="shared" si="55"/>
        <v>-69</v>
      </c>
      <c r="D1536" s="5">
        <f t="shared" si="55"/>
        <v>-143</v>
      </c>
      <c r="E1536" s="5">
        <f t="shared" si="55"/>
        <v>-185.72</v>
      </c>
      <c r="F1536" s="5">
        <f t="shared" si="55"/>
        <v>-227.13</v>
      </c>
      <c r="G1536" s="5">
        <f t="shared" si="55"/>
        <v>-226.98</v>
      </c>
      <c r="H1536" s="5">
        <f t="shared" si="55"/>
        <v>-282.06499999999994</v>
      </c>
      <c r="I1536" s="5">
        <f t="shared" si="55"/>
        <v>-352.38124999999997</v>
      </c>
      <c r="J1536" s="409"/>
    </row>
    <row r="1537" spans="1:10" x14ac:dyDescent="0.2">
      <c r="A1537" s="8" t="s">
        <v>22</v>
      </c>
      <c r="B1537" s="185">
        <v>2017</v>
      </c>
      <c r="C1537" s="185">
        <v>2018</v>
      </c>
      <c r="D1537" s="185">
        <v>2019</v>
      </c>
      <c r="E1537" s="185">
        <v>2020</v>
      </c>
      <c r="F1537" s="185">
        <v>2021</v>
      </c>
      <c r="G1537" s="185">
        <v>2022</v>
      </c>
      <c r="H1537" s="185">
        <v>2023</v>
      </c>
      <c r="I1537" s="185">
        <v>2023</v>
      </c>
      <c r="J1537" s="569">
        <v>2025</v>
      </c>
    </row>
    <row r="1538" spans="1:10" x14ac:dyDescent="0.2">
      <c r="A1538" s="8" t="s">
        <v>179</v>
      </c>
      <c r="B1538" s="9"/>
      <c r="C1538" s="9"/>
      <c r="D1538" s="9"/>
      <c r="E1538" s="9"/>
      <c r="F1538" s="9"/>
      <c r="G1538" s="9"/>
      <c r="H1538" s="9"/>
      <c r="I1538" s="9"/>
      <c r="J1538" s="412"/>
    </row>
    <row r="1539" spans="1:10" x14ac:dyDescent="0.2">
      <c r="A1539" s="53" t="s">
        <v>403</v>
      </c>
      <c r="J1539" s="413"/>
    </row>
    <row r="1540" spans="1:10" x14ac:dyDescent="0.2">
      <c r="A1540" s="53" t="s">
        <v>404</v>
      </c>
      <c r="J1540" s="413"/>
    </row>
    <row r="1541" spans="1:10" x14ac:dyDescent="0.2">
      <c r="A1541" s="53" t="s">
        <v>405</v>
      </c>
      <c r="J1541" s="413"/>
    </row>
    <row r="1542" spans="1:10" x14ac:dyDescent="0.2">
      <c r="A1542" s="53" t="s">
        <v>565</v>
      </c>
      <c r="C1542" s="441"/>
      <c r="J1542" s="413"/>
    </row>
    <row r="1543" spans="1:10" x14ac:dyDescent="0.2">
      <c r="A1543" s="53" t="s">
        <v>567</v>
      </c>
      <c r="C1543" s="441"/>
      <c r="J1543" s="413"/>
    </row>
    <row r="1544" spans="1:10" x14ac:dyDescent="0.2">
      <c r="A1544" s="53" t="s">
        <v>905</v>
      </c>
      <c r="C1544" s="441"/>
      <c r="J1544" s="413"/>
    </row>
    <row r="1545" spans="1:10" x14ac:dyDescent="0.2">
      <c r="A1545" s="53" t="s">
        <v>906</v>
      </c>
      <c r="C1545" s="441"/>
      <c r="J1545" s="413"/>
    </row>
    <row r="1546" spans="1:10" x14ac:dyDescent="0.2">
      <c r="A1546" s="502" t="s">
        <v>1042</v>
      </c>
      <c r="B1546" s="13"/>
      <c r="C1546" s="131"/>
      <c r="D1546" s="13"/>
      <c r="E1546" s="13"/>
      <c r="F1546" s="13"/>
      <c r="G1546" s="13"/>
      <c r="H1546" s="13"/>
      <c r="I1546" s="13"/>
      <c r="J1546" s="333"/>
    </row>
    <row r="1548" spans="1:10" x14ac:dyDescent="0.2">
      <c r="A1548" s="507" t="s">
        <v>14</v>
      </c>
      <c r="B1548" s="508" t="s">
        <v>1075</v>
      </c>
      <c r="C1548" s="508" t="s">
        <v>152</v>
      </c>
    </row>
    <row r="1549" spans="1:10" x14ac:dyDescent="0.2">
      <c r="A1549" s="415" t="s">
        <v>16</v>
      </c>
      <c r="B1549" s="568">
        <v>2023</v>
      </c>
      <c r="C1549" s="468">
        <v>2024</v>
      </c>
    </row>
    <row r="1550" spans="1:10" x14ac:dyDescent="0.2">
      <c r="A1550" s="509" t="s">
        <v>1076</v>
      </c>
      <c r="B1550" s="409">
        <v>256</v>
      </c>
      <c r="C1550" s="409">
        <v>256</v>
      </c>
    </row>
    <row r="1551" spans="1:10" x14ac:dyDescent="0.2">
      <c r="A1551" s="509" t="s">
        <v>1077</v>
      </c>
      <c r="B1551" s="409"/>
      <c r="C1551" s="409">
        <f>C1550+B1554</f>
        <v>-10</v>
      </c>
    </row>
    <row r="1552" spans="1:10" x14ac:dyDescent="0.2">
      <c r="A1552" s="509" t="s">
        <v>19</v>
      </c>
      <c r="B1552" s="485"/>
      <c r="C1552" s="485" t="s">
        <v>399</v>
      </c>
    </row>
    <row r="1553" spans="1:8" x14ac:dyDescent="0.2">
      <c r="A1553" s="509" t="s">
        <v>20</v>
      </c>
      <c r="B1553" s="485">
        <v>522</v>
      </c>
      <c r="C1553" s="485"/>
    </row>
    <row r="1554" spans="1:8" x14ac:dyDescent="0.2">
      <c r="A1554" s="509" t="s">
        <v>21</v>
      </c>
      <c r="B1554" s="409">
        <f>B1550-B1553</f>
        <v>-266</v>
      </c>
      <c r="C1554" s="409"/>
    </row>
    <row r="1555" spans="1:8" x14ac:dyDescent="0.2">
      <c r="A1555" s="410" t="s">
        <v>22</v>
      </c>
      <c r="B1555" s="569">
        <v>2024</v>
      </c>
      <c r="C1555" s="569"/>
    </row>
    <row r="1556" spans="1:8" x14ac:dyDescent="0.2">
      <c r="A1556" s="410" t="s">
        <v>1079</v>
      </c>
      <c r="B1556" s="411"/>
      <c r="C1556" s="412"/>
    </row>
    <row r="1557" spans="1:8" x14ac:dyDescent="0.2">
      <c r="A1557" s="502" t="s">
        <v>1078</v>
      </c>
      <c r="B1557" s="331"/>
      <c r="C1557" s="333"/>
    </row>
    <row r="1558" spans="1:8" x14ac:dyDescent="0.2">
      <c r="A1558" s="54"/>
      <c r="C1558" s="441"/>
    </row>
    <row r="1560" spans="1:8" x14ac:dyDescent="0.2">
      <c r="A1560" s="164" t="s">
        <v>12</v>
      </c>
      <c r="B1560" s="284" t="s">
        <v>261</v>
      </c>
      <c r="C1560" s="35"/>
      <c r="D1560" s="35"/>
      <c r="E1560" s="35"/>
      <c r="F1560" s="35"/>
      <c r="G1560" s="35"/>
    </row>
    <row r="1561" spans="1:8" ht="15" x14ac:dyDescent="0.2">
      <c r="A1561" s="286" t="s">
        <v>14</v>
      </c>
      <c r="B1561" s="287" t="s">
        <v>643</v>
      </c>
      <c r="C1561" s="33" t="s">
        <v>15</v>
      </c>
      <c r="D1561" s="35"/>
      <c r="E1561" s="461" t="s">
        <v>1067</v>
      </c>
      <c r="F1561" s="625" t="s">
        <v>1068</v>
      </c>
      <c r="G1561" s="461" t="s">
        <v>1069</v>
      </c>
      <c r="H1561" s="461" t="s">
        <v>1070</v>
      </c>
    </row>
    <row r="1562" spans="1:8" x14ac:dyDescent="0.2">
      <c r="A1562" s="98" t="s">
        <v>16</v>
      </c>
      <c r="B1562" s="99"/>
      <c r="C1562" s="101"/>
      <c r="D1562" s="166">
        <v>2019</v>
      </c>
      <c r="E1562" s="624"/>
      <c r="G1562" s="624"/>
      <c r="H1562" s="624"/>
    </row>
    <row r="1563" spans="1:8" x14ac:dyDescent="0.2">
      <c r="A1563" s="36" t="s">
        <v>17</v>
      </c>
      <c r="B1563" s="101"/>
      <c r="C1563" s="101"/>
      <c r="D1563" s="435">
        <v>239</v>
      </c>
      <c r="E1563" s="102">
        <v>300</v>
      </c>
      <c r="F1563" s="435">
        <v>300</v>
      </c>
      <c r="G1563" s="102">
        <v>300</v>
      </c>
      <c r="H1563" s="102">
        <v>368</v>
      </c>
    </row>
    <row r="1564" spans="1:8" x14ac:dyDescent="0.2">
      <c r="A1564" s="36" t="s">
        <v>18</v>
      </c>
      <c r="B1564" s="101"/>
      <c r="C1564" s="101"/>
      <c r="D1564" s="435">
        <v>239</v>
      </c>
      <c r="E1564" s="102">
        <f>E1563+0.05*D1563</f>
        <v>311.95</v>
      </c>
      <c r="F1564" s="435">
        <f>F1563+0.05*E1563</f>
        <v>315</v>
      </c>
      <c r="G1564" s="102">
        <f>G1563+0.05*F1563</f>
        <v>315</v>
      </c>
      <c r="H1564" s="102">
        <f>H1563+0.05*G1563</f>
        <v>383</v>
      </c>
    </row>
    <row r="1565" spans="1:8" x14ac:dyDescent="0.2">
      <c r="A1565" s="36" t="s">
        <v>19</v>
      </c>
      <c r="B1565" s="194"/>
      <c r="C1565" s="106"/>
      <c r="D1565" s="36" t="s">
        <v>262</v>
      </c>
      <c r="E1565" s="101"/>
      <c r="F1565" s="303"/>
      <c r="G1565" s="101"/>
      <c r="H1565" s="101"/>
    </row>
    <row r="1566" spans="1:8" x14ac:dyDescent="0.2">
      <c r="A1566" s="36" t="s">
        <v>20</v>
      </c>
      <c r="B1566" s="101"/>
      <c r="C1566" s="101"/>
      <c r="D1566" s="303">
        <v>49.3</v>
      </c>
      <c r="E1566" s="101">
        <v>194.39</v>
      </c>
      <c r="F1566" s="303">
        <v>157.68</v>
      </c>
      <c r="G1566" s="101">
        <v>123.17</v>
      </c>
      <c r="H1566" s="101">
        <v>117.44</v>
      </c>
    </row>
    <row r="1567" spans="1:8" x14ac:dyDescent="0.2">
      <c r="A1567" s="36" t="s">
        <v>21</v>
      </c>
      <c r="B1567" s="101"/>
      <c r="C1567" s="101"/>
      <c r="D1567" s="303">
        <f>D1564-D1566</f>
        <v>189.7</v>
      </c>
      <c r="E1567" s="101">
        <f>E1564-E1566</f>
        <v>117.56</v>
      </c>
      <c r="F1567" s="303">
        <f>F1564-F1566</f>
        <v>157.32</v>
      </c>
      <c r="G1567" s="101">
        <f>G1564-G1566</f>
        <v>191.82999999999998</v>
      </c>
      <c r="H1567" s="101">
        <f>H1564-H1566</f>
        <v>265.56</v>
      </c>
    </row>
    <row r="1568" spans="1:8" x14ac:dyDescent="0.2">
      <c r="A1568" s="39" t="s">
        <v>22</v>
      </c>
      <c r="B1568" s="40"/>
      <c r="C1568" s="40"/>
      <c r="D1568" s="41">
        <v>2020</v>
      </c>
      <c r="E1568" s="101">
        <v>2021</v>
      </c>
      <c r="F1568" s="41">
        <v>2022</v>
      </c>
      <c r="G1568" s="101">
        <v>2023</v>
      </c>
      <c r="H1568" s="42">
        <v>2024</v>
      </c>
    </row>
    <row r="1569" spans="1:8" x14ac:dyDescent="0.2">
      <c r="A1569" s="195" t="s">
        <v>23</v>
      </c>
      <c r="B1569" s="195"/>
      <c r="C1569" s="196"/>
      <c r="D1569" s="196"/>
      <c r="E1569" s="196"/>
      <c r="F1569" s="196"/>
      <c r="G1569" s="196"/>
      <c r="H1569" s="690"/>
    </row>
    <row r="1570" spans="1:8" ht="39.6" customHeight="1" x14ac:dyDescent="0.2">
      <c r="A1570" s="728" t="s">
        <v>1063</v>
      </c>
      <c r="B1570" s="729"/>
      <c r="C1570" s="729"/>
      <c r="D1570" s="729"/>
      <c r="E1570" s="729"/>
      <c r="F1570" s="729"/>
      <c r="G1570" s="729"/>
      <c r="H1570" s="730"/>
    </row>
    <row r="1571" spans="1:8" ht="49.15" customHeight="1" x14ac:dyDescent="0.2">
      <c r="A1571" s="725" t="s">
        <v>1064</v>
      </c>
      <c r="B1571" s="726"/>
      <c r="C1571" s="726"/>
      <c r="D1571" s="726"/>
      <c r="E1571" s="726"/>
      <c r="F1571" s="726"/>
      <c r="G1571" s="726"/>
      <c r="H1571" s="727"/>
    </row>
    <row r="1572" spans="1:8" ht="49.15" customHeight="1" x14ac:dyDescent="0.2">
      <c r="A1572" s="725" t="s">
        <v>1065</v>
      </c>
      <c r="B1572" s="726"/>
      <c r="C1572" s="726"/>
      <c r="D1572" s="726"/>
      <c r="E1572" s="726"/>
      <c r="F1572" s="726"/>
      <c r="G1572" s="726"/>
      <c r="H1572" s="727"/>
    </row>
    <row r="1573" spans="1:8" ht="49.15" customHeight="1" x14ac:dyDescent="0.2">
      <c r="A1573" s="708" t="s">
        <v>1066</v>
      </c>
      <c r="B1573" s="709"/>
      <c r="C1573" s="709"/>
      <c r="D1573" s="709"/>
      <c r="E1573" s="709"/>
      <c r="F1573" s="709"/>
      <c r="G1573" s="709"/>
      <c r="H1573" s="721"/>
    </row>
    <row r="1575" spans="1:8" x14ac:dyDescent="0.2">
      <c r="A1575" s="288" t="s">
        <v>24</v>
      </c>
      <c r="B1575" s="283" t="s">
        <v>593</v>
      </c>
    </row>
    <row r="1576" spans="1:8" x14ac:dyDescent="0.2">
      <c r="A1576" s="136" t="s">
        <v>14</v>
      </c>
      <c r="B1576" s="137" t="s">
        <v>639</v>
      </c>
      <c r="C1576" s="197" t="s">
        <v>26</v>
      </c>
    </row>
    <row r="1577" spans="1:8" x14ac:dyDescent="0.2">
      <c r="A1577" s="198" t="s">
        <v>27</v>
      </c>
      <c r="B1577" s="2">
        <v>2020</v>
      </c>
      <c r="C1577" s="2">
        <v>2021</v>
      </c>
      <c r="D1577" s="2">
        <v>2022</v>
      </c>
    </row>
    <row r="1578" spans="1:8" x14ac:dyDescent="0.2">
      <c r="A1578" s="15" t="s">
        <v>28</v>
      </c>
      <c r="B1578" s="102">
        <v>25</v>
      </c>
      <c r="C1578" s="5">
        <v>25</v>
      </c>
      <c r="D1578" s="5">
        <v>25</v>
      </c>
    </row>
    <row r="1579" spans="1:8" x14ac:dyDescent="0.2">
      <c r="A1579" s="15" t="s">
        <v>29</v>
      </c>
      <c r="B1579" s="102"/>
      <c r="C1579" s="102">
        <v>18.66</v>
      </c>
      <c r="D1579" s="102"/>
    </row>
    <row r="1580" spans="1:8" x14ac:dyDescent="0.2">
      <c r="A1580" s="15" t="s">
        <v>30</v>
      </c>
      <c r="B1580" s="199"/>
      <c r="C1580" s="199" t="s">
        <v>543</v>
      </c>
      <c r="D1580" s="199"/>
    </row>
    <row r="1581" spans="1:8" x14ac:dyDescent="0.2">
      <c r="A1581" s="15" t="s">
        <v>31</v>
      </c>
      <c r="B1581" s="102">
        <v>31.341000000000001</v>
      </c>
      <c r="C1581" s="5">
        <v>17.22</v>
      </c>
      <c r="D1581" s="5">
        <v>12.476000000000001</v>
      </c>
    </row>
    <row r="1582" spans="1:8" x14ac:dyDescent="0.2">
      <c r="A1582" s="15" t="s">
        <v>32</v>
      </c>
      <c r="B1582" s="102">
        <v>-6.3410000000000011</v>
      </c>
      <c r="C1582" s="102">
        <f>C1579-C1581</f>
        <v>1.4400000000000013</v>
      </c>
      <c r="D1582" s="102">
        <f>D1578-D1581</f>
        <v>12.523999999999999</v>
      </c>
    </row>
    <row r="1583" spans="1:8" x14ac:dyDescent="0.2">
      <c r="A1583" s="8" t="s">
        <v>33</v>
      </c>
      <c r="B1583" s="28">
        <v>2021</v>
      </c>
      <c r="C1583" s="28"/>
      <c r="D1583" s="28"/>
    </row>
    <row r="1584" spans="1:8" x14ac:dyDescent="0.2">
      <c r="A1584" s="8" t="s">
        <v>594</v>
      </c>
      <c r="B1584" s="62"/>
      <c r="C1584" s="62"/>
      <c r="D1584" s="29"/>
      <c r="E1584" s="200"/>
      <c r="F1584" s="200"/>
    </row>
    <row r="1585" spans="1:8" x14ac:dyDescent="0.2">
      <c r="A1585" s="10"/>
      <c r="B1585" s="200"/>
      <c r="C1585" s="200"/>
      <c r="D1585" s="201"/>
      <c r="E1585" s="200"/>
      <c r="F1585" s="200"/>
    </row>
    <row r="1586" spans="1:8" ht="63" customHeight="1" x14ac:dyDescent="0.2">
      <c r="A1586" s="701" t="s">
        <v>720</v>
      </c>
      <c r="B1586" s="702"/>
      <c r="C1586" s="702"/>
      <c r="D1586" s="707"/>
      <c r="E1586" s="200"/>
      <c r="F1586" s="200"/>
    </row>
    <row r="1587" spans="1:8" x14ac:dyDescent="0.2">
      <c r="A1587" s="10"/>
      <c r="B1587" s="200"/>
      <c r="C1587" s="200"/>
      <c r="D1587" s="201"/>
      <c r="E1587" s="200"/>
      <c r="F1587" s="200"/>
    </row>
    <row r="1588" spans="1:8" x14ac:dyDescent="0.2">
      <c r="A1588" s="10"/>
      <c r="B1588" s="200"/>
      <c r="C1588" s="200"/>
      <c r="D1588" s="201"/>
      <c r="E1588" s="200"/>
      <c r="F1588" s="200"/>
    </row>
    <row r="1589" spans="1:8" x14ac:dyDescent="0.2">
      <c r="A1589" s="1"/>
      <c r="B1589" s="253"/>
      <c r="C1589" s="253"/>
      <c r="D1589" s="393"/>
      <c r="E1589" s="200"/>
      <c r="F1589" s="200"/>
    </row>
    <row r="1592" spans="1:8" x14ac:dyDescent="0.2">
      <c r="A1592" s="288" t="s">
        <v>12</v>
      </c>
      <c r="B1592" s="283" t="s">
        <v>374</v>
      </c>
    </row>
    <row r="1593" spans="1:8" x14ac:dyDescent="0.2">
      <c r="A1593" s="43" t="s">
        <v>14</v>
      </c>
      <c r="B1593" s="56" t="s">
        <v>66</v>
      </c>
      <c r="C1593" s="213" t="s">
        <v>15</v>
      </c>
    </row>
    <row r="1594" spans="1:8" x14ac:dyDescent="0.2">
      <c r="A1594" s="46" t="s">
        <v>16</v>
      </c>
      <c r="B1594" s="15"/>
      <c r="C1594" s="277">
        <v>2015</v>
      </c>
      <c r="D1594" s="2">
        <v>2016</v>
      </c>
      <c r="E1594" s="58">
        <v>2017</v>
      </c>
      <c r="F1594" s="58">
        <v>2018</v>
      </c>
      <c r="G1594" s="58">
        <v>2019</v>
      </c>
      <c r="H1594" s="58">
        <v>2020</v>
      </c>
    </row>
    <row r="1595" spans="1:8" x14ac:dyDescent="0.2">
      <c r="A1595" s="46" t="s">
        <v>17</v>
      </c>
      <c r="B1595" s="15"/>
      <c r="C1595" s="5">
        <v>2100</v>
      </c>
      <c r="D1595" s="394">
        <v>1575</v>
      </c>
      <c r="E1595" s="394">
        <v>1575</v>
      </c>
      <c r="F1595" s="394">
        <v>1575</v>
      </c>
      <c r="G1595" s="394">
        <v>1575</v>
      </c>
      <c r="H1595" s="394">
        <v>0</v>
      </c>
    </row>
    <row r="1596" spans="1:8" x14ac:dyDescent="0.2">
      <c r="A1596" s="46" t="s">
        <v>18</v>
      </c>
      <c r="B1596" s="15"/>
      <c r="C1596" s="59">
        <v>2100</v>
      </c>
      <c r="D1596" s="394">
        <v>1575</v>
      </c>
      <c r="E1596" s="394">
        <v>1575</v>
      </c>
      <c r="F1596" s="394">
        <v>1575</v>
      </c>
      <c r="G1596" s="394">
        <v>1575</v>
      </c>
      <c r="H1596" s="394"/>
    </row>
    <row r="1597" spans="1:8" x14ac:dyDescent="0.2">
      <c r="A1597" s="46" t="s">
        <v>19</v>
      </c>
      <c r="B1597" s="15"/>
      <c r="C1597" s="65"/>
      <c r="D1597" s="5"/>
      <c r="E1597" s="66"/>
      <c r="F1597" s="66"/>
      <c r="G1597" s="66"/>
      <c r="H1597" s="66"/>
    </row>
    <row r="1598" spans="1:8" x14ac:dyDescent="0.2">
      <c r="A1598" s="46" t="s">
        <v>20</v>
      </c>
      <c r="B1598" s="15"/>
      <c r="C1598" s="394">
        <v>0</v>
      </c>
      <c r="D1598" s="394">
        <v>0</v>
      </c>
      <c r="E1598" s="394">
        <v>0</v>
      </c>
      <c r="F1598" s="394">
        <v>0</v>
      </c>
      <c r="G1598" s="394">
        <v>0</v>
      </c>
      <c r="H1598" s="394">
        <v>0</v>
      </c>
    </row>
    <row r="1599" spans="1:8" ht="27.75" customHeight="1" x14ac:dyDescent="0.2">
      <c r="A1599" s="46" t="s">
        <v>21</v>
      </c>
      <c r="B1599" s="15"/>
      <c r="C1599" s="59">
        <v>2100</v>
      </c>
      <c r="D1599" s="394">
        <v>1575</v>
      </c>
      <c r="E1599" s="394">
        <v>1575</v>
      </c>
      <c r="F1599" s="394">
        <v>1575</v>
      </c>
      <c r="G1599" s="394">
        <v>1575</v>
      </c>
      <c r="H1599" s="394">
        <v>1575</v>
      </c>
    </row>
    <row r="1600" spans="1:8" x14ac:dyDescent="0.2">
      <c r="A1600" s="8" t="s">
        <v>22</v>
      </c>
      <c r="B1600" s="16"/>
      <c r="C1600" s="28">
        <v>2016</v>
      </c>
      <c r="D1600" s="28">
        <v>2017</v>
      </c>
      <c r="E1600" s="29">
        <v>2018</v>
      </c>
      <c r="F1600" s="29">
        <v>2019</v>
      </c>
      <c r="G1600" s="29">
        <v>2020</v>
      </c>
      <c r="H1600" s="29">
        <v>2021</v>
      </c>
    </row>
    <row r="1601" spans="1:12" x14ac:dyDescent="0.2">
      <c r="A1601" s="46" t="s">
        <v>23</v>
      </c>
      <c r="B1601" s="254"/>
      <c r="C1601" s="254"/>
      <c r="D1601" s="254"/>
      <c r="E1601" s="254"/>
      <c r="F1601" s="254"/>
      <c r="G1601" s="254"/>
      <c r="H1601" s="20"/>
    </row>
    <row r="1604" spans="1:12" ht="25.5" x14ac:dyDescent="0.2">
      <c r="A1604" s="288" t="s">
        <v>12</v>
      </c>
      <c r="B1604" s="648" t="s">
        <v>379</v>
      </c>
    </row>
    <row r="1605" spans="1:12" x14ac:dyDescent="0.2">
      <c r="A1605" s="43" t="s">
        <v>14</v>
      </c>
      <c r="B1605" s="56" t="s">
        <v>625</v>
      </c>
      <c r="C1605" s="45" t="s">
        <v>15</v>
      </c>
    </row>
    <row r="1606" spans="1:12" x14ac:dyDescent="0.2">
      <c r="A1606" s="46" t="s">
        <v>16</v>
      </c>
      <c r="B1606" s="2">
        <v>2015</v>
      </c>
      <c r="C1606" s="57">
        <v>2016</v>
      </c>
      <c r="D1606" s="2">
        <v>2017</v>
      </c>
      <c r="E1606" s="58">
        <v>2018</v>
      </c>
      <c r="F1606" s="58">
        <v>2019</v>
      </c>
      <c r="G1606" s="2">
        <v>2020</v>
      </c>
      <c r="H1606" s="2">
        <v>2021</v>
      </c>
      <c r="I1606" s="2">
        <v>2022</v>
      </c>
      <c r="J1606" s="2">
        <v>2023</v>
      </c>
      <c r="K1606" s="468">
        <v>2024</v>
      </c>
    </row>
    <row r="1607" spans="1:12" x14ac:dyDescent="0.2">
      <c r="A1607" s="46" t="s">
        <v>17</v>
      </c>
      <c r="B1607" s="19">
        <v>200</v>
      </c>
      <c r="C1607" s="59">
        <v>200</v>
      </c>
      <c r="D1607" s="19">
        <v>200</v>
      </c>
      <c r="E1607" s="3">
        <v>200</v>
      </c>
      <c r="F1607" s="3">
        <v>215</v>
      </c>
      <c r="G1607" s="19">
        <v>215</v>
      </c>
      <c r="H1607" s="5">
        <v>242</v>
      </c>
      <c r="I1607" s="5">
        <v>242</v>
      </c>
      <c r="J1607" s="5">
        <v>242</v>
      </c>
      <c r="K1607" s="409">
        <v>302</v>
      </c>
    </row>
    <row r="1608" spans="1:12" x14ac:dyDescent="0.2">
      <c r="A1608" s="46" t="s">
        <v>18</v>
      </c>
      <c r="B1608" s="19">
        <v>303.49</v>
      </c>
      <c r="C1608" s="59">
        <f>C1607+B1611+100</f>
        <v>298.49</v>
      </c>
      <c r="D1608" s="19">
        <f>D1607+100</f>
        <v>300</v>
      </c>
      <c r="E1608" s="3">
        <f>E1607+C1611+100</f>
        <v>306.89</v>
      </c>
      <c r="F1608" s="3">
        <v>218.8</v>
      </c>
      <c r="G1608" s="3">
        <v>265</v>
      </c>
      <c r="H1608" s="5">
        <f>H1607+F1611</f>
        <v>280.35000000000002</v>
      </c>
      <c r="I1608" s="5">
        <f>I1607+G1611</f>
        <v>255.27</v>
      </c>
      <c r="J1608" s="5">
        <f>J1607+0.25*H1607</f>
        <v>302.5</v>
      </c>
      <c r="K1608" s="409">
        <f>K1607+0.25*I1607</f>
        <v>362.5</v>
      </c>
      <c r="L1608" s="11">
        <f>0.25*I1607</f>
        <v>60.5</v>
      </c>
    </row>
    <row r="1609" spans="1:12" ht="25.5" x14ac:dyDescent="0.2">
      <c r="A1609" s="46" t="s">
        <v>19</v>
      </c>
      <c r="B1609" s="60"/>
      <c r="C1609" s="60" t="s">
        <v>380</v>
      </c>
      <c r="D1609" s="60" t="s">
        <v>381</v>
      </c>
      <c r="E1609" s="60" t="s">
        <v>382</v>
      </c>
      <c r="F1609" s="60" t="s">
        <v>395</v>
      </c>
      <c r="G1609" s="60" t="s">
        <v>396</v>
      </c>
      <c r="H1609" s="395" t="s">
        <v>700</v>
      </c>
      <c r="I1609" s="395" t="s">
        <v>699</v>
      </c>
      <c r="J1609" s="395" t="s">
        <v>798</v>
      </c>
      <c r="K1609" s="488" t="s">
        <v>1088</v>
      </c>
    </row>
    <row r="1610" spans="1:12" x14ac:dyDescent="0.2">
      <c r="A1610" s="46" t="s">
        <v>20</v>
      </c>
      <c r="B1610" s="19">
        <v>305</v>
      </c>
      <c r="C1610" s="59">
        <v>291.60000000000002</v>
      </c>
      <c r="D1610" s="19">
        <v>296.2</v>
      </c>
      <c r="E1610" s="19">
        <v>173.26</v>
      </c>
      <c r="F1610" s="3">
        <v>180.45</v>
      </c>
      <c r="G1610" s="19">
        <v>251.73</v>
      </c>
      <c r="H1610" s="5">
        <v>0</v>
      </c>
      <c r="I1610" s="5">
        <v>0.97</v>
      </c>
      <c r="J1610" s="5">
        <v>0.28000000000000003</v>
      </c>
      <c r="K1610" s="409"/>
    </row>
    <row r="1611" spans="1:12" x14ac:dyDescent="0.2">
      <c r="A1611" s="46" t="s">
        <v>21</v>
      </c>
      <c r="B1611" s="19">
        <v>-1.5099999999999909</v>
      </c>
      <c r="C1611" s="19">
        <f>C1608-C1610</f>
        <v>6.8899999999999864</v>
      </c>
      <c r="D1611" s="19">
        <f>D1608-D1610</f>
        <v>3.8000000000000114</v>
      </c>
      <c r="E1611" s="19">
        <f>E1608-E1610</f>
        <v>133.63</v>
      </c>
      <c r="F1611" s="19">
        <v>38.350000000000023</v>
      </c>
      <c r="G1611" s="19">
        <f>G1608-G1610</f>
        <v>13.27000000000001</v>
      </c>
      <c r="H1611" s="5">
        <f>H1608-H1610</f>
        <v>280.35000000000002</v>
      </c>
      <c r="I1611" s="5">
        <f>I1608-I1610</f>
        <v>254.3</v>
      </c>
      <c r="J1611" s="5">
        <f>J1608-J1610</f>
        <v>302.22000000000003</v>
      </c>
      <c r="K1611" s="409"/>
    </row>
    <row r="1612" spans="1:12" x14ac:dyDescent="0.2">
      <c r="A1612" s="8" t="s">
        <v>22</v>
      </c>
      <c r="B1612" s="28">
        <v>2016</v>
      </c>
      <c r="C1612" s="62">
        <v>2018</v>
      </c>
      <c r="D1612" s="28">
        <v>2019</v>
      </c>
      <c r="E1612" s="29">
        <v>2020</v>
      </c>
      <c r="F1612" s="29">
        <v>2021</v>
      </c>
      <c r="G1612" s="28">
        <v>2022</v>
      </c>
      <c r="H1612" s="28">
        <v>2023</v>
      </c>
      <c r="I1612" s="28">
        <v>2024</v>
      </c>
      <c r="J1612" s="28">
        <v>2025</v>
      </c>
      <c r="K1612" s="467">
        <v>2026</v>
      </c>
    </row>
    <row r="1613" spans="1:12" x14ac:dyDescent="0.2">
      <c r="A1613" s="8" t="s">
        <v>23</v>
      </c>
      <c r="B1613" s="9"/>
      <c r="C1613" s="9"/>
      <c r="D1613" s="9"/>
      <c r="E1613" s="9"/>
      <c r="F1613" s="9"/>
      <c r="G1613" s="9"/>
      <c r="H1613" s="7"/>
      <c r="I1613" s="7"/>
      <c r="J1613" s="7"/>
      <c r="K1613" s="412"/>
    </row>
    <row r="1614" spans="1:12" x14ac:dyDescent="0.2">
      <c r="A1614" s="10" t="s">
        <v>383</v>
      </c>
      <c r="H1614" s="12"/>
      <c r="I1614" s="12"/>
      <c r="J1614" s="12"/>
      <c r="K1614" s="413"/>
    </row>
    <row r="1615" spans="1:12" ht="13.15" customHeight="1" x14ac:dyDescent="0.2">
      <c r="A1615" s="714" t="s">
        <v>397</v>
      </c>
      <c r="B1615" s="715"/>
      <c r="C1615" s="715"/>
      <c r="D1615" s="715"/>
      <c r="E1615" s="715"/>
      <c r="F1615" s="715"/>
      <c r="G1615" s="715"/>
      <c r="H1615" s="14"/>
      <c r="I1615" s="14"/>
      <c r="J1615" s="14"/>
      <c r="K1615" s="333"/>
    </row>
    <row r="1616" spans="1:12" ht="13.15" customHeight="1" x14ac:dyDescent="0.2">
      <c r="A1616" s="255"/>
      <c r="B1616" s="255"/>
      <c r="C1616" s="255"/>
      <c r="D1616" s="255"/>
      <c r="E1616" s="255"/>
      <c r="F1616" s="255"/>
      <c r="G1616" s="255"/>
    </row>
    <row r="1617" spans="1:10" x14ac:dyDescent="0.2">
      <c r="A1617" s="43" t="s">
        <v>14</v>
      </c>
      <c r="B1617" s="56" t="s">
        <v>639</v>
      </c>
      <c r="C1617" s="45" t="s">
        <v>15</v>
      </c>
    </row>
    <row r="1618" spans="1:10" x14ac:dyDescent="0.2">
      <c r="A1618" s="46" t="s">
        <v>16</v>
      </c>
      <c r="B1618" s="2">
        <v>2022</v>
      </c>
      <c r="C1618" s="57">
        <v>2023</v>
      </c>
      <c r="D1618" s="2">
        <v>2024</v>
      </c>
      <c r="E1618" s="468">
        <v>2025</v>
      </c>
    </row>
    <row r="1619" spans="1:10" x14ac:dyDescent="0.2">
      <c r="A1619" s="46" t="s">
        <v>17</v>
      </c>
      <c r="B1619" s="19">
        <v>140</v>
      </c>
      <c r="C1619" s="59">
        <v>170</v>
      </c>
      <c r="D1619" s="3">
        <v>170</v>
      </c>
      <c r="E1619" s="330">
        <v>170</v>
      </c>
    </row>
    <row r="1620" spans="1:10" x14ac:dyDescent="0.2">
      <c r="A1620" s="46" t="s">
        <v>18</v>
      </c>
      <c r="B1620" s="19">
        <f>B1619+0.25*140</f>
        <v>175</v>
      </c>
      <c r="C1620" s="19">
        <f>C1619+0.25*140</f>
        <v>205</v>
      </c>
      <c r="D1620" s="19">
        <f>D1619+2.08</f>
        <v>172.08</v>
      </c>
      <c r="E1620" s="485">
        <f>E1619+0.25*C1619</f>
        <v>212.5</v>
      </c>
    </row>
    <row r="1621" spans="1:10" x14ac:dyDescent="0.2">
      <c r="A1621" s="46" t="s">
        <v>19</v>
      </c>
      <c r="B1621" s="60" t="s">
        <v>897</v>
      </c>
      <c r="C1621" s="60" t="s">
        <v>898</v>
      </c>
      <c r="D1621" s="60" t="s">
        <v>938</v>
      </c>
      <c r="E1621" s="635" t="s">
        <v>1089</v>
      </c>
    </row>
    <row r="1622" spans="1:10" x14ac:dyDescent="0.2">
      <c r="A1622" s="46" t="s">
        <v>20</v>
      </c>
      <c r="B1622" s="19">
        <v>21.678999999999998</v>
      </c>
      <c r="C1622" s="59">
        <v>0</v>
      </c>
      <c r="D1622" s="19"/>
      <c r="E1622" s="485"/>
    </row>
    <row r="1623" spans="1:10" x14ac:dyDescent="0.2">
      <c r="A1623" s="46" t="s">
        <v>21</v>
      </c>
      <c r="B1623" s="19">
        <f>B1620-B1622</f>
        <v>153.321</v>
      </c>
      <c r="C1623" s="19">
        <f>C1620-C1622</f>
        <v>205</v>
      </c>
      <c r="D1623" s="19"/>
      <c r="E1623" s="485"/>
    </row>
    <row r="1624" spans="1:10" x14ac:dyDescent="0.2">
      <c r="A1624" s="8" t="s">
        <v>22</v>
      </c>
      <c r="B1624" s="28">
        <v>2024</v>
      </c>
      <c r="C1624" s="62">
        <v>2025</v>
      </c>
      <c r="D1624" s="28">
        <v>2026</v>
      </c>
      <c r="E1624" s="467">
        <v>2027</v>
      </c>
    </row>
    <row r="1625" spans="1:10" x14ac:dyDescent="0.2">
      <c r="A1625" s="8" t="s">
        <v>23</v>
      </c>
      <c r="B1625" s="9"/>
      <c r="C1625" s="9"/>
      <c r="D1625" s="7"/>
      <c r="E1625" s="412"/>
    </row>
    <row r="1626" spans="1:10" x14ac:dyDescent="0.2">
      <c r="A1626" s="10" t="s">
        <v>383</v>
      </c>
      <c r="D1626" s="12"/>
      <c r="E1626" s="413"/>
    </row>
    <row r="1627" spans="1:10" ht="13.15" customHeight="1" x14ac:dyDescent="0.2">
      <c r="A1627" s="1" t="s">
        <v>937</v>
      </c>
      <c r="B1627" s="125"/>
      <c r="C1627" s="125"/>
      <c r="D1627" s="154"/>
      <c r="E1627" s="499"/>
    </row>
    <row r="1628" spans="1:10" ht="13.15" customHeight="1" x14ac:dyDescent="0.2">
      <c r="B1628" s="141"/>
      <c r="C1628" s="141"/>
      <c r="D1628" s="141"/>
      <c r="E1628" s="680"/>
    </row>
    <row r="1629" spans="1:10" s="329" customFormat="1" x14ac:dyDescent="0.2">
      <c r="A1629" s="507" t="s">
        <v>14</v>
      </c>
      <c r="B1629" s="508" t="s">
        <v>79</v>
      </c>
      <c r="C1629" s="508" t="s">
        <v>152</v>
      </c>
    </row>
    <row r="1630" spans="1:10" s="329" customFormat="1" x14ac:dyDescent="0.2">
      <c r="A1630" s="415" t="s">
        <v>16</v>
      </c>
      <c r="B1630" s="568">
        <v>2016</v>
      </c>
      <c r="C1630" s="468">
        <v>2017</v>
      </c>
      <c r="D1630" s="468">
        <v>2018</v>
      </c>
      <c r="E1630" s="468">
        <v>2019</v>
      </c>
      <c r="F1630" s="468">
        <v>2020</v>
      </c>
      <c r="G1630" s="468">
        <v>2021</v>
      </c>
      <c r="H1630" s="468">
        <v>2022</v>
      </c>
      <c r="I1630" s="468">
        <v>2023</v>
      </c>
      <c r="J1630" s="468">
        <v>2024</v>
      </c>
    </row>
    <row r="1631" spans="1:10" s="329" customFormat="1" x14ac:dyDescent="0.2">
      <c r="A1631" s="509" t="s">
        <v>17</v>
      </c>
      <c r="B1631" s="409">
        <v>2</v>
      </c>
      <c r="C1631" s="409">
        <v>2</v>
      </c>
      <c r="D1631" s="409">
        <v>2</v>
      </c>
      <c r="E1631" s="409">
        <v>2</v>
      </c>
      <c r="F1631" s="409">
        <v>2</v>
      </c>
      <c r="G1631" s="409">
        <v>2</v>
      </c>
      <c r="H1631" s="409">
        <v>2</v>
      </c>
      <c r="I1631" s="409">
        <v>2</v>
      </c>
      <c r="J1631" s="409">
        <v>2</v>
      </c>
    </row>
    <row r="1632" spans="1:10" s="329" customFormat="1" x14ac:dyDescent="0.2">
      <c r="A1632" s="509" t="s">
        <v>18</v>
      </c>
      <c r="B1632" s="409"/>
      <c r="C1632" s="409">
        <f>C1631+B1635</f>
        <v>-1.5599999999999996</v>
      </c>
      <c r="D1632" s="409">
        <f>D1631+C1635</f>
        <v>-7.0599999999999987</v>
      </c>
      <c r="E1632" s="409">
        <f t="shared" ref="E1632:G1632" si="56">E1631+D1635</f>
        <v>-11.759999999999998</v>
      </c>
      <c r="F1632" s="409">
        <f t="shared" si="56"/>
        <v>-14.86</v>
      </c>
      <c r="G1632" s="409">
        <f t="shared" si="56"/>
        <v>-21.86</v>
      </c>
      <c r="H1632" s="409">
        <f>H1631+1.25*G1635</f>
        <v>-27.325000000000003</v>
      </c>
      <c r="I1632" s="409">
        <f t="shared" ref="I1632:J1632" si="57">I1631+1.25*H1635</f>
        <v>-34.03125</v>
      </c>
      <c r="J1632" s="409">
        <f t="shared" si="57"/>
        <v>-46.0390625</v>
      </c>
    </row>
    <row r="1633" spans="1:10" s="329" customFormat="1" x14ac:dyDescent="0.2">
      <c r="A1633" s="509" t="s">
        <v>19</v>
      </c>
      <c r="B1633" s="485"/>
      <c r="C1633" s="485" t="s">
        <v>399</v>
      </c>
      <c r="D1633" s="485" t="s">
        <v>400</v>
      </c>
      <c r="E1633" s="485" t="s">
        <v>401</v>
      </c>
      <c r="F1633" s="485" t="s">
        <v>402</v>
      </c>
      <c r="G1633" s="485" t="s">
        <v>566</v>
      </c>
      <c r="H1633" s="485" t="s">
        <v>605</v>
      </c>
      <c r="I1633" s="485" t="s">
        <v>626</v>
      </c>
      <c r="J1633" s="485" t="s">
        <v>792</v>
      </c>
    </row>
    <row r="1634" spans="1:10" s="329" customFormat="1" x14ac:dyDescent="0.2">
      <c r="A1634" s="509" t="s">
        <v>20</v>
      </c>
      <c r="B1634" s="485">
        <v>5.56</v>
      </c>
      <c r="C1634" s="485">
        <v>7.5</v>
      </c>
      <c r="D1634" s="485">
        <v>6.7</v>
      </c>
      <c r="E1634" s="485">
        <v>5.0999999999999996</v>
      </c>
      <c r="F1634" s="485">
        <v>9</v>
      </c>
      <c r="G1634" s="485">
        <v>1.6</v>
      </c>
      <c r="H1634" s="485">
        <v>1.5</v>
      </c>
      <c r="I1634" s="409">
        <v>4.4000000000000004</v>
      </c>
      <c r="J1634" s="485"/>
    </row>
    <row r="1635" spans="1:10" s="329" customFormat="1" x14ac:dyDescent="0.2">
      <c r="A1635" s="509" t="s">
        <v>21</v>
      </c>
      <c r="B1635" s="409">
        <f>B1631-B1634</f>
        <v>-3.5599999999999996</v>
      </c>
      <c r="C1635" s="409">
        <f>C1632-C1634</f>
        <v>-9.0599999999999987</v>
      </c>
      <c r="D1635" s="409">
        <f>D1632-D1634</f>
        <v>-13.759999999999998</v>
      </c>
      <c r="E1635" s="409">
        <f>E1632-E1634</f>
        <v>-16.86</v>
      </c>
      <c r="F1635" s="409">
        <f>F1632-F1634</f>
        <v>-23.86</v>
      </c>
      <c r="G1635" s="409">
        <f t="shared" ref="G1635:I1635" si="58">G1632-G1634</f>
        <v>-23.46</v>
      </c>
      <c r="H1635" s="409">
        <f t="shared" si="58"/>
        <v>-28.825000000000003</v>
      </c>
      <c r="I1635" s="409">
        <f t="shared" si="58"/>
        <v>-38.431249999999999</v>
      </c>
      <c r="J1635" s="409"/>
    </row>
    <row r="1636" spans="1:10" s="329" customFormat="1" x14ac:dyDescent="0.2">
      <c r="A1636" s="410" t="s">
        <v>22</v>
      </c>
      <c r="B1636" s="569">
        <v>2017</v>
      </c>
      <c r="C1636" s="569">
        <v>2018</v>
      </c>
      <c r="D1636" s="569">
        <v>2019</v>
      </c>
      <c r="E1636" s="569">
        <v>2020</v>
      </c>
      <c r="F1636" s="569">
        <v>2021</v>
      </c>
      <c r="G1636" s="569">
        <v>2022</v>
      </c>
      <c r="H1636" s="569">
        <v>2023</v>
      </c>
      <c r="I1636" s="569">
        <v>2024</v>
      </c>
      <c r="J1636" s="569">
        <v>2025</v>
      </c>
    </row>
    <row r="1637" spans="1:10" s="329" customFormat="1" x14ac:dyDescent="0.2">
      <c r="A1637" s="410" t="s">
        <v>179</v>
      </c>
      <c r="B1637" s="411"/>
      <c r="C1637" s="411"/>
      <c r="D1637" s="411"/>
      <c r="E1637" s="411"/>
      <c r="F1637" s="411"/>
      <c r="G1637" s="411"/>
      <c r="H1637" s="411"/>
      <c r="I1637" s="411"/>
      <c r="J1637" s="412"/>
    </row>
    <row r="1638" spans="1:10" s="329" customFormat="1" x14ac:dyDescent="0.2">
      <c r="A1638" s="483" t="s">
        <v>1118</v>
      </c>
      <c r="F1638" s="681"/>
      <c r="J1638" s="413"/>
    </row>
    <row r="1639" spans="1:10" s="329" customFormat="1" x14ac:dyDescent="0.2">
      <c r="A1639" s="483" t="s">
        <v>1119</v>
      </c>
      <c r="J1639" s="413"/>
    </row>
    <row r="1640" spans="1:10" s="329" customFormat="1" x14ac:dyDescent="0.2">
      <c r="A1640" s="483" t="s">
        <v>1120</v>
      </c>
      <c r="J1640" s="413"/>
    </row>
    <row r="1641" spans="1:10" s="329" customFormat="1" x14ac:dyDescent="0.2">
      <c r="A1641" s="483" t="s">
        <v>1121</v>
      </c>
      <c r="C1641" s="682"/>
      <c r="J1641" s="413"/>
    </row>
    <row r="1642" spans="1:10" s="329" customFormat="1" x14ac:dyDescent="0.2">
      <c r="A1642" s="483" t="s">
        <v>1122</v>
      </c>
      <c r="C1642" s="682"/>
      <c r="J1642" s="413"/>
    </row>
    <row r="1643" spans="1:10" s="329" customFormat="1" x14ac:dyDescent="0.2">
      <c r="A1643" s="483" t="s">
        <v>905</v>
      </c>
      <c r="C1643" s="682"/>
      <c r="J1643" s="413"/>
    </row>
    <row r="1644" spans="1:10" s="329" customFormat="1" x14ac:dyDescent="0.2">
      <c r="A1644" s="483" t="s">
        <v>906</v>
      </c>
      <c r="C1644" s="682"/>
      <c r="J1644" s="413"/>
    </row>
    <row r="1645" spans="1:10" s="329" customFormat="1" x14ac:dyDescent="0.2">
      <c r="A1645" s="502" t="s">
        <v>1042</v>
      </c>
      <c r="B1645" s="331"/>
      <c r="C1645" s="683"/>
      <c r="D1645" s="331"/>
      <c r="E1645" s="331"/>
      <c r="F1645" s="331"/>
      <c r="G1645" s="331"/>
      <c r="H1645" s="331"/>
      <c r="I1645" s="331"/>
      <c r="J1645" s="333"/>
    </row>
    <row r="1646" spans="1:10" s="329" customFormat="1" ht="13.15" customHeight="1" x14ac:dyDescent="0.2">
      <c r="B1646" s="680"/>
      <c r="C1646" s="680"/>
      <c r="D1646" s="680"/>
      <c r="E1646" s="680"/>
    </row>
    <row r="1647" spans="1:10" ht="13.15" customHeight="1" x14ac:dyDescent="0.2">
      <c r="A1647" s="255"/>
      <c r="B1647" s="255"/>
      <c r="C1647" s="255"/>
      <c r="D1647" s="255"/>
      <c r="E1647" s="255"/>
      <c r="F1647" s="255"/>
      <c r="G1647" s="255"/>
    </row>
    <row r="1648" spans="1:10" x14ac:dyDescent="0.2">
      <c r="A1648" s="164" t="s">
        <v>12</v>
      </c>
      <c r="B1648" s="284" t="s">
        <v>907</v>
      </c>
      <c r="C1648" s="35"/>
      <c r="D1648" s="35"/>
      <c r="E1648" s="35"/>
      <c r="F1648" s="35"/>
      <c r="G1648" s="35"/>
    </row>
    <row r="1649" spans="1:10" x14ac:dyDescent="0.2">
      <c r="A1649" s="43" t="s">
        <v>14</v>
      </c>
      <c r="B1649" s="56" t="s">
        <v>74</v>
      </c>
      <c r="C1649" s="56" t="s">
        <v>152</v>
      </c>
    </row>
    <row r="1650" spans="1:10" x14ac:dyDescent="0.2">
      <c r="A1650" s="1" t="s">
        <v>16</v>
      </c>
      <c r="B1650" s="117">
        <v>2016</v>
      </c>
      <c r="C1650" s="2">
        <v>2017</v>
      </c>
      <c r="D1650" s="2">
        <v>2018</v>
      </c>
      <c r="E1650" s="2">
        <v>2019</v>
      </c>
      <c r="F1650" s="2">
        <v>2020</v>
      </c>
      <c r="G1650" s="2">
        <v>2021</v>
      </c>
      <c r="H1650" s="2">
        <v>2022</v>
      </c>
      <c r="I1650" s="2">
        <v>2023</v>
      </c>
      <c r="J1650" s="468">
        <v>2024</v>
      </c>
    </row>
    <row r="1651" spans="1:10" x14ac:dyDescent="0.2">
      <c r="A1651" s="46" t="s">
        <v>17</v>
      </c>
      <c r="B1651" s="5">
        <v>45</v>
      </c>
      <c r="C1651" s="5">
        <v>45</v>
      </c>
      <c r="D1651" s="5">
        <v>45</v>
      </c>
      <c r="E1651" s="5">
        <v>45</v>
      </c>
      <c r="F1651" s="5">
        <v>37.9</v>
      </c>
      <c r="G1651" s="5">
        <v>37.9</v>
      </c>
      <c r="H1651" s="5">
        <v>37.9</v>
      </c>
      <c r="I1651" s="5">
        <v>37.9</v>
      </c>
      <c r="J1651" s="409">
        <v>37.9</v>
      </c>
    </row>
    <row r="1652" spans="1:10" ht="15.75" x14ac:dyDescent="0.25">
      <c r="A1652" s="46" t="s">
        <v>18</v>
      </c>
      <c r="B1652" s="5">
        <v>16.39</v>
      </c>
      <c r="C1652" s="5">
        <f>C1651+B1655</f>
        <v>51.59</v>
      </c>
      <c r="D1652" s="5">
        <f>D1651+0.2*C1651</f>
        <v>54</v>
      </c>
      <c r="E1652" s="5">
        <f>E1651+0.2*D1651</f>
        <v>54</v>
      </c>
      <c r="F1652" s="396">
        <f>F1651+E1655</f>
        <v>4.3999999999999986</v>
      </c>
      <c r="G1652" s="396">
        <f>G1651+F1655</f>
        <v>8.3489999999999966</v>
      </c>
      <c r="H1652" s="396">
        <f>1.25*G1655+H1651</f>
        <v>-87.29249999999999</v>
      </c>
      <c r="I1652" s="396">
        <f xml:space="preserve"> 1.25*H1655+I1651</f>
        <v>-165.110625</v>
      </c>
      <c r="J1652" s="677">
        <f xml:space="preserve"> 1.25*I1655+J1651</f>
        <v>-263.47578125000001</v>
      </c>
    </row>
    <row r="1653" spans="1:10" x14ac:dyDescent="0.2">
      <c r="A1653" s="46" t="s">
        <v>19</v>
      </c>
      <c r="B1653" s="19"/>
      <c r="C1653" s="19" t="s">
        <v>399</v>
      </c>
      <c r="D1653" s="19" t="s">
        <v>400</v>
      </c>
      <c r="E1653" s="19" t="s">
        <v>401</v>
      </c>
      <c r="F1653" s="19" t="s">
        <v>402</v>
      </c>
      <c r="G1653" s="19" t="s">
        <v>566</v>
      </c>
      <c r="H1653" s="19" t="s">
        <v>605</v>
      </c>
      <c r="I1653" s="19" t="s">
        <v>626</v>
      </c>
      <c r="J1653" s="485" t="s">
        <v>792</v>
      </c>
    </row>
    <row r="1654" spans="1:10" ht="15.75" x14ac:dyDescent="0.25">
      <c r="A1654" s="46" t="s">
        <v>20</v>
      </c>
      <c r="B1654" s="19">
        <v>9.8000000000000007</v>
      </c>
      <c r="C1654" s="19">
        <v>12.6</v>
      </c>
      <c r="D1654" s="397">
        <v>5</v>
      </c>
      <c r="E1654" s="397">
        <v>87.5</v>
      </c>
      <c r="F1654" s="397">
        <v>33.951000000000001</v>
      </c>
      <c r="G1654" s="397">
        <v>108.503</v>
      </c>
      <c r="H1654" s="397">
        <v>75.116</v>
      </c>
      <c r="I1654" s="678">
        <v>75.989999999999995</v>
      </c>
      <c r="J1654" s="485"/>
    </row>
    <row r="1655" spans="1:10" ht="15.75" x14ac:dyDescent="0.25">
      <c r="A1655" s="46" t="s">
        <v>21</v>
      </c>
      <c r="B1655" s="5">
        <f t="shared" ref="B1655:I1655" si="59">B1652-B1654</f>
        <v>6.59</v>
      </c>
      <c r="C1655" s="5">
        <f t="shared" si="59"/>
        <v>38.99</v>
      </c>
      <c r="D1655" s="5">
        <f t="shared" si="59"/>
        <v>49</v>
      </c>
      <c r="E1655" s="396">
        <f t="shared" si="59"/>
        <v>-33.5</v>
      </c>
      <c r="F1655" s="396">
        <f t="shared" si="59"/>
        <v>-29.551000000000002</v>
      </c>
      <c r="G1655" s="396">
        <f t="shared" si="59"/>
        <v>-100.154</v>
      </c>
      <c r="H1655" s="396">
        <f t="shared" si="59"/>
        <v>-162.4085</v>
      </c>
      <c r="I1655" s="677">
        <f t="shared" si="59"/>
        <v>-241.10062499999998</v>
      </c>
      <c r="J1655" s="409"/>
    </row>
    <row r="1656" spans="1:10" x14ac:dyDescent="0.2">
      <c r="A1656" s="8" t="s">
        <v>22</v>
      </c>
      <c r="B1656" s="185">
        <v>2017</v>
      </c>
      <c r="C1656" s="185">
        <v>2018</v>
      </c>
      <c r="D1656" s="185">
        <v>2019</v>
      </c>
      <c r="E1656" s="185">
        <v>2020</v>
      </c>
      <c r="F1656" s="185">
        <v>2021</v>
      </c>
      <c r="G1656" s="185">
        <v>2022</v>
      </c>
      <c r="H1656" s="185">
        <v>2023</v>
      </c>
      <c r="I1656" s="569">
        <v>2024</v>
      </c>
      <c r="J1656" s="569">
        <v>2025</v>
      </c>
    </row>
    <row r="1657" spans="1:10" x14ac:dyDescent="0.2">
      <c r="A1657" s="8" t="s">
        <v>179</v>
      </c>
      <c r="B1657" s="9"/>
      <c r="C1657" s="9"/>
      <c r="D1657" s="9"/>
      <c r="E1657" s="9"/>
      <c r="F1657" s="9"/>
      <c r="G1657" s="9"/>
      <c r="H1657" s="9"/>
      <c r="I1657" s="9"/>
      <c r="J1657" s="412"/>
    </row>
    <row r="1658" spans="1:10" x14ac:dyDescent="0.2">
      <c r="A1658" s="53" t="s">
        <v>403</v>
      </c>
      <c r="F1658" s="167"/>
      <c r="J1658" s="413"/>
    </row>
    <row r="1659" spans="1:10" x14ac:dyDescent="0.2">
      <c r="A1659" s="53" t="s">
        <v>908</v>
      </c>
      <c r="J1659" s="413"/>
    </row>
    <row r="1660" spans="1:10" x14ac:dyDescent="0.2">
      <c r="A1660" s="53" t="s">
        <v>909</v>
      </c>
      <c r="J1660" s="413"/>
    </row>
    <row r="1661" spans="1:10" x14ac:dyDescent="0.2">
      <c r="A1661" s="53" t="s">
        <v>565</v>
      </c>
      <c r="C1661" s="441"/>
      <c r="J1661" s="413"/>
    </row>
    <row r="1662" spans="1:10" x14ac:dyDescent="0.2">
      <c r="A1662" s="53" t="s">
        <v>567</v>
      </c>
      <c r="C1662" s="441"/>
      <c r="J1662" s="413"/>
    </row>
    <row r="1663" spans="1:10" x14ac:dyDescent="0.2">
      <c r="A1663" s="53" t="s">
        <v>905</v>
      </c>
      <c r="C1663" s="441"/>
      <c r="J1663" s="413"/>
    </row>
    <row r="1664" spans="1:10" x14ac:dyDescent="0.2">
      <c r="A1664" s="53" t="s">
        <v>906</v>
      </c>
      <c r="C1664" s="441"/>
      <c r="J1664" s="413"/>
    </row>
    <row r="1665" spans="1:10" x14ac:dyDescent="0.2">
      <c r="A1665" s="502" t="s">
        <v>1042</v>
      </c>
      <c r="B1665" s="13"/>
      <c r="C1665" s="131"/>
      <c r="D1665" s="13"/>
      <c r="E1665" s="13"/>
      <c r="F1665" s="13"/>
      <c r="G1665" s="13"/>
      <c r="H1665" s="13"/>
      <c r="I1665" s="13"/>
      <c r="J1665" s="333"/>
    </row>
    <row r="1666" spans="1:10" x14ac:dyDescent="0.2">
      <c r="A1666" s="54"/>
      <c r="C1666" s="441"/>
    </row>
    <row r="1667" spans="1:10" x14ac:dyDescent="0.2">
      <c r="A1667" s="43" t="s">
        <v>14</v>
      </c>
      <c r="B1667" s="56" t="s">
        <v>79</v>
      </c>
      <c r="C1667" s="56" t="s">
        <v>152</v>
      </c>
    </row>
    <row r="1668" spans="1:10" x14ac:dyDescent="0.2">
      <c r="A1668" s="1" t="s">
        <v>16</v>
      </c>
      <c r="B1668" s="117">
        <v>2016</v>
      </c>
      <c r="C1668" s="2">
        <v>2017</v>
      </c>
      <c r="D1668" s="2">
        <v>2018</v>
      </c>
      <c r="E1668" s="2">
        <v>2019</v>
      </c>
      <c r="F1668" s="2">
        <v>2020</v>
      </c>
      <c r="G1668" s="2">
        <v>2021</v>
      </c>
      <c r="H1668" s="2">
        <v>2022</v>
      </c>
      <c r="I1668" s="2">
        <v>2023</v>
      </c>
      <c r="J1668" s="468">
        <v>2024</v>
      </c>
    </row>
    <row r="1669" spans="1:10" x14ac:dyDescent="0.2">
      <c r="A1669" s="46" t="s">
        <v>17</v>
      </c>
      <c r="B1669" s="5">
        <v>20</v>
      </c>
      <c r="C1669" s="5">
        <v>20</v>
      </c>
      <c r="D1669" s="5">
        <v>20</v>
      </c>
      <c r="E1669" s="5">
        <v>20</v>
      </c>
      <c r="F1669" s="5">
        <v>20</v>
      </c>
      <c r="G1669" s="5">
        <v>20</v>
      </c>
      <c r="H1669" s="5">
        <v>20</v>
      </c>
      <c r="I1669" s="5">
        <v>20</v>
      </c>
      <c r="J1669" s="409">
        <v>20</v>
      </c>
    </row>
    <row r="1670" spans="1:10" ht="15.75" x14ac:dyDescent="0.25">
      <c r="A1670" s="46" t="s">
        <v>18</v>
      </c>
      <c r="B1670" s="5">
        <v>24</v>
      </c>
      <c r="C1670" s="5">
        <f>C1669+0.2*B1669</f>
        <v>24</v>
      </c>
      <c r="D1670" s="5">
        <f>D1669+0.2*C1669</f>
        <v>24</v>
      </c>
      <c r="E1670" s="396">
        <f>E1669+0.2*D1669</f>
        <v>24</v>
      </c>
      <c r="F1670" s="396">
        <f>F1669+0.2*E1669</f>
        <v>24</v>
      </c>
      <c r="G1670" s="396"/>
      <c r="H1670" s="396">
        <f>H1669+G1673</f>
        <v>19.587</v>
      </c>
      <c r="I1670" s="396">
        <f xml:space="preserve"> 1.25*H1673+I1669</f>
        <v>11.083750000000002</v>
      </c>
      <c r="J1670" s="677">
        <f xml:space="preserve"> 1.25*I1673+J1669</f>
        <v>-2.0312499999999289E-2</v>
      </c>
    </row>
    <row r="1671" spans="1:10" x14ac:dyDescent="0.2">
      <c r="A1671" s="46" t="s">
        <v>19</v>
      </c>
      <c r="B1671" s="19"/>
      <c r="C1671" s="19" t="s">
        <v>399</v>
      </c>
      <c r="D1671" s="19" t="s">
        <v>400</v>
      </c>
      <c r="E1671" s="19" t="s">
        <v>401</v>
      </c>
      <c r="F1671" s="19" t="s">
        <v>402</v>
      </c>
      <c r="G1671" s="19" t="s">
        <v>566</v>
      </c>
      <c r="H1671" s="19" t="s">
        <v>605</v>
      </c>
      <c r="I1671" s="19" t="s">
        <v>626</v>
      </c>
      <c r="J1671" s="485" t="s">
        <v>792</v>
      </c>
    </row>
    <row r="1672" spans="1:10" ht="15.75" x14ac:dyDescent="0.25">
      <c r="A1672" s="46" t="s">
        <v>20</v>
      </c>
      <c r="B1672" s="19">
        <v>15</v>
      </c>
      <c r="C1672" s="19">
        <v>13</v>
      </c>
      <c r="D1672" s="397">
        <v>1.125</v>
      </c>
      <c r="E1672" s="397">
        <v>9.5559999999999992</v>
      </c>
      <c r="F1672" s="397">
        <v>10.503</v>
      </c>
      <c r="G1672" s="397">
        <v>20.413</v>
      </c>
      <c r="H1672" s="397">
        <v>26.72</v>
      </c>
      <c r="I1672" s="677">
        <v>27.1</v>
      </c>
      <c r="J1672" s="485"/>
    </row>
    <row r="1673" spans="1:10" ht="15.75" x14ac:dyDescent="0.25">
      <c r="A1673" s="46" t="s">
        <v>21</v>
      </c>
      <c r="B1673" s="5">
        <f>B1670-B1672</f>
        <v>9</v>
      </c>
      <c r="C1673" s="5">
        <f>C1670-C1672</f>
        <v>11</v>
      </c>
      <c r="D1673" s="396">
        <f>D1670-D1672</f>
        <v>22.875</v>
      </c>
      <c r="E1673" s="396">
        <f>E1670-E1672</f>
        <v>14.444000000000001</v>
      </c>
      <c r="F1673" s="396">
        <f>F1670-F1672</f>
        <v>13.497</v>
      </c>
      <c r="G1673" s="396">
        <f>G1669-G1672</f>
        <v>-0.41300000000000026</v>
      </c>
      <c r="H1673" s="396">
        <f>H1670-H1672</f>
        <v>-7.1329999999999991</v>
      </c>
      <c r="I1673" s="677">
        <f>I1670-I1672</f>
        <v>-16.016249999999999</v>
      </c>
      <c r="J1673" s="409"/>
    </row>
    <row r="1674" spans="1:10" x14ac:dyDescent="0.2">
      <c r="A1674" s="8" t="s">
        <v>22</v>
      </c>
      <c r="B1674" s="185">
        <v>2017</v>
      </c>
      <c r="C1674" s="185">
        <v>2018</v>
      </c>
      <c r="D1674" s="185">
        <v>2019</v>
      </c>
      <c r="E1674" s="185">
        <v>2020</v>
      </c>
      <c r="F1674" s="185">
        <v>2021</v>
      </c>
      <c r="G1674" s="185">
        <v>2022</v>
      </c>
      <c r="H1674" s="185">
        <v>2023</v>
      </c>
      <c r="I1674" s="569">
        <v>2024</v>
      </c>
      <c r="J1674" s="569">
        <v>2025</v>
      </c>
    </row>
    <row r="1675" spans="1:10" x14ac:dyDescent="0.2">
      <c r="A1675" s="8" t="s">
        <v>179</v>
      </c>
      <c r="B1675" s="9"/>
      <c r="C1675" s="9"/>
      <c r="D1675" s="9"/>
      <c r="E1675" s="9"/>
      <c r="F1675" s="9"/>
      <c r="G1675" s="9"/>
      <c r="H1675" s="9"/>
      <c r="I1675" s="9"/>
      <c r="J1675" s="412"/>
    </row>
    <row r="1676" spans="1:10" x14ac:dyDescent="0.2">
      <c r="A1676" s="53" t="s">
        <v>910</v>
      </c>
      <c r="F1676" s="167"/>
      <c r="J1676" s="413"/>
    </row>
    <row r="1677" spans="1:10" x14ac:dyDescent="0.2">
      <c r="A1677" s="53" t="s">
        <v>908</v>
      </c>
      <c r="J1677" s="413"/>
    </row>
    <row r="1678" spans="1:10" x14ac:dyDescent="0.2">
      <c r="A1678" s="53" t="s">
        <v>909</v>
      </c>
      <c r="J1678" s="413"/>
    </row>
    <row r="1679" spans="1:10" x14ac:dyDescent="0.2">
      <c r="A1679" s="53" t="s">
        <v>911</v>
      </c>
      <c r="C1679" s="441"/>
      <c r="J1679" s="413"/>
    </row>
    <row r="1680" spans="1:10" x14ac:dyDescent="0.2">
      <c r="A1680" s="53" t="s">
        <v>912</v>
      </c>
      <c r="C1680" s="441"/>
      <c r="J1680" s="413"/>
    </row>
    <row r="1681" spans="1:10" x14ac:dyDescent="0.2">
      <c r="A1681" s="53" t="s">
        <v>606</v>
      </c>
      <c r="C1681" s="441"/>
      <c r="J1681" s="413"/>
    </row>
    <row r="1682" spans="1:10" x14ac:dyDescent="0.2">
      <c r="A1682" s="53" t="s">
        <v>906</v>
      </c>
      <c r="C1682" s="441"/>
      <c r="J1682" s="413"/>
    </row>
    <row r="1683" spans="1:10" x14ac:dyDescent="0.2">
      <c r="A1683" s="502" t="s">
        <v>1042</v>
      </c>
      <c r="B1683" s="13"/>
      <c r="C1683" s="131"/>
      <c r="D1683" s="13"/>
      <c r="E1683" s="13"/>
      <c r="F1683" s="13"/>
      <c r="G1683" s="13"/>
      <c r="H1683" s="13"/>
      <c r="I1683" s="13"/>
      <c r="J1683" s="333"/>
    </row>
    <row r="1684" spans="1:10" x14ac:dyDescent="0.2">
      <c r="A1684" s="54"/>
      <c r="C1684" s="441"/>
    </row>
    <row r="1686" spans="1:10" x14ac:dyDescent="0.2">
      <c r="A1686" s="288" t="s">
        <v>11</v>
      </c>
      <c r="B1686" s="283" t="s">
        <v>217</v>
      </c>
      <c r="C1686" s="35"/>
    </row>
    <row r="1687" spans="1:10" x14ac:dyDescent="0.2">
      <c r="A1687" s="43" t="s">
        <v>1</v>
      </c>
      <c r="B1687" s="56" t="s">
        <v>624</v>
      </c>
      <c r="C1687" s="45" t="s">
        <v>2</v>
      </c>
    </row>
    <row r="1688" spans="1:10" x14ac:dyDescent="0.2">
      <c r="A1688" s="46" t="s">
        <v>3</v>
      </c>
      <c r="B1688" s="15"/>
      <c r="C1688" s="2">
        <v>2018</v>
      </c>
      <c r="D1688" s="57">
        <v>2019</v>
      </c>
      <c r="E1688" s="2">
        <v>2020</v>
      </c>
      <c r="F1688" s="2">
        <v>2021</v>
      </c>
      <c r="G1688" s="2">
        <v>2022</v>
      </c>
      <c r="H1688" s="2">
        <v>2023</v>
      </c>
      <c r="I1688" s="468">
        <v>2024</v>
      </c>
    </row>
    <row r="1689" spans="1:10" x14ac:dyDescent="0.2">
      <c r="A1689" s="46" t="s">
        <v>4</v>
      </c>
      <c r="B1689" s="15"/>
      <c r="C1689" s="5">
        <v>250</v>
      </c>
      <c r="D1689" s="65">
        <v>250</v>
      </c>
      <c r="E1689" s="5">
        <v>250</v>
      </c>
      <c r="F1689" s="66">
        <v>250</v>
      </c>
      <c r="G1689" s="66">
        <v>250</v>
      </c>
      <c r="H1689" s="66">
        <v>250</v>
      </c>
      <c r="I1689" s="427">
        <v>250</v>
      </c>
    </row>
    <row r="1690" spans="1:10" x14ac:dyDescent="0.2">
      <c r="A1690" s="46" t="s">
        <v>5</v>
      </c>
      <c r="B1690" s="15"/>
      <c r="C1690" s="5">
        <v>200</v>
      </c>
      <c r="D1690" s="5">
        <v>225</v>
      </c>
      <c r="E1690" s="5">
        <f>E1691</f>
        <v>225</v>
      </c>
      <c r="F1690" s="66">
        <f>F1691</f>
        <v>200</v>
      </c>
      <c r="G1690" s="66">
        <f>G1691</f>
        <v>200</v>
      </c>
      <c r="H1690" s="66">
        <f>H1691</f>
        <v>225</v>
      </c>
      <c r="I1690" s="427">
        <f>I1691</f>
        <v>225</v>
      </c>
    </row>
    <row r="1691" spans="1:10" x14ac:dyDescent="0.2">
      <c r="A1691" s="46" t="s">
        <v>6</v>
      </c>
      <c r="B1691" s="15"/>
      <c r="C1691" s="5">
        <v>200</v>
      </c>
      <c r="D1691" s="5">
        <v>225</v>
      </c>
      <c r="E1691" s="5">
        <f>1.4*E1689-125</f>
        <v>225</v>
      </c>
      <c r="F1691" s="66">
        <f>F1689+0.4*E1689-150</f>
        <v>200</v>
      </c>
      <c r="G1691" s="66">
        <f>G1689+0.4*F1689-150</f>
        <v>200</v>
      </c>
      <c r="H1691" s="66">
        <f>H1689+0.4*G1689-125</f>
        <v>225</v>
      </c>
      <c r="I1691" s="427">
        <f>I1689+0.4*H1689-125</f>
        <v>225</v>
      </c>
    </row>
    <row r="1692" spans="1:10" x14ac:dyDescent="0.2">
      <c r="A1692" s="46" t="s">
        <v>7</v>
      </c>
      <c r="B1692" s="15"/>
      <c r="C1692" s="5">
        <v>43.54</v>
      </c>
      <c r="D1692" s="5">
        <v>13.63</v>
      </c>
      <c r="E1692" s="5">
        <v>10</v>
      </c>
      <c r="F1692" s="66">
        <v>20</v>
      </c>
      <c r="G1692" s="66">
        <v>0</v>
      </c>
      <c r="H1692" s="66">
        <v>54.02</v>
      </c>
      <c r="I1692" s="427"/>
    </row>
    <row r="1693" spans="1:10" x14ac:dyDescent="0.2">
      <c r="A1693" s="46" t="s">
        <v>8</v>
      </c>
      <c r="B1693" s="15"/>
      <c r="C1693" s="5">
        <v>156.46</v>
      </c>
      <c r="D1693" s="65">
        <v>211.37</v>
      </c>
      <c r="E1693" s="5">
        <f>E1690-E1692</f>
        <v>215</v>
      </c>
      <c r="F1693" s="66">
        <f>F1690-F1692</f>
        <v>180</v>
      </c>
      <c r="G1693" s="66">
        <f>G1690-G1692</f>
        <v>200</v>
      </c>
      <c r="H1693" s="66">
        <f>H1690-H1692</f>
        <v>170.98</v>
      </c>
      <c r="I1693" s="427"/>
    </row>
    <row r="1694" spans="1:10" x14ac:dyDescent="0.2">
      <c r="A1694" s="8" t="s">
        <v>9</v>
      </c>
      <c r="B1694" s="16"/>
      <c r="C1694" s="28">
        <v>2019</v>
      </c>
      <c r="D1694" s="62">
        <v>2020</v>
      </c>
      <c r="E1694" s="28">
        <v>2021</v>
      </c>
      <c r="F1694" s="7">
        <v>2022</v>
      </c>
      <c r="G1694" s="7">
        <v>2023</v>
      </c>
      <c r="H1694" s="7">
        <v>2024</v>
      </c>
      <c r="I1694" s="412">
        <v>2025</v>
      </c>
    </row>
    <row r="1695" spans="1:10" x14ac:dyDescent="0.2">
      <c r="A1695" s="8" t="s">
        <v>164</v>
      </c>
      <c r="B1695" s="9"/>
      <c r="C1695" s="9"/>
      <c r="D1695" s="9"/>
      <c r="E1695" s="9"/>
      <c r="F1695" s="9"/>
      <c r="G1695" s="9"/>
      <c r="H1695" s="7"/>
      <c r="I1695" s="412"/>
    </row>
    <row r="1696" spans="1:10" x14ac:dyDescent="0.2">
      <c r="A1696" s="10" t="s">
        <v>218</v>
      </c>
      <c r="H1696" s="12"/>
      <c r="I1696" s="413"/>
    </row>
    <row r="1697" spans="1:9" x14ac:dyDescent="0.2">
      <c r="A1697" s="10" t="s">
        <v>513</v>
      </c>
      <c r="H1697" s="12"/>
      <c r="I1697" s="413"/>
    </row>
    <row r="1698" spans="1:9" ht="13.15" customHeight="1" x14ac:dyDescent="0.2">
      <c r="A1698" s="55" t="s">
        <v>514</v>
      </c>
      <c r="B1698" s="208"/>
      <c r="C1698" s="208"/>
      <c r="D1698" s="208"/>
      <c r="E1698" s="208"/>
      <c r="F1698" s="208"/>
      <c r="G1698" s="208"/>
      <c r="H1698" s="324"/>
      <c r="I1698" s="628"/>
    </row>
    <row r="1699" spans="1:9" x14ac:dyDescent="0.2">
      <c r="A1699" s="55" t="s">
        <v>515</v>
      </c>
      <c r="B1699" s="255"/>
      <c r="C1699" s="255"/>
      <c r="D1699" s="255"/>
      <c r="E1699" s="255"/>
      <c r="F1699" s="255"/>
      <c r="G1699" s="255"/>
      <c r="H1699" s="292"/>
      <c r="I1699" s="572"/>
    </row>
    <row r="1700" spans="1:9" x14ac:dyDescent="0.2">
      <c r="A1700" s="10" t="s">
        <v>516</v>
      </c>
      <c r="B1700" s="255"/>
      <c r="C1700" s="255"/>
      <c r="D1700" s="255"/>
      <c r="E1700" s="255"/>
      <c r="F1700" s="255"/>
      <c r="G1700" s="255"/>
      <c r="H1700" s="292"/>
      <c r="I1700" s="572"/>
    </row>
    <row r="1701" spans="1:9" x14ac:dyDescent="0.2">
      <c r="A1701" s="10" t="s">
        <v>853</v>
      </c>
      <c r="B1701" s="255"/>
      <c r="C1701" s="255"/>
      <c r="D1701" s="255"/>
      <c r="E1701" s="255"/>
      <c r="F1701" s="255"/>
      <c r="G1701" s="255"/>
      <c r="H1701" s="292"/>
      <c r="I1701" s="572"/>
    </row>
    <row r="1702" spans="1:9" x14ac:dyDescent="0.2">
      <c r="A1702" s="10" t="s">
        <v>854</v>
      </c>
      <c r="B1702" s="255"/>
      <c r="C1702" s="255"/>
      <c r="D1702" s="255"/>
      <c r="E1702" s="255"/>
      <c r="F1702" s="255"/>
      <c r="G1702" s="255"/>
      <c r="H1702" s="292"/>
      <c r="I1702" s="572"/>
    </row>
    <row r="1703" spans="1:9" ht="13.15" customHeight="1" x14ac:dyDescent="0.2">
      <c r="A1703" s="415" t="s">
        <v>1080</v>
      </c>
      <c r="B1703" s="13"/>
      <c r="C1703" s="13"/>
      <c r="D1703" s="13"/>
      <c r="E1703" s="13"/>
      <c r="F1703" s="13"/>
      <c r="G1703" s="13"/>
      <c r="H1703" s="14"/>
      <c r="I1703" s="333"/>
    </row>
    <row r="1705" spans="1:9" x14ac:dyDescent="0.2">
      <c r="A1705" s="43" t="s">
        <v>1</v>
      </c>
      <c r="B1705" s="56" t="s">
        <v>642</v>
      </c>
      <c r="C1705" s="45" t="s">
        <v>2</v>
      </c>
    </row>
    <row r="1706" spans="1:9" x14ac:dyDescent="0.2">
      <c r="A1706" s="46" t="s">
        <v>3</v>
      </c>
      <c r="B1706" s="15"/>
      <c r="C1706" s="2">
        <v>2018</v>
      </c>
      <c r="D1706" s="57">
        <v>2019</v>
      </c>
      <c r="E1706" s="2">
        <v>2020</v>
      </c>
      <c r="F1706" s="2">
        <v>2021</v>
      </c>
      <c r="G1706" s="2">
        <v>2022</v>
      </c>
      <c r="H1706" s="2">
        <v>2023</v>
      </c>
      <c r="I1706" s="468">
        <v>2024</v>
      </c>
    </row>
    <row r="1707" spans="1:9" x14ac:dyDescent="0.2">
      <c r="A1707" s="46" t="s">
        <v>4</v>
      </c>
      <c r="B1707" s="15"/>
      <c r="C1707" s="5">
        <v>417</v>
      </c>
      <c r="D1707" s="5">
        <v>417</v>
      </c>
      <c r="E1707" s="5">
        <v>417</v>
      </c>
      <c r="F1707" s="5">
        <v>417</v>
      </c>
      <c r="G1707" s="5">
        <v>417</v>
      </c>
      <c r="H1707" s="5">
        <v>417</v>
      </c>
      <c r="I1707" s="409">
        <v>417</v>
      </c>
    </row>
    <row r="1708" spans="1:9" x14ac:dyDescent="0.2">
      <c r="A1708" s="46" t="s">
        <v>5</v>
      </c>
      <c r="B1708" s="15"/>
      <c r="C1708" s="5">
        <v>500.4</v>
      </c>
      <c r="D1708" s="5">
        <v>500.4</v>
      </c>
      <c r="E1708" s="5">
        <f>E1709</f>
        <v>500.4</v>
      </c>
      <c r="F1708" s="5">
        <v>500.4</v>
      </c>
      <c r="G1708" s="5">
        <v>500.4</v>
      </c>
      <c r="H1708" s="5">
        <f>H1709</f>
        <v>458.7</v>
      </c>
      <c r="I1708" s="409">
        <f>I1709</f>
        <v>458.7</v>
      </c>
    </row>
    <row r="1709" spans="1:9" x14ac:dyDescent="0.2">
      <c r="A1709" s="46" t="s">
        <v>6</v>
      </c>
      <c r="B1709" s="15"/>
      <c r="C1709" s="5">
        <v>500.4</v>
      </c>
      <c r="D1709" s="5">
        <v>500.4</v>
      </c>
      <c r="E1709" s="5">
        <f>1.2*E1707</f>
        <v>500.4</v>
      </c>
      <c r="F1709" s="5">
        <v>500.4</v>
      </c>
      <c r="G1709" s="5">
        <v>500.4</v>
      </c>
      <c r="H1709" s="5">
        <f>H1707+0.1*G1707</f>
        <v>458.7</v>
      </c>
      <c r="I1709" s="409">
        <f>I1707+0.1*H1707</f>
        <v>458.7</v>
      </c>
    </row>
    <row r="1710" spans="1:9" x14ac:dyDescent="0.2">
      <c r="A1710" s="46" t="s">
        <v>7</v>
      </c>
      <c r="B1710" s="15"/>
      <c r="C1710" s="5">
        <v>92.8</v>
      </c>
      <c r="D1710" s="5">
        <v>166.9</v>
      </c>
      <c r="E1710" s="5">
        <v>0</v>
      </c>
      <c r="F1710" s="5">
        <v>0</v>
      </c>
      <c r="G1710" s="5">
        <v>0</v>
      </c>
      <c r="H1710" s="5">
        <v>0</v>
      </c>
      <c r="I1710" s="409"/>
    </row>
    <row r="1711" spans="1:9" x14ac:dyDescent="0.2">
      <c r="A1711" s="46" t="s">
        <v>8</v>
      </c>
      <c r="B1711" s="15"/>
      <c r="C1711" s="5">
        <v>407.59999999999997</v>
      </c>
      <c r="D1711" s="5">
        <f>D1708-D1710</f>
        <v>333.5</v>
      </c>
      <c r="E1711" s="5">
        <f>E1708-E1710</f>
        <v>500.4</v>
      </c>
      <c r="F1711" s="5">
        <f>F1708-F1710</f>
        <v>500.4</v>
      </c>
      <c r="G1711" s="5">
        <f>G1708-G1710</f>
        <v>500.4</v>
      </c>
      <c r="H1711" s="5">
        <f>H1708-H1710</f>
        <v>458.7</v>
      </c>
      <c r="I1711" s="409"/>
    </row>
    <row r="1712" spans="1:9" x14ac:dyDescent="0.2">
      <c r="A1712" s="8" t="s">
        <v>9</v>
      </c>
      <c r="B1712" s="16"/>
      <c r="C1712" s="28">
        <v>2019</v>
      </c>
      <c r="D1712" s="62">
        <v>2020</v>
      </c>
      <c r="E1712" s="28">
        <v>2021</v>
      </c>
      <c r="F1712" s="29">
        <v>2022</v>
      </c>
      <c r="G1712" s="29">
        <v>2023</v>
      </c>
      <c r="H1712" s="29">
        <v>2024</v>
      </c>
      <c r="I1712" s="473">
        <v>2025</v>
      </c>
    </row>
    <row r="1713" spans="1:15" x14ac:dyDescent="0.2">
      <c r="A1713" s="8" t="s">
        <v>164</v>
      </c>
      <c r="B1713" s="9"/>
      <c r="C1713" s="9"/>
      <c r="D1713" s="9"/>
      <c r="E1713" s="9"/>
      <c r="F1713" s="9"/>
      <c r="G1713" s="9"/>
      <c r="H1713" s="7"/>
      <c r="I1713" s="412"/>
    </row>
    <row r="1714" spans="1:15" x14ac:dyDescent="0.2">
      <c r="A1714" s="10" t="s">
        <v>218</v>
      </c>
      <c r="H1714" s="12"/>
      <c r="I1714" s="413"/>
    </row>
    <row r="1715" spans="1:15" s="208" customFormat="1" ht="12.75" customHeight="1" x14ac:dyDescent="0.2">
      <c r="A1715" s="10" t="s">
        <v>219</v>
      </c>
      <c r="B1715" s="11"/>
      <c r="C1715" s="11"/>
      <c r="D1715" s="11"/>
      <c r="E1715" s="11"/>
      <c r="F1715" s="11"/>
      <c r="H1715" s="324"/>
      <c r="I1715" s="628"/>
    </row>
    <row r="1716" spans="1:15" s="208" customFormat="1" ht="12.75" customHeight="1" x14ac:dyDescent="0.2">
      <c r="A1716" s="10" t="s">
        <v>315</v>
      </c>
      <c r="B1716" s="11"/>
      <c r="C1716" s="11"/>
      <c r="D1716" s="11"/>
      <c r="E1716" s="11"/>
      <c r="F1716" s="11"/>
      <c r="H1716" s="324"/>
      <c r="I1716" s="628"/>
    </row>
    <row r="1717" spans="1:15" s="208" customFormat="1" ht="12.75" customHeight="1" x14ac:dyDescent="0.2">
      <c r="A1717" s="10" t="s">
        <v>702</v>
      </c>
      <c r="B1717" s="11"/>
      <c r="C1717" s="11"/>
      <c r="D1717" s="11"/>
      <c r="E1717" s="11"/>
      <c r="F1717" s="11"/>
      <c r="H1717" s="324"/>
      <c r="I1717" s="628"/>
    </row>
    <row r="1718" spans="1:15" s="208" customFormat="1" ht="12.75" customHeight="1" x14ac:dyDescent="0.2">
      <c r="A1718" s="10" t="s">
        <v>701</v>
      </c>
      <c r="B1718" s="11"/>
      <c r="C1718" s="11"/>
      <c r="D1718" s="11"/>
      <c r="E1718" s="11"/>
      <c r="F1718" s="11"/>
      <c r="H1718" s="324"/>
      <c r="I1718" s="628"/>
    </row>
    <row r="1719" spans="1:15" s="208" customFormat="1" x14ac:dyDescent="0.2">
      <c r="A1719" s="55" t="s">
        <v>855</v>
      </c>
      <c r="H1719" s="324"/>
      <c r="I1719" s="628"/>
    </row>
    <row r="1720" spans="1:15" s="208" customFormat="1" ht="12.75" customHeight="1" x14ac:dyDescent="0.2">
      <c r="A1720" s="415" t="s">
        <v>1081</v>
      </c>
      <c r="B1720" s="13"/>
      <c r="C1720" s="13"/>
      <c r="D1720" s="13"/>
      <c r="E1720" s="13"/>
      <c r="F1720" s="13"/>
      <c r="G1720" s="325"/>
      <c r="H1720" s="326"/>
      <c r="I1720" s="629"/>
    </row>
    <row r="1722" spans="1:15" x14ac:dyDescent="0.2">
      <c r="A1722" s="32" t="s">
        <v>14</v>
      </c>
      <c r="B1722" s="33" t="s">
        <v>66</v>
      </c>
      <c r="C1722" s="34" t="s">
        <v>15</v>
      </c>
      <c r="D1722" s="35"/>
      <c r="E1722" s="35"/>
      <c r="F1722" s="35"/>
    </row>
    <row r="1723" spans="1:15" x14ac:dyDescent="0.2">
      <c r="A1723" s="36" t="s">
        <v>16</v>
      </c>
      <c r="B1723" s="101"/>
      <c r="C1723" s="2">
        <v>2020</v>
      </c>
      <c r="D1723" s="2">
        <v>2021</v>
      </c>
      <c r="E1723" s="2">
        <v>2022</v>
      </c>
      <c r="F1723" s="2">
        <v>2023</v>
      </c>
      <c r="G1723" s="2">
        <v>2024</v>
      </c>
      <c r="H1723" s="2">
        <v>2025</v>
      </c>
      <c r="I1723" s="2">
        <v>2026</v>
      </c>
      <c r="J1723" s="2">
        <v>2027</v>
      </c>
      <c r="K1723" s="2">
        <v>2028</v>
      </c>
      <c r="L1723" s="2">
        <v>2029</v>
      </c>
      <c r="M1723" s="2">
        <v>2030</v>
      </c>
      <c r="N1723" s="2">
        <v>2031</v>
      </c>
      <c r="O1723" s="2">
        <v>2032</v>
      </c>
    </row>
    <row r="1724" spans="1:15" x14ac:dyDescent="0.2">
      <c r="A1724" s="36" t="s">
        <v>17</v>
      </c>
      <c r="B1724" s="102"/>
      <c r="C1724" s="5">
        <v>1322.73</v>
      </c>
      <c r="D1724" s="5">
        <v>1301.5663200000001</v>
      </c>
      <c r="E1724" s="5">
        <v>1312.14816</v>
      </c>
      <c r="F1724" s="5">
        <v>1312.14816</v>
      </c>
      <c r="G1724" s="5">
        <v>1312.14816</v>
      </c>
      <c r="H1724" s="5">
        <v>1312.14816</v>
      </c>
      <c r="I1724" s="5">
        <v>1312.14816</v>
      </c>
      <c r="J1724" s="5">
        <v>1312.14816</v>
      </c>
      <c r="K1724" s="5">
        <v>1312.14816</v>
      </c>
      <c r="L1724" s="5">
        <v>1312.14816</v>
      </c>
      <c r="M1724" s="5">
        <v>1312.14816</v>
      </c>
      <c r="N1724" s="5">
        <v>1312.14816</v>
      </c>
      <c r="O1724" s="5">
        <v>1312.14816</v>
      </c>
    </row>
    <row r="1725" spans="1:15" x14ac:dyDescent="0.2">
      <c r="A1725" s="36" t="s">
        <v>18</v>
      </c>
      <c r="B1725" s="102"/>
      <c r="C1725" s="5"/>
      <c r="D1725" s="5"/>
      <c r="E1725" s="5"/>
      <c r="F1725" s="5">
        <f>F1724-137.77</f>
        <v>1174.37816</v>
      </c>
      <c r="G1725" s="5">
        <f t="shared" ref="G1725:O1725" si="60">G1724-137.77</f>
        <v>1174.37816</v>
      </c>
      <c r="H1725" s="409">
        <f>H1724-137.77+F1728</f>
        <v>1173.96632</v>
      </c>
      <c r="I1725" s="5">
        <f t="shared" si="60"/>
        <v>1174.37816</v>
      </c>
      <c r="J1725" s="5">
        <f t="shared" si="60"/>
        <v>1174.37816</v>
      </c>
      <c r="K1725" s="5">
        <f t="shared" si="60"/>
        <v>1174.37816</v>
      </c>
      <c r="L1725" s="5">
        <f t="shared" si="60"/>
        <v>1174.37816</v>
      </c>
      <c r="M1725" s="5">
        <f t="shared" si="60"/>
        <v>1174.37816</v>
      </c>
      <c r="N1725" s="5">
        <f t="shared" si="60"/>
        <v>1174.37816</v>
      </c>
      <c r="O1725" s="5">
        <f t="shared" si="60"/>
        <v>1174.37816</v>
      </c>
    </row>
    <row r="1726" spans="1:15" x14ac:dyDescent="0.2">
      <c r="A1726" s="36" t="s">
        <v>19</v>
      </c>
      <c r="B1726" s="102"/>
      <c r="C1726" s="5"/>
      <c r="D1726" s="202"/>
      <c r="E1726" s="202" t="s">
        <v>531</v>
      </c>
      <c r="F1726" s="202" t="s">
        <v>531</v>
      </c>
      <c r="G1726" s="202" t="s">
        <v>531</v>
      </c>
      <c r="H1726" s="634" t="s">
        <v>1082</v>
      </c>
      <c r="I1726" s="202" t="s">
        <v>531</v>
      </c>
      <c r="J1726" s="202" t="s">
        <v>531</v>
      </c>
      <c r="K1726" s="202" t="s">
        <v>531</v>
      </c>
      <c r="L1726" s="202" t="s">
        <v>531</v>
      </c>
      <c r="M1726" s="202" t="s">
        <v>531</v>
      </c>
      <c r="N1726" s="202" t="s">
        <v>531</v>
      </c>
      <c r="O1726" s="202" t="s">
        <v>531</v>
      </c>
    </row>
    <row r="1727" spans="1:15" x14ac:dyDescent="0.2">
      <c r="A1727" s="36" t="s">
        <v>20</v>
      </c>
      <c r="B1727" s="102"/>
      <c r="C1727" s="5">
        <v>2700.5</v>
      </c>
      <c r="D1727" s="5">
        <v>702.1</v>
      </c>
      <c r="E1727" s="5">
        <v>764.67</v>
      </c>
      <c r="F1727" s="5">
        <v>1174.79</v>
      </c>
      <c r="G1727" s="5"/>
      <c r="H1727" s="5"/>
      <c r="I1727" s="5"/>
      <c r="J1727" s="5"/>
      <c r="K1727" s="5"/>
      <c r="L1727" s="5"/>
      <c r="M1727" s="5"/>
      <c r="N1727" s="5"/>
      <c r="O1727" s="5"/>
    </row>
    <row r="1728" spans="1:15" x14ac:dyDescent="0.2">
      <c r="A1728" s="36" t="s">
        <v>21</v>
      </c>
      <c r="B1728" s="203"/>
      <c r="C1728" s="5">
        <f>C1724-C1727</f>
        <v>-1377.77</v>
      </c>
      <c r="D1728" s="5">
        <f>D1724-D1727</f>
        <v>599.46632000000011</v>
      </c>
      <c r="E1728" s="5">
        <f>E1724-E1727</f>
        <v>547.47816</v>
      </c>
      <c r="F1728" s="630">
        <f>F1725-F1727</f>
        <v>-0.41183999999998377</v>
      </c>
      <c r="G1728" s="5"/>
      <c r="H1728" s="5"/>
      <c r="I1728" s="5"/>
      <c r="J1728" s="5"/>
      <c r="K1728" s="5"/>
      <c r="L1728" s="5"/>
      <c r="M1728" s="5"/>
      <c r="N1728" s="5"/>
      <c r="O1728" s="5"/>
    </row>
    <row r="1729" spans="1:15" x14ac:dyDescent="0.2">
      <c r="A1729" s="39" t="s">
        <v>22</v>
      </c>
      <c r="B1729" s="204"/>
      <c r="C1729" s="16">
        <v>2022</v>
      </c>
      <c r="D1729" s="16">
        <v>2023</v>
      </c>
      <c r="E1729" s="16"/>
      <c r="F1729" s="16"/>
      <c r="G1729" s="16"/>
      <c r="H1729" s="16"/>
      <c r="I1729" s="16"/>
      <c r="J1729" s="16"/>
      <c r="K1729" s="16"/>
      <c r="L1729" s="16"/>
      <c r="M1729" s="16"/>
      <c r="N1729" s="16"/>
      <c r="O1729" s="16"/>
    </row>
    <row r="1730" spans="1:15" ht="12.75" customHeight="1" x14ac:dyDescent="0.2">
      <c r="A1730" s="205" t="s">
        <v>564</v>
      </c>
      <c r="B1730" s="206"/>
      <c r="C1730" s="206"/>
      <c r="D1730" s="206"/>
      <c r="E1730" s="206"/>
      <c r="F1730" s="206"/>
      <c r="G1730" s="206"/>
      <c r="H1730" s="206"/>
      <c r="I1730" s="206"/>
      <c r="J1730" s="206"/>
      <c r="K1730" s="206"/>
      <c r="L1730" s="206"/>
      <c r="M1730" s="206"/>
      <c r="N1730" s="206"/>
      <c r="O1730" s="207"/>
    </row>
    <row r="1731" spans="1:15" ht="12.75" customHeight="1" x14ac:dyDescent="0.2">
      <c r="A1731" s="631" t="s">
        <v>943</v>
      </c>
      <c r="B1731" s="632"/>
      <c r="C1731" s="632"/>
      <c r="D1731" s="632"/>
      <c r="E1731" s="632"/>
      <c r="F1731" s="632"/>
      <c r="G1731" s="632"/>
      <c r="H1731" s="632"/>
      <c r="I1731" s="632"/>
      <c r="J1731" s="632"/>
      <c r="K1731" s="632"/>
      <c r="L1731" s="632"/>
      <c r="M1731" s="632"/>
      <c r="N1731" s="632"/>
      <c r="O1731" s="633"/>
    </row>
    <row r="1732" spans="1:15" x14ac:dyDescent="0.2">
      <c r="A1732" s="415" t="s">
        <v>1083</v>
      </c>
      <c r="B1732" s="13"/>
      <c r="C1732" s="13"/>
      <c r="D1732" s="13"/>
      <c r="E1732" s="13"/>
      <c r="F1732" s="13"/>
      <c r="G1732" s="13"/>
      <c r="H1732" s="13"/>
      <c r="I1732" s="13"/>
      <c r="J1732" s="13"/>
      <c r="K1732" s="13"/>
      <c r="L1732" s="13"/>
      <c r="M1732" s="13"/>
      <c r="N1732" s="13"/>
      <c r="O1732" s="14"/>
    </row>
    <row r="1733" spans="1:15" x14ac:dyDescent="0.2">
      <c r="C1733" s="208"/>
    </row>
    <row r="1735" spans="1:15" x14ac:dyDescent="0.2">
      <c r="A1735" s="288" t="s">
        <v>204</v>
      </c>
      <c r="B1735" s="283" t="s">
        <v>205</v>
      </c>
    </row>
    <row r="1736" spans="1:15" x14ac:dyDescent="0.2">
      <c r="A1736" s="43" t="s">
        <v>203</v>
      </c>
      <c r="B1736" s="56" t="s">
        <v>639</v>
      </c>
      <c r="C1736" s="45" t="s">
        <v>15</v>
      </c>
    </row>
    <row r="1737" spans="1:15" x14ac:dyDescent="0.2">
      <c r="A1737" s="15" t="s">
        <v>16</v>
      </c>
      <c r="B1737" s="15"/>
      <c r="C1737" s="15"/>
      <c r="D1737" s="2">
        <v>2018</v>
      </c>
      <c r="E1737" s="2">
        <v>2019</v>
      </c>
      <c r="F1737" s="2">
        <v>2020</v>
      </c>
      <c r="G1737" s="2">
        <v>2021</v>
      </c>
      <c r="H1737" s="2">
        <v>2022</v>
      </c>
      <c r="I1737" s="2">
        <v>2023</v>
      </c>
      <c r="J1737" s="468">
        <v>2024</v>
      </c>
      <c r="K1737" s="468">
        <v>2025</v>
      </c>
    </row>
    <row r="1738" spans="1:15" x14ac:dyDescent="0.2">
      <c r="A1738" s="15" t="s">
        <v>17</v>
      </c>
      <c r="B1738" s="5"/>
      <c r="C1738" s="5"/>
      <c r="D1738" s="5">
        <v>4400</v>
      </c>
      <c r="E1738" s="5">
        <v>4400</v>
      </c>
      <c r="F1738" s="5">
        <v>4400</v>
      </c>
      <c r="G1738" s="5">
        <v>4400</v>
      </c>
      <c r="H1738" s="5">
        <v>4400</v>
      </c>
      <c r="I1738" s="5">
        <v>5280</v>
      </c>
      <c r="J1738" s="409">
        <v>5280</v>
      </c>
      <c r="K1738" s="409">
        <v>5280</v>
      </c>
    </row>
    <row r="1739" spans="1:15" x14ac:dyDescent="0.2">
      <c r="A1739" s="15" t="s">
        <v>18</v>
      </c>
      <c r="B1739" s="5"/>
      <c r="C1739" s="5"/>
      <c r="D1739" s="5">
        <v>5500</v>
      </c>
      <c r="E1739" s="5">
        <f>E1738*1.25-900</f>
        <v>4600</v>
      </c>
      <c r="F1739" s="5">
        <f>F1738*1.25-600</f>
        <v>4900</v>
      </c>
      <c r="G1739" s="5">
        <f>G1738+E1742</f>
        <v>4597.134</v>
      </c>
      <c r="H1739" s="5">
        <f>H1738+F1742</f>
        <v>5274.0761000000002</v>
      </c>
      <c r="I1739" s="5">
        <f>I1738+G1742-100</f>
        <v>5854.6139999999996</v>
      </c>
      <c r="J1739" s="409">
        <f>J1738+0-100</f>
        <v>5180</v>
      </c>
      <c r="K1739" s="409">
        <f>1.25*I1738-100</f>
        <v>6500</v>
      </c>
      <c r="L1739" s="11">
        <f>0.25*I1738</f>
        <v>1320</v>
      </c>
    </row>
    <row r="1740" spans="1:15" x14ac:dyDescent="0.2">
      <c r="A1740" s="46" t="s">
        <v>19</v>
      </c>
      <c r="B1740" s="145"/>
      <c r="C1740" s="5"/>
      <c r="D1740" s="5"/>
      <c r="E1740" s="5"/>
      <c r="F1740" s="5"/>
      <c r="G1740" s="5"/>
      <c r="H1740" s="5"/>
      <c r="I1740" s="5"/>
      <c r="J1740" s="409"/>
      <c r="K1740" s="409"/>
    </row>
    <row r="1741" spans="1:15" x14ac:dyDescent="0.2">
      <c r="A1741" s="46" t="s">
        <v>20</v>
      </c>
      <c r="B1741" s="5"/>
      <c r="C1741" s="5"/>
      <c r="D1741" s="5">
        <v>2572.5</v>
      </c>
      <c r="E1741" s="5">
        <v>4402.866</v>
      </c>
      <c r="F1741" s="5">
        <v>4025.9238999999998</v>
      </c>
      <c r="G1741" s="5">
        <v>3922.52</v>
      </c>
      <c r="H1741" s="5">
        <v>5586.99</v>
      </c>
      <c r="I1741" s="5">
        <v>2670.4437000000003</v>
      </c>
      <c r="J1741" s="409"/>
      <c r="K1741" s="409"/>
    </row>
    <row r="1742" spans="1:15" x14ac:dyDescent="0.2">
      <c r="A1742" s="46" t="s">
        <v>21</v>
      </c>
      <c r="B1742" s="5"/>
      <c r="C1742" s="5"/>
      <c r="D1742" s="5">
        <f t="shared" ref="D1742:I1742" si="61">D1739-D1741</f>
        <v>2927.5</v>
      </c>
      <c r="E1742" s="5">
        <f t="shared" si="61"/>
        <v>197.13400000000001</v>
      </c>
      <c r="F1742" s="5">
        <f t="shared" si="61"/>
        <v>874.07610000000022</v>
      </c>
      <c r="G1742" s="5">
        <f t="shared" si="61"/>
        <v>674.61400000000003</v>
      </c>
      <c r="H1742" s="5">
        <f t="shared" si="61"/>
        <v>-312.91389999999956</v>
      </c>
      <c r="I1742" s="5">
        <f t="shared" si="61"/>
        <v>3184.1702999999993</v>
      </c>
      <c r="J1742" s="409"/>
      <c r="K1742" s="409"/>
    </row>
    <row r="1743" spans="1:15" x14ac:dyDescent="0.2">
      <c r="A1743" s="8" t="s">
        <v>22</v>
      </c>
      <c r="B1743" s="16"/>
      <c r="C1743" s="16"/>
      <c r="D1743" s="28">
        <v>2020</v>
      </c>
      <c r="E1743" s="28">
        <v>2021</v>
      </c>
      <c r="F1743" s="28">
        <v>2022</v>
      </c>
      <c r="G1743" s="28">
        <v>2023</v>
      </c>
      <c r="H1743" s="28">
        <v>2024</v>
      </c>
      <c r="I1743" s="28">
        <v>2025</v>
      </c>
      <c r="J1743" s="467">
        <v>2026</v>
      </c>
      <c r="K1743" s="467">
        <v>2027</v>
      </c>
    </row>
    <row r="1744" spans="1:15" x14ac:dyDescent="0.2">
      <c r="A1744" s="8" t="s">
        <v>23</v>
      </c>
      <c r="B1744" s="9"/>
      <c r="C1744" s="9"/>
      <c r="D1744" s="62"/>
      <c r="E1744" s="62"/>
      <c r="F1744" s="62"/>
      <c r="G1744" s="29"/>
      <c r="H1744" s="29"/>
      <c r="I1744" s="29"/>
      <c r="J1744" s="473"/>
      <c r="K1744" s="473"/>
    </row>
    <row r="1745" spans="1:11" x14ac:dyDescent="0.2">
      <c r="A1745" s="8" t="s">
        <v>115</v>
      </c>
      <c r="B1745" s="9"/>
      <c r="C1745" s="9"/>
      <c r="D1745" s="9"/>
      <c r="E1745" s="9"/>
      <c r="F1745" s="9"/>
      <c r="G1745" s="9"/>
      <c r="H1745" s="9"/>
      <c r="I1745" s="9"/>
      <c r="J1745" s="411"/>
      <c r="K1745" s="412"/>
    </row>
    <row r="1746" spans="1:11" x14ac:dyDescent="0.2">
      <c r="A1746" s="10" t="s">
        <v>326</v>
      </c>
      <c r="J1746" s="329"/>
      <c r="K1746" s="413"/>
    </row>
    <row r="1747" spans="1:11" x14ac:dyDescent="0.2">
      <c r="A1747" s="10" t="s">
        <v>327</v>
      </c>
      <c r="J1747" s="329"/>
      <c r="K1747" s="413"/>
    </row>
    <row r="1748" spans="1:11" x14ac:dyDescent="0.2">
      <c r="A1748" s="10" t="s">
        <v>466</v>
      </c>
      <c r="J1748" s="329"/>
      <c r="K1748" s="413"/>
    </row>
    <row r="1749" spans="1:11" x14ac:dyDescent="0.2">
      <c r="A1749" s="10" t="s">
        <v>915</v>
      </c>
      <c r="J1749" s="329"/>
      <c r="K1749" s="413"/>
    </row>
    <row r="1750" spans="1:11" x14ac:dyDescent="0.2">
      <c r="A1750" s="10" t="s">
        <v>825</v>
      </c>
      <c r="J1750" s="329"/>
      <c r="K1750" s="413"/>
    </row>
    <row r="1751" spans="1:11" x14ac:dyDescent="0.2">
      <c r="A1751" s="414" t="s">
        <v>1084</v>
      </c>
      <c r="J1751" s="329"/>
      <c r="K1751" s="413"/>
    </row>
    <row r="1752" spans="1:11" x14ac:dyDescent="0.2">
      <c r="A1752" s="415" t="s">
        <v>1085</v>
      </c>
      <c r="B1752" s="13"/>
      <c r="C1752" s="13"/>
      <c r="D1752" s="13"/>
      <c r="E1752" s="13"/>
      <c r="F1752" s="13"/>
      <c r="G1752" s="13"/>
      <c r="H1752" s="13"/>
      <c r="I1752" s="13"/>
      <c r="J1752" s="331"/>
      <c r="K1752" s="333"/>
    </row>
    <row r="1754" spans="1:11" x14ac:dyDescent="0.2">
      <c r="A1754" s="43" t="s">
        <v>203</v>
      </c>
      <c r="B1754" s="56" t="s">
        <v>642</v>
      </c>
      <c r="C1754" s="45" t="s">
        <v>15</v>
      </c>
    </row>
    <row r="1755" spans="1:11" x14ac:dyDescent="0.2">
      <c r="A1755" s="15" t="s">
        <v>16</v>
      </c>
      <c r="B1755" s="15"/>
      <c r="C1755" s="2">
        <v>2016</v>
      </c>
      <c r="D1755" s="2">
        <v>2017</v>
      </c>
      <c r="E1755" s="2">
        <v>2018</v>
      </c>
      <c r="F1755" s="2">
        <v>2019</v>
      </c>
      <c r="G1755" s="2">
        <v>2020</v>
      </c>
      <c r="H1755" s="2">
        <v>2021</v>
      </c>
      <c r="I1755" s="2">
        <v>2022</v>
      </c>
      <c r="J1755" s="2">
        <v>2023</v>
      </c>
      <c r="K1755" s="468">
        <v>2024</v>
      </c>
    </row>
    <row r="1756" spans="1:11" x14ac:dyDescent="0.2">
      <c r="A1756" s="15" t="s">
        <v>17</v>
      </c>
      <c r="B1756" s="5"/>
      <c r="C1756" s="5">
        <v>1001</v>
      </c>
      <c r="D1756" s="5">
        <v>1001</v>
      </c>
      <c r="E1756" s="5">
        <v>1001</v>
      </c>
      <c r="F1756" s="5">
        <v>1001</v>
      </c>
      <c r="G1756" s="5">
        <v>1001</v>
      </c>
      <c r="H1756" s="5">
        <v>1001</v>
      </c>
      <c r="I1756" s="5">
        <v>1001</v>
      </c>
      <c r="J1756" s="5">
        <v>1001</v>
      </c>
      <c r="K1756" s="409">
        <v>1001</v>
      </c>
    </row>
    <row r="1757" spans="1:11" x14ac:dyDescent="0.2">
      <c r="A1757" s="15" t="s">
        <v>18</v>
      </c>
      <c r="B1757" s="5"/>
      <c r="C1757" s="5">
        <f>C1756*1.3-50</f>
        <v>1251.3</v>
      </c>
      <c r="D1757" s="5">
        <f>D1756*1.3-50</f>
        <v>1251.3</v>
      </c>
      <c r="E1757" s="5">
        <f>E1756*1.2-50</f>
        <v>1151.2</v>
      </c>
      <c r="F1757" s="5">
        <f>F1756*1.2-50</f>
        <v>1151.2</v>
      </c>
      <c r="G1757" s="5">
        <f>G1756*1.2-50</f>
        <v>1151.2</v>
      </c>
      <c r="H1757" s="409">
        <f>H1756*1.2-50</f>
        <v>1151.2</v>
      </c>
      <c r="I1757" s="409">
        <f>I1756*1.2-50</f>
        <v>1151.2</v>
      </c>
      <c r="J1757" s="409">
        <f>J1756*1.1-50</f>
        <v>1051.1000000000001</v>
      </c>
      <c r="K1757" s="409">
        <f>K1756*1.1</f>
        <v>1101.1000000000001</v>
      </c>
    </row>
    <row r="1758" spans="1:11" x14ac:dyDescent="0.2">
      <c r="A1758" s="46" t="s">
        <v>19</v>
      </c>
      <c r="B1758" s="145"/>
      <c r="C1758" s="193" t="s">
        <v>467</v>
      </c>
      <c r="D1758" s="193" t="s">
        <v>467</v>
      </c>
      <c r="E1758" s="193" t="s">
        <v>468</v>
      </c>
      <c r="F1758" s="193" t="s">
        <v>468</v>
      </c>
      <c r="G1758" s="193" t="s">
        <v>468</v>
      </c>
      <c r="H1758" s="626" t="s">
        <v>468</v>
      </c>
      <c r="I1758" s="626" t="s">
        <v>468</v>
      </c>
      <c r="J1758" s="626" t="s">
        <v>1087</v>
      </c>
      <c r="K1758" s="626" t="s">
        <v>1087</v>
      </c>
    </row>
    <row r="1759" spans="1:11" x14ac:dyDescent="0.2">
      <c r="A1759" s="46" t="s">
        <v>20</v>
      </c>
      <c r="B1759" s="5"/>
      <c r="C1759" s="5">
        <v>124.4</v>
      </c>
      <c r="D1759" s="5">
        <v>159</v>
      </c>
      <c r="E1759" s="5">
        <v>188.7</v>
      </c>
      <c r="F1759" s="5">
        <v>288.56359999999995</v>
      </c>
      <c r="G1759" s="5">
        <v>149.46553</v>
      </c>
      <c r="H1759" s="15">
        <v>228.99</v>
      </c>
      <c r="I1759" s="15">
        <v>160.58000000000001</v>
      </c>
      <c r="J1759" s="15">
        <v>291.24200000000002</v>
      </c>
      <c r="K1759" s="408"/>
    </row>
    <row r="1760" spans="1:11" x14ac:dyDescent="0.2">
      <c r="A1760" s="46" t="s">
        <v>21</v>
      </c>
      <c r="B1760" s="5"/>
      <c r="C1760" s="5">
        <f t="shared" ref="C1760:J1760" si="62">C1757-C1759</f>
        <v>1126.8999999999999</v>
      </c>
      <c r="D1760" s="5">
        <f t="shared" si="62"/>
        <v>1092.3</v>
      </c>
      <c r="E1760" s="5">
        <f t="shared" si="62"/>
        <v>962.5</v>
      </c>
      <c r="F1760" s="5">
        <f t="shared" si="62"/>
        <v>862.63640000000009</v>
      </c>
      <c r="G1760" s="5">
        <f t="shared" si="62"/>
        <v>1001.7344700000001</v>
      </c>
      <c r="H1760" s="409">
        <f t="shared" si="62"/>
        <v>922.21</v>
      </c>
      <c r="I1760" s="409">
        <f t="shared" si="62"/>
        <v>990.62</v>
      </c>
      <c r="J1760" s="5">
        <f t="shared" si="62"/>
        <v>759.85800000000017</v>
      </c>
      <c r="K1760" s="409"/>
    </row>
    <row r="1761" spans="1:11" x14ac:dyDescent="0.2">
      <c r="A1761" s="8" t="s">
        <v>22</v>
      </c>
      <c r="B1761" s="16"/>
      <c r="C1761" s="28">
        <v>2018</v>
      </c>
      <c r="D1761" s="28">
        <v>2019</v>
      </c>
      <c r="E1761" s="28">
        <v>2020</v>
      </c>
      <c r="F1761" s="28">
        <v>2021</v>
      </c>
      <c r="G1761" s="28">
        <v>2022</v>
      </c>
      <c r="H1761" s="28">
        <v>2023</v>
      </c>
      <c r="I1761" s="28">
        <v>2024</v>
      </c>
      <c r="J1761" s="28">
        <v>2025</v>
      </c>
      <c r="K1761" s="467">
        <v>2026</v>
      </c>
    </row>
    <row r="1762" spans="1:11" x14ac:dyDescent="0.2">
      <c r="A1762" s="16" t="s">
        <v>23</v>
      </c>
      <c r="B1762" s="8"/>
      <c r="C1762" s="9"/>
      <c r="D1762" s="9"/>
      <c r="E1762" s="9"/>
      <c r="F1762" s="9"/>
      <c r="G1762" s="9"/>
      <c r="H1762" s="7"/>
      <c r="I1762" s="7"/>
      <c r="J1762" s="7"/>
      <c r="K1762" s="412"/>
    </row>
    <row r="1763" spans="1:11" x14ac:dyDescent="0.2">
      <c r="A1763" s="195" t="s">
        <v>455</v>
      </c>
      <c r="B1763" s="196"/>
      <c r="C1763" s="196"/>
      <c r="D1763" s="196"/>
      <c r="E1763" s="196"/>
      <c r="F1763" s="41"/>
      <c r="G1763" s="41"/>
      <c r="H1763" s="9"/>
      <c r="I1763" s="9"/>
      <c r="J1763" s="7"/>
      <c r="K1763" s="412"/>
    </row>
    <row r="1764" spans="1:11" x14ac:dyDescent="0.2">
      <c r="A1764" s="10" t="s">
        <v>454</v>
      </c>
      <c r="J1764" s="12"/>
      <c r="K1764" s="413"/>
    </row>
    <row r="1765" spans="1:11" x14ac:dyDescent="0.2">
      <c r="A1765" s="414" t="s">
        <v>844</v>
      </c>
      <c r="J1765" s="12"/>
      <c r="K1765" s="413"/>
    </row>
    <row r="1766" spans="1:11" x14ac:dyDescent="0.2">
      <c r="A1766" s="415" t="s">
        <v>1086</v>
      </c>
      <c r="B1766" s="13"/>
      <c r="C1766" s="13"/>
      <c r="D1766" s="13"/>
      <c r="E1766" s="13"/>
      <c r="F1766" s="13"/>
      <c r="G1766" s="13"/>
      <c r="H1766" s="13"/>
      <c r="I1766" s="13"/>
      <c r="J1766" s="14"/>
      <c r="K1766" s="333"/>
    </row>
    <row r="1769" spans="1:11" x14ac:dyDescent="0.2">
      <c r="A1769" s="288" t="s">
        <v>12</v>
      </c>
      <c r="B1769" s="283" t="s">
        <v>13</v>
      </c>
    </row>
    <row r="1770" spans="1:11" x14ac:dyDescent="0.2">
      <c r="A1770" s="43" t="s">
        <v>14</v>
      </c>
      <c r="B1770" s="56" t="s">
        <v>643</v>
      </c>
      <c r="C1770" s="45" t="s">
        <v>15</v>
      </c>
    </row>
    <row r="1771" spans="1:11" x14ac:dyDescent="0.2">
      <c r="A1771" s="46" t="s">
        <v>16</v>
      </c>
      <c r="B1771" s="15"/>
      <c r="C1771" s="398">
        <v>2016</v>
      </c>
      <c r="D1771" s="399">
        <v>2017</v>
      </c>
      <c r="E1771" s="398">
        <v>2018</v>
      </c>
      <c r="F1771" s="400">
        <v>2019</v>
      </c>
      <c r="G1771" s="400">
        <v>2020</v>
      </c>
      <c r="H1771" s="400">
        <v>2021</v>
      </c>
      <c r="I1771" s="400">
        <v>2022</v>
      </c>
      <c r="J1771" s="426">
        <v>2023</v>
      </c>
      <c r="K1771" s="426">
        <v>2024</v>
      </c>
    </row>
    <row r="1772" spans="1:11" x14ac:dyDescent="0.2">
      <c r="A1772" s="46" t="s">
        <v>17</v>
      </c>
      <c r="B1772" s="15"/>
      <c r="C1772" s="5">
        <v>47.4</v>
      </c>
      <c r="D1772" s="65">
        <v>56.91</v>
      </c>
      <c r="E1772" s="5">
        <v>66</v>
      </c>
      <c r="F1772" s="66">
        <v>73</v>
      </c>
      <c r="G1772" s="66">
        <v>80</v>
      </c>
      <c r="H1772" s="66">
        <v>80</v>
      </c>
      <c r="I1772" s="66">
        <v>80</v>
      </c>
      <c r="J1772" s="427">
        <v>129</v>
      </c>
      <c r="K1772" s="427">
        <v>129</v>
      </c>
    </row>
    <row r="1773" spans="1:11" x14ac:dyDescent="0.2">
      <c r="A1773" s="46" t="s">
        <v>18</v>
      </c>
      <c r="B1773" s="15"/>
      <c r="C1773" s="5">
        <v>47.4</v>
      </c>
      <c r="D1773" s="65">
        <v>56.91</v>
      </c>
      <c r="E1773" s="5">
        <v>66</v>
      </c>
      <c r="F1773" s="66">
        <v>73</v>
      </c>
      <c r="G1773" s="66">
        <v>80</v>
      </c>
      <c r="H1773" s="66">
        <v>0.8</v>
      </c>
      <c r="I1773" s="66">
        <v>80</v>
      </c>
      <c r="J1773" s="427">
        <v>1</v>
      </c>
      <c r="K1773" s="427">
        <v>1</v>
      </c>
    </row>
    <row r="1774" spans="1:11" x14ac:dyDescent="0.2">
      <c r="A1774" s="46" t="s">
        <v>19</v>
      </c>
      <c r="B1774" s="15"/>
      <c r="C1774" s="5"/>
      <c r="D1774" s="65"/>
      <c r="E1774" s="5"/>
      <c r="F1774" s="66"/>
      <c r="G1774" s="66"/>
      <c r="H1774" s="459" t="s">
        <v>543</v>
      </c>
      <c r="I1774" s="459"/>
      <c r="J1774" s="460" t="s">
        <v>544</v>
      </c>
      <c r="K1774" s="460" t="s">
        <v>545</v>
      </c>
    </row>
    <row r="1775" spans="1:11" x14ac:dyDescent="0.2">
      <c r="A1775" s="46" t="s">
        <v>20</v>
      </c>
      <c r="B1775" s="15"/>
      <c r="C1775" s="5">
        <v>47.393000000000001</v>
      </c>
      <c r="D1775" s="65">
        <v>56.905999999999999</v>
      </c>
      <c r="E1775" s="5">
        <v>66</v>
      </c>
      <c r="F1775" s="66">
        <v>71.97</v>
      </c>
      <c r="G1775" s="66">
        <v>79.2</v>
      </c>
      <c r="H1775" s="66"/>
      <c r="I1775" s="66">
        <v>79.2</v>
      </c>
      <c r="J1775" s="427"/>
      <c r="K1775" s="427"/>
    </row>
    <row r="1776" spans="1:11" x14ac:dyDescent="0.2">
      <c r="A1776" s="46" t="s">
        <v>21</v>
      </c>
      <c r="B1776" s="15"/>
      <c r="C1776" s="5">
        <f>C1773-C1775</f>
        <v>6.9999999999978968E-3</v>
      </c>
      <c r="D1776" s="5">
        <f>D1773-D1775</f>
        <v>3.9999999999977831E-3</v>
      </c>
      <c r="E1776" s="5">
        <f>E1773-E1775</f>
        <v>0</v>
      </c>
      <c r="F1776" s="5">
        <f>F1773-F1775</f>
        <v>1.0300000000000011</v>
      </c>
      <c r="G1776" s="66">
        <f>G1773-G1775</f>
        <v>0.79999999999999716</v>
      </c>
      <c r="H1776" s="66"/>
      <c r="I1776" s="66">
        <v>0.79999999999999716</v>
      </c>
      <c r="J1776" s="427"/>
      <c r="K1776" s="427"/>
    </row>
    <row r="1777" spans="1:12" x14ac:dyDescent="0.2">
      <c r="A1777" s="8" t="s">
        <v>22</v>
      </c>
      <c r="B1777" s="16"/>
      <c r="C1777" s="16"/>
      <c r="D1777" s="9"/>
      <c r="E1777" s="16"/>
      <c r="F1777" s="7"/>
      <c r="G1777" s="16"/>
      <c r="H1777" s="16"/>
      <c r="I1777" s="16"/>
      <c r="J1777" s="421"/>
      <c r="K1777" s="421"/>
    </row>
    <row r="1778" spans="1:12" x14ac:dyDescent="0.2">
      <c r="A1778" s="8" t="s">
        <v>23</v>
      </c>
      <c r="B1778" s="9"/>
      <c r="C1778" s="9"/>
      <c r="D1778" s="9"/>
      <c r="E1778" s="9"/>
      <c r="F1778" s="9"/>
      <c r="G1778" s="9"/>
      <c r="H1778" s="9"/>
      <c r="I1778" s="7"/>
      <c r="J1778" s="412"/>
      <c r="K1778" s="412"/>
    </row>
    <row r="1779" spans="1:12" x14ac:dyDescent="0.2">
      <c r="A1779" s="8" t="s">
        <v>964</v>
      </c>
      <c r="B1779" s="9"/>
      <c r="C1779" s="9"/>
      <c r="D1779" s="9"/>
      <c r="E1779" s="9"/>
      <c r="F1779" s="9"/>
      <c r="G1779" s="9"/>
      <c r="H1779" s="9"/>
      <c r="I1779" s="9"/>
      <c r="J1779" s="411"/>
      <c r="K1779" s="7"/>
    </row>
    <row r="1780" spans="1:12" x14ac:dyDescent="0.2">
      <c r="A1780" s="414" t="s">
        <v>965</v>
      </c>
      <c r="J1780" s="329"/>
      <c r="K1780" s="12"/>
    </row>
    <row r="1781" spans="1:12" x14ac:dyDescent="0.2">
      <c r="A1781" s="415" t="s">
        <v>966</v>
      </c>
      <c r="B1781" s="13"/>
      <c r="C1781" s="13"/>
      <c r="D1781" s="13"/>
      <c r="E1781" s="13"/>
      <c r="F1781" s="13"/>
      <c r="G1781" s="13"/>
      <c r="H1781" s="13"/>
      <c r="I1781" s="13"/>
      <c r="J1781" s="331"/>
      <c r="K1781" s="14"/>
    </row>
    <row r="1784" spans="1:12" x14ac:dyDescent="0.2">
      <c r="A1784" s="288" t="s">
        <v>12</v>
      </c>
      <c r="B1784" s="283" t="s">
        <v>172</v>
      </c>
    </row>
    <row r="1785" spans="1:12" x14ac:dyDescent="0.2">
      <c r="A1785" s="43" t="s">
        <v>14</v>
      </c>
      <c r="B1785" s="401" t="s">
        <v>624</v>
      </c>
      <c r="C1785" s="210" t="s">
        <v>15</v>
      </c>
    </row>
    <row r="1786" spans="1:12" x14ac:dyDescent="0.2">
      <c r="A1786" s="46" t="s">
        <v>16</v>
      </c>
      <c r="B1786" s="15"/>
      <c r="C1786" s="15"/>
      <c r="D1786" s="15"/>
      <c r="E1786" s="15"/>
      <c r="F1786" s="2">
        <v>2018</v>
      </c>
      <c r="G1786" s="2">
        <v>2019</v>
      </c>
      <c r="H1786" s="2">
        <v>2020</v>
      </c>
      <c r="I1786" s="2">
        <v>2021</v>
      </c>
      <c r="J1786" s="2">
        <v>2022</v>
      </c>
      <c r="K1786" s="2">
        <v>2023</v>
      </c>
      <c r="L1786" s="468">
        <v>2024</v>
      </c>
    </row>
    <row r="1787" spans="1:12" x14ac:dyDescent="0.2">
      <c r="A1787" s="46" t="s">
        <v>17</v>
      </c>
      <c r="B1787" s="15"/>
      <c r="C1787" s="5"/>
      <c r="D1787" s="5"/>
      <c r="E1787" s="5"/>
      <c r="F1787" s="5">
        <v>125</v>
      </c>
      <c r="G1787" s="5">
        <v>125</v>
      </c>
      <c r="H1787" s="5">
        <v>125</v>
      </c>
      <c r="I1787" s="5">
        <v>125</v>
      </c>
      <c r="J1787" s="5">
        <v>125</v>
      </c>
      <c r="K1787" s="5">
        <v>125</v>
      </c>
      <c r="L1787" s="409">
        <v>125</v>
      </c>
    </row>
    <row r="1788" spans="1:12" x14ac:dyDescent="0.2">
      <c r="A1788" s="46" t="s">
        <v>18</v>
      </c>
      <c r="B1788" s="15"/>
      <c r="C1788" s="5"/>
      <c r="D1788" s="5"/>
      <c r="E1788" s="5"/>
      <c r="F1788" s="5">
        <v>100</v>
      </c>
      <c r="G1788" s="5">
        <v>100</v>
      </c>
      <c r="H1788" s="5">
        <f>H1787*1.4-100</f>
        <v>75</v>
      </c>
      <c r="I1788" s="5">
        <v>75</v>
      </c>
      <c r="J1788" s="5">
        <v>75</v>
      </c>
      <c r="K1788" s="5">
        <v>75</v>
      </c>
      <c r="L1788" s="409">
        <v>75</v>
      </c>
    </row>
    <row r="1789" spans="1:12" x14ac:dyDescent="0.2">
      <c r="A1789" s="46" t="s">
        <v>19</v>
      </c>
      <c r="B1789" s="15"/>
      <c r="C1789" s="5"/>
      <c r="D1789" s="5"/>
      <c r="E1789" s="5"/>
      <c r="F1789" s="5">
        <f>F1787*1.4-(75)</f>
        <v>100</v>
      </c>
      <c r="G1789" s="5">
        <f>G1787*1.4-(75)</f>
        <v>100</v>
      </c>
      <c r="H1789" s="5">
        <v>75</v>
      </c>
      <c r="I1789" s="5">
        <v>75</v>
      </c>
      <c r="J1789" s="5">
        <v>75</v>
      </c>
      <c r="K1789" s="5">
        <v>75</v>
      </c>
      <c r="L1789" s="409">
        <f>L1787+0.4*K1787-75-25</f>
        <v>75</v>
      </c>
    </row>
    <row r="1790" spans="1:12" x14ac:dyDescent="0.2">
      <c r="A1790" s="46" t="s">
        <v>20</v>
      </c>
      <c r="B1790" s="15"/>
      <c r="C1790" s="5"/>
      <c r="D1790" s="5"/>
      <c r="E1790" s="5"/>
      <c r="F1790" s="5">
        <v>3</v>
      </c>
      <c r="G1790" s="5">
        <v>5.91</v>
      </c>
      <c r="H1790" s="5">
        <v>7.76</v>
      </c>
      <c r="I1790" s="5">
        <v>6.2</v>
      </c>
      <c r="J1790" s="5">
        <v>6.06</v>
      </c>
      <c r="K1790" s="5">
        <v>0.95</v>
      </c>
      <c r="L1790" s="409"/>
    </row>
    <row r="1791" spans="1:12" x14ac:dyDescent="0.2">
      <c r="A1791" s="46" t="s">
        <v>21</v>
      </c>
      <c r="B1791" s="15"/>
      <c r="C1791" s="5"/>
      <c r="D1791" s="5"/>
      <c r="E1791" s="5"/>
      <c r="F1791" s="5">
        <f>F1788-F1790</f>
        <v>97</v>
      </c>
      <c r="G1791" s="5">
        <f>G1788-G1790</f>
        <v>94.09</v>
      </c>
      <c r="H1791" s="5">
        <v>67.239999999999995</v>
      </c>
      <c r="I1791" s="5">
        <f>I1788-I1790</f>
        <v>68.8</v>
      </c>
      <c r="J1791" s="5">
        <f>J1788-J1790</f>
        <v>68.94</v>
      </c>
      <c r="K1791" s="5">
        <f>K1788-K1790</f>
        <v>74.05</v>
      </c>
      <c r="L1791" s="409"/>
    </row>
    <row r="1792" spans="1:12" x14ac:dyDescent="0.2">
      <c r="A1792" s="8" t="s">
        <v>22</v>
      </c>
      <c r="B1792" s="16"/>
      <c r="C1792" s="16"/>
      <c r="D1792" s="16"/>
      <c r="E1792" s="16"/>
      <c r="F1792" s="28">
        <v>2019</v>
      </c>
      <c r="G1792" s="28">
        <v>2020</v>
      </c>
      <c r="H1792" s="28">
        <v>2021</v>
      </c>
      <c r="I1792" s="28">
        <v>2022</v>
      </c>
      <c r="J1792" s="28">
        <v>2023</v>
      </c>
      <c r="K1792" s="28">
        <v>2024</v>
      </c>
      <c r="L1792" s="467">
        <v>2025</v>
      </c>
    </row>
    <row r="1793" spans="1:12" ht="25.9" customHeight="1" x14ac:dyDescent="0.2">
      <c r="A1793" s="345" t="s">
        <v>664</v>
      </c>
      <c r="B1793" s="152"/>
      <c r="C1793" s="152"/>
      <c r="D1793" s="152"/>
      <c r="E1793" s="152"/>
      <c r="F1793" s="152"/>
      <c r="G1793" s="152"/>
      <c r="H1793" s="152"/>
      <c r="I1793" s="152"/>
      <c r="J1793" s="9"/>
      <c r="K1793" s="9"/>
      <c r="L1793" s="412"/>
    </row>
    <row r="1794" spans="1:12" ht="34.15" customHeight="1" x14ac:dyDescent="0.2">
      <c r="A1794" s="55" t="s">
        <v>260</v>
      </c>
      <c r="B1794" s="141"/>
      <c r="C1794" s="141"/>
      <c r="D1794" s="141"/>
      <c r="E1794" s="141"/>
      <c r="F1794" s="141"/>
      <c r="G1794" s="141"/>
      <c r="H1794" s="141"/>
      <c r="I1794" s="141"/>
      <c r="L1794" s="413"/>
    </row>
    <row r="1795" spans="1:12" ht="27.6" customHeight="1" x14ac:dyDescent="0.2">
      <c r="A1795" s="55" t="s">
        <v>521</v>
      </c>
      <c r="B1795" s="141"/>
      <c r="C1795" s="141"/>
      <c r="D1795" s="141"/>
      <c r="E1795" s="141"/>
      <c r="F1795" s="141"/>
      <c r="G1795" s="141"/>
      <c r="H1795" s="141"/>
      <c r="I1795" s="141"/>
      <c r="L1795" s="413"/>
    </row>
    <row r="1796" spans="1:12" ht="27.6" customHeight="1" x14ac:dyDescent="0.2">
      <c r="A1796" s="55" t="s">
        <v>522</v>
      </c>
      <c r="B1796" s="141"/>
      <c r="C1796" s="141"/>
      <c r="D1796" s="141"/>
      <c r="E1796" s="141"/>
      <c r="F1796" s="141"/>
      <c r="G1796" s="141"/>
      <c r="H1796" s="141"/>
      <c r="I1796" s="141"/>
      <c r="L1796" s="413"/>
    </row>
    <row r="1797" spans="1:12" ht="27.6" customHeight="1" x14ac:dyDescent="0.2">
      <c r="A1797" s="55" t="s">
        <v>663</v>
      </c>
      <c r="L1797" s="413"/>
    </row>
    <row r="1798" spans="1:12" ht="27.6" customHeight="1" x14ac:dyDescent="0.2">
      <c r="A1798" s="55" t="s">
        <v>856</v>
      </c>
      <c r="L1798" s="413"/>
    </row>
    <row r="1799" spans="1:12" ht="30" customHeight="1" x14ac:dyDescent="0.2">
      <c r="A1799" s="478" t="s">
        <v>1090</v>
      </c>
      <c r="B1799" s="13"/>
      <c r="C1799" s="13"/>
      <c r="D1799" s="13"/>
      <c r="E1799" s="13"/>
      <c r="F1799" s="13"/>
      <c r="G1799" s="13"/>
      <c r="H1799" s="13"/>
      <c r="I1799" s="13"/>
      <c r="J1799" s="13"/>
      <c r="K1799" s="13"/>
      <c r="L1799" s="333"/>
    </row>
    <row r="1801" spans="1:12" x14ac:dyDescent="0.2">
      <c r="A1801" s="43" t="s">
        <v>14</v>
      </c>
      <c r="B1801" s="197" t="s">
        <v>74</v>
      </c>
      <c r="C1801" s="56" t="s">
        <v>15</v>
      </c>
    </row>
    <row r="1802" spans="1:12" x14ac:dyDescent="0.2">
      <c r="A1802" s="1" t="s">
        <v>16</v>
      </c>
      <c r="B1802" s="209"/>
      <c r="C1802" s="2">
        <v>2015</v>
      </c>
      <c r="D1802" s="2">
        <v>2016</v>
      </c>
      <c r="E1802" s="2">
        <v>2017</v>
      </c>
      <c r="F1802" s="2">
        <v>2018</v>
      </c>
      <c r="G1802" s="2">
        <v>2019</v>
      </c>
      <c r="H1802" s="2">
        <v>2020</v>
      </c>
      <c r="I1802" s="2">
        <v>2021</v>
      </c>
      <c r="J1802" s="2">
        <v>2022</v>
      </c>
      <c r="K1802" s="2">
        <v>2023</v>
      </c>
      <c r="L1802" s="468">
        <v>2024</v>
      </c>
    </row>
    <row r="1803" spans="1:12" x14ac:dyDescent="0.2">
      <c r="A1803" s="46" t="s">
        <v>17</v>
      </c>
      <c r="B1803" s="118"/>
      <c r="C1803" s="118">
        <v>20</v>
      </c>
      <c r="D1803" s="118">
        <v>20</v>
      </c>
      <c r="E1803" s="118">
        <v>20</v>
      </c>
      <c r="F1803" s="118">
        <v>20</v>
      </c>
      <c r="G1803" s="118">
        <v>20</v>
      </c>
      <c r="H1803" s="126">
        <v>16.8</v>
      </c>
      <c r="I1803" s="15">
        <v>16.8</v>
      </c>
      <c r="J1803" s="15">
        <v>16.8</v>
      </c>
      <c r="K1803" s="15">
        <v>16.8</v>
      </c>
      <c r="L1803" s="408">
        <v>16.8</v>
      </c>
    </row>
    <row r="1804" spans="1:12" x14ac:dyDescent="0.2">
      <c r="A1804" s="46" t="s">
        <v>18</v>
      </c>
      <c r="B1804" s="118"/>
      <c r="C1804" s="118"/>
      <c r="D1804" s="118">
        <v>-64.900000000000006</v>
      </c>
      <c r="E1804" s="118">
        <v>-63.600000000000009</v>
      </c>
      <c r="F1804" s="118">
        <v>-43.600000000000009</v>
      </c>
      <c r="G1804" s="118">
        <v>-23.600000000000009</v>
      </c>
      <c r="H1804" s="118">
        <f>G1807+H1803+2</f>
        <v>-4.8000000000000078</v>
      </c>
      <c r="I1804" s="5">
        <f>I1803+H1807+2</f>
        <v>13.999999999999993</v>
      </c>
      <c r="J1804" s="5">
        <f>J1803+2</f>
        <v>18.8</v>
      </c>
      <c r="K1804" s="5">
        <f>K1803+2</f>
        <v>18.8</v>
      </c>
      <c r="L1804" s="409">
        <f>L1803+2</f>
        <v>18.8</v>
      </c>
    </row>
    <row r="1805" spans="1:12" x14ac:dyDescent="0.2">
      <c r="A1805" s="46" t="s">
        <v>19</v>
      </c>
      <c r="B1805" s="120"/>
      <c r="C1805" s="120"/>
      <c r="D1805" s="121">
        <v>1</v>
      </c>
      <c r="E1805" s="121">
        <v>2</v>
      </c>
      <c r="F1805" s="121">
        <v>3</v>
      </c>
      <c r="G1805" s="121">
        <v>4</v>
      </c>
      <c r="H1805" s="121">
        <v>5</v>
      </c>
      <c r="I1805" s="69">
        <v>6</v>
      </c>
      <c r="J1805" s="69">
        <v>7</v>
      </c>
      <c r="K1805" s="69">
        <v>8</v>
      </c>
      <c r="L1805" s="490">
        <v>9</v>
      </c>
    </row>
    <row r="1806" spans="1:12" x14ac:dyDescent="0.2">
      <c r="A1806" s="46" t="s">
        <v>20</v>
      </c>
      <c r="B1806" s="5"/>
      <c r="C1806" s="5">
        <v>34.9</v>
      </c>
      <c r="D1806" s="5">
        <v>18.7</v>
      </c>
      <c r="E1806" s="5">
        <v>0</v>
      </c>
      <c r="F1806" s="5">
        <v>0</v>
      </c>
      <c r="G1806" s="5">
        <v>0</v>
      </c>
      <c r="H1806" s="5">
        <v>0</v>
      </c>
      <c r="I1806" s="15">
        <v>0.6</v>
      </c>
      <c r="J1806" s="15">
        <v>0</v>
      </c>
      <c r="K1806" s="15">
        <v>0</v>
      </c>
      <c r="L1806" s="408"/>
    </row>
    <row r="1807" spans="1:12" x14ac:dyDescent="0.2">
      <c r="A1807" s="46" t="s">
        <v>21</v>
      </c>
      <c r="B1807" s="5"/>
      <c r="C1807" s="5">
        <v>-84.9</v>
      </c>
      <c r="D1807" s="5">
        <v>-83.600000000000009</v>
      </c>
      <c r="E1807" s="5">
        <v>-63.600000000000009</v>
      </c>
      <c r="F1807" s="5">
        <v>-43.600000000000009</v>
      </c>
      <c r="G1807" s="5">
        <f>G1804-G1806</f>
        <v>-23.600000000000009</v>
      </c>
      <c r="H1807" s="5">
        <f>H1804-H1806</f>
        <v>-4.8000000000000078</v>
      </c>
      <c r="I1807" s="5">
        <f>I1804-I1806</f>
        <v>13.399999999999993</v>
      </c>
      <c r="J1807" s="5">
        <f>J1804-J1806</f>
        <v>18.8</v>
      </c>
      <c r="K1807" s="5">
        <f>K1804-K1806</f>
        <v>18.8</v>
      </c>
      <c r="L1807" s="408"/>
    </row>
    <row r="1808" spans="1:12" x14ac:dyDescent="0.2">
      <c r="A1808" s="8" t="s">
        <v>22</v>
      </c>
      <c r="B1808" s="210"/>
      <c r="C1808" s="28">
        <v>2016</v>
      </c>
      <c r="D1808" s="28">
        <v>2017</v>
      </c>
      <c r="E1808" s="28">
        <v>2018</v>
      </c>
      <c r="F1808" s="28">
        <v>2019</v>
      </c>
      <c r="G1808" s="28">
        <v>2020</v>
      </c>
      <c r="H1808" s="28">
        <v>2021</v>
      </c>
      <c r="I1808" s="28">
        <v>2022</v>
      </c>
      <c r="J1808" s="28"/>
      <c r="K1808" s="28"/>
      <c r="L1808" s="28"/>
    </row>
    <row r="1809" spans="1:12" x14ac:dyDescent="0.2">
      <c r="A1809" s="8" t="s">
        <v>523</v>
      </c>
      <c r="B1809" s="211"/>
      <c r="C1809" s="211"/>
      <c r="D1809" s="211"/>
      <c r="E1809" s="211"/>
      <c r="F1809" s="212"/>
      <c r="G1809" s="212"/>
      <c r="H1809" s="212"/>
      <c r="I1809" s="9"/>
      <c r="J1809" s="9"/>
      <c r="K1809" s="9"/>
      <c r="L1809" s="412"/>
    </row>
    <row r="1810" spans="1:12" x14ac:dyDescent="0.2">
      <c r="A1810" s="10" t="s">
        <v>524</v>
      </c>
      <c r="B1810" s="135"/>
      <c r="C1810" s="135"/>
      <c r="D1810" s="135"/>
      <c r="E1810" s="135"/>
      <c r="F1810" s="636"/>
      <c r="G1810" s="636"/>
      <c r="H1810" s="636"/>
      <c r="L1810" s="413"/>
    </row>
    <row r="1811" spans="1:12" x14ac:dyDescent="0.2">
      <c r="A1811" s="10" t="s">
        <v>525</v>
      </c>
      <c r="B1811" s="135"/>
      <c r="C1811" s="135"/>
      <c r="D1811" s="135"/>
      <c r="E1811" s="135"/>
      <c r="F1811" s="636"/>
      <c r="G1811" s="636"/>
      <c r="H1811" s="636"/>
      <c r="L1811" s="413"/>
    </row>
    <row r="1812" spans="1:12" x14ac:dyDescent="0.2">
      <c r="A1812" s="10" t="s">
        <v>526</v>
      </c>
      <c r="B1812" s="135"/>
      <c r="C1812" s="135"/>
      <c r="D1812" s="135"/>
      <c r="E1812" s="135"/>
      <c r="F1812" s="636"/>
      <c r="G1812" s="636"/>
      <c r="H1812" s="636"/>
      <c r="L1812" s="413"/>
    </row>
    <row r="1813" spans="1:12" x14ac:dyDescent="0.2">
      <c r="A1813" s="10" t="s">
        <v>527</v>
      </c>
      <c r="B1813" s="135"/>
      <c r="C1813" s="135"/>
      <c r="D1813" s="135"/>
      <c r="E1813" s="135"/>
      <c r="F1813" s="636"/>
      <c r="G1813" s="636"/>
      <c r="H1813" s="636"/>
      <c r="L1813" s="413"/>
    </row>
    <row r="1814" spans="1:12" x14ac:dyDescent="0.2">
      <c r="A1814" s="10" t="s">
        <v>666</v>
      </c>
      <c r="B1814" s="135"/>
      <c r="C1814" s="135"/>
      <c r="D1814" s="135"/>
      <c r="E1814" s="135"/>
      <c r="F1814" s="636"/>
      <c r="G1814" s="636"/>
      <c r="H1814" s="636"/>
      <c r="L1814" s="413"/>
    </row>
    <row r="1815" spans="1:12" x14ac:dyDescent="0.2">
      <c r="A1815" s="10" t="s">
        <v>665</v>
      </c>
      <c r="B1815" s="135"/>
      <c r="C1815" s="135"/>
      <c r="D1815" s="135"/>
      <c r="E1815" s="135"/>
      <c r="F1815" s="636"/>
      <c r="G1815" s="636"/>
      <c r="H1815" s="636"/>
      <c r="L1815" s="413"/>
    </row>
    <row r="1816" spans="1:12" x14ac:dyDescent="0.2">
      <c r="A1816" s="10" t="s">
        <v>857</v>
      </c>
      <c r="B1816" s="135"/>
      <c r="C1816" s="135"/>
      <c r="D1816" s="135"/>
      <c r="E1816" s="135"/>
      <c r="F1816" s="636"/>
      <c r="G1816" s="636"/>
      <c r="H1816" s="636"/>
      <c r="L1816" s="413"/>
    </row>
    <row r="1817" spans="1:12" x14ac:dyDescent="0.2">
      <c r="A1817" s="415" t="s">
        <v>1092</v>
      </c>
      <c r="B1817" s="213"/>
      <c r="C1817" s="213"/>
      <c r="D1817" s="213"/>
      <c r="E1817" s="213"/>
      <c r="F1817" s="214"/>
      <c r="G1817" s="214"/>
      <c r="H1817" s="214"/>
      <c r="I1817" s="13"/>
      <c r="J1817" s="13"/>
      <c r="K1817" s="13"/>
      <c r="L1817" s="333"/>
    </row>
    <row r="1819" spans="1:12" x14ac:dyDescent="0.2">
      <c r="A1819" s="43" t="s">
        <v>14</v>
      </c>
      <c r="B1819" s="197" t="s">
        <v>79</v>
      </c>
      <c r="C1819" s="56" t="s">
        <v>15</v>
      </c>
    </row>
    <row r="1820" spans="1:12" x14ac:dyDescent="0.2">
      <c r="A1820" s="1" t="s">
        <v>16</v>
      </c>
      <c r="B1820" s="209"/>
      <c r="C1820" s="45">
        <v>2015</v>
      </c>
      <c r="D1820" s="45">
        <v>2016</v>
      </c>
      <c r="E1820" s="45">
        <v>2017</v>
      </c>
      <c r="F1820" s="45">
        <v>2018</v>
      </c>
      <c r="G1820" s="45">
        <v>2019</v>
      </c>
      <c r="H1820" s="45">
        <v>2020</v>
      </c>
      <c r="I1820" s="2">
        <v>2021</v>
      </c>
      <c r="J1820" s="2">
        <v>2022</v>
      </c>
    </row>
    <row r="1821" spans="1:12" x14ac:dyDescent="0.2">
      <c r="A1821" s="46" t="s">
        <v>17</v>
      </c>
      <c r="B1821" s="118"/>
      <c r="C1821" s="118">
        <v>15</v>
      </c>
      <c r="D1821" s="118">
        <v>15</v>
      </c>
      <c r="E1821" s="118">
        <v>15</v>
      </c>
      <c r="F1821" s="118">
        <v>15</v>
      </c>
      <c r="G1821" s="118">
        <v>15</v>
      </c>
      <c r="H1821" s="126">
        <v>15</v>
      </c>
      <c r="I1821" s="5">
        <v>15</v>
      </c>
      <c r="J1821" s="5">
        <v>15</v>
      </c>
    </row>
    <row r="1822" spans="1:12" x14ac:dyDescent="0.2">
      <c r="A1822" s="46" t="s">
        <v>18</v>
      </c>
      <c r="B1822" s="118"/>
      <c r="C1822" s="118"/>
      <c r="D1822" s="118">
        <v>-59.3</v>
      </c>
      <c r="E1822" s="118">
        <v>-64.199999999999989</v>
      </c>
      <c r="F1822" s="118">
        <v>-49.199999999999989</v>
      </c>
      <c r="G1822" s="118">
        <v>-34.199999999999989</v>
      </c>
      <c r="H1822" s="118">
        <f>G1825+H1821</f>
        <v>-19.199999999999989</v>
      </c>
      <c r="I1822" s="5">
        <f>I1821+H1825</f>
        <v>-4.1999999999999886</v>
      </c>
      <c r="J1822" s="5">
        <f>J1821+I1825</f>
        <v>10.440000000000012</v>
      </c>
    </row>
    <row r="1823" spans="1:12" x14ac:dyDescent="0.2">
      <c r="A1823" s="46" t="s">
        <v>19</v>
      </c>
      <c r="B1823" s="120"/>
      <c r="C1823" s="120"/>
      <c r="D1823" s="121">
        <v>1</v>
      </c>
      <c r="E1823" s="121">
        <v>2</v>
      </c>
      <c r="F1823" s="121">
        <v>3</v>
      </c>
      <c r="G1823" s="121">
        <v>4</v>
      </c>
      <c r="H1823" s="121">
        <v>5</v>
      </c>
      <c r="I1823" s="69">
        <v>6</v>
      </c>
      <c r="J1823" s="69">
        <v>7</v>
      </c>
    </row>
    <row r="1824" spans="1:12" x14ac:dyDescent="0.2">
      <c r="A1824" s="46" t="s">
        <v>20</v>
      </c>
      <c r="B1824" s="5"/>
      <c r="C1824" s="5">
        <v>31.9</v>
      </c>
      <c r="D1824" s="5">
        <v>19.899999999999999</v>
      </c>
      <c r="E1824" s="5">
        <v>0</v>
      </c>
      <c r="F1824" s="5">
        <v>0</v>
      </c>
      <c r="G1824" s="5">
        <v>0</v>
      </c>
      <c r="H1824" s="5">
        <v>0</v>
      </c>
      <c r="I1824" s="5">
        <v>0.36</v>
      </c>
      <c r="J1824" s="5">
        <v>0</v>
      </c>
    </row>
    <row r="1825" spans="1:10" x14ac:dyDescent="0.2">
      <c r="A1825" s="46" t="s">
        <v>21</v>
      </c>
      <c r="B1825" s="5"/>
      <c r="C1825" s="5">
        <v>-74.3</v>
      </c>
      <c r="D1825" s="5">
        <v>-79.199999999999989</v>
      </c>
      <c r="E1825" s="5">
        <v>-64.199999999999989</v>
      </c>
      <c r="F1825" s="5">
        <v>-49.199999999999989</v>
      </c>
      <c r="G1825" s="5">
        <f>G1822-G1824</f>
        <v>-34.199999999999989</v>
      </c>
      <c r="H1825" s="5">
        <f>H1822-H1824</f>
        <v>-19.199999999999989</v>
      </c>
      <c r="I1825" s="5">
        <f>I1822-I1824</f>
        <v>-4.559999999999989</v>
      </c>
      <c r="J1825" s="5">
        <v>10.44</v>
      </c>
    </row>
    <row r="1826" spans="1:10" x14ac:dyDescent="0.2">
      <c r="A1826" s="8" t="s">
        <v>22</v>
      </c>
      <c r="B1826" s="210"/>
      <c r="C1826" s="28">
        <v>2016</v>
      </c>
      <c r="D1826" s="28">
        <v>2017</v>
      </c>
      <c r="E1826" s="28">
        <v>2018</v>
      </c>
      <c r="F1826" s="28">
        <v>2019</v>
      </c>
      <c r="G1826" s="28">
        <v>2020</v>
      </c>
      <c r="H1826" s="28">
        <v>2021</v>
      </c>
      <c r="I1826" s="28">
        <v>2022</v>
      </c>
      <c r="J1826" s="28"/>
    </row>
    <row r="1827" spans="1:10" x14ac:dyDescent="0.2">
      <c r="A1827" s="8" t="s">
        <v>523</v>
      </c>
      <c r="B1827" s="211"/>
      <c r="C1827" s="211"/>
      <c r="D1827" s="62"/>
      <c r="E1827" s="62"/>
      <c r="F1827" s="62"/>
      <c r="G1827" s="62"/>
      <c r="H1827" s="62"/>
      <c r="I1827" s="62"/>
      <c r="J1827" s="29"/>
    </row>
    <row r="1828" spans="1:10" x14ac:dyDescent="0.2">
      <c r="A1828" s="10" t="s">
        <v>524</v>
      </c>
      <c r="B1828" s="135"/>
      <c r="C1828" s="135"/>
      <c r="D1828" s="200"/>
      <c r="E1828" s="200"/>
      <c r="F1828" s="200"/>
      <c r="G1828" s="200"/>
      <c r="H1828" s="200"/>
      <c r="I1828" s="200"/>
      <c r="J1828" s="201"/>
    </row>
    <row r="1829" spans="1:10" x14ac:dyDescent="0.2">
      <c r="A1829" s="10" t="s">
        <v>525</v>
      </c>
      <c r="B1829" s="135"/>
      <c r="C1829" s="135"/>
      <c r="D1829" s="200"/>
      <c r="E1829" s="200"/>
      <c r="F1829" s="200"/>
      <c r="G1829" s="200"/>
      <c r="H1829" s="200"/>
      <c r="I1829" s="200"/>
      <c r="J1829" s="201"/>
    </row>
    <row r="1830" spans="1:10" x14ac:dyDescent="0.2">
      <c r="A1830" s="10" t="s">
        <v>526</v>
      </c>
      <c r="B1830" s="135"/>
      <c r="C1830" s="135"/>
      <c r="D1830" s="200"/>
      <c r="E1830" s="200"/>
      <c r="F1830" s="200"/>
      <c r="G1830" s="200"/>
      <c r="H1830" s="200"/>
      <c r="I1830" s="200"/>
      <c r="J1830" s="201"/>
    </row>
    <row r="1831" spans="1:10" x14ac:dyDescent="0.2">
      <c r="A1831" s="10" t="s">
        <v>528</v>
      </c>
      <c r="B1831" s="135"/>
      <c r="C1831" s="135"/>
      <c r="D1831" s="200"/>
      <c r="E1831" s="200"/>
      <c r="F1831" s="200"/>
      <c r="G1831" s="200"/>
      <c r="H1831" s="200"/>
      <c r="I1831" s="200"/>
      <c r="J1831" s="201"/>
    </row>
    <row r="1832" spans="1:10" x14ac:dyDescent="0.2">
      <c r="A1832" s="10" t="s">
        <v>529</v>
      </c>
      <c r="B1832" s="135"/>
      <c r="C1832" s="135"/>
      <c r="D1832" s="200"/>
      <c r="E1832" s="200"/>
      <c r="F1832" s="200"/>
      <c r="G1832" s="200"/>
      <c r="H1832" s="200"/>
      <c r="I1832" s="200"/>
      <c r="J1832" s="201"/>
    </row>
    <row r="1833" spans="1:10" x14ac:dyDescent="0.2">
      <c r="A1833" s="1" t="s">
        <v>667</v>
      </c>
      <c r="B1833" s="213"/>
      <c r="C1833" s="213"/>
      <c r="D1833" s="253"/>
      <c r="E1833" s="253"/>
      <c r="F1833" s="253"/>
      <c r="G1833" s="253"/>
      <c r="H1833" s="253"/>
      <c r="I1833" s="253"/>
      <c r="J1833" s="393"/>
    </row>
    <row r="1836" spans="1:10" x14ac:dyDescent="0.2">
      <c r="A1836" s="288" t="s">
        <v>11</v>
      </c>
      <c r="B1836" s="283" t="s">
        <v>38</v>
      </c>
    </row>
    <row r="1837" spans="1:10" x14ac:dyDescent="0.2">
      <c r="A1837" s="43" t="s">
        <v>1</v>
      </c>
      <c r="B1837" s="197" t="s">
        <v>643</v>
      </c>
      <c r="C1837" s="45" t="s">
        <v>2</v>
      </c>
    </row>
    <row r="1838" spans="1:10" x14ac:dyDescent="0.2">
      <c r="A1838" s="15" t="s">
        <v>3</v>
      </c>
      <c r="B1838" s="215">
        <v>2016</v>
      </c>
      <c r="C1838" s="216">
        <v>2017</v>
      </c>
      <c r="D1838" s="216">
        <v>2018</v>
      </c>
      <c r="E1838" s="216">
        <v>2019</v>
      </c>
      <c r="F1838" s="2">
        <v>2020</v>
      </c>
      <c r="G1838" s="2">
        <v>2021</v>
      </c>
      <c r="H1838" s="2">
        <v>2022</v>
      </c>
      <c r="I1838" s="2">
        <v>2023</v>
      </c>
      <c r="J1838" s="468">
        <v>2024</v>
      </c>
    </row>
    <row r="1839" spans="1:10" x14ac:dyDescent="0.2">
      <c r="A1839" s="46" t="s">
        <v>4</v>
      </c>
      <c r="B1839" s="217">
        <v>1491.71</v>
      </c>
      <c r="C1839" s="217">
        <v>1791</v>
      </c>
      <c r="D1839" s="66">
        <v>2115</v>
      </c>
      <c r="E1839" s="66">
        <v>2400</v>
      </c>
      <c r="F1839" s="66">
        <v>2655</v>
      </c>
      <c r="G1839" s="66">
        <v>2655</v>
      </c>
      <c r="H1839" s="66">
        <v>2655</v>
      </c>
      <c r="I1839" s="66">
        <v>3000</v>
      </c>
      <c r="J1839" s="427">
        <v>3000</v>
      </c>
    </row>
    <row r="1840" spans="1:10" x14ac:dyDescent="0.2">
      <c r="A1840" s="46" t="s">
        <v>5</v>
      </c>
      <c r="B1840" s="217">
        <v>1491.71</v>
      </c>
      <c r="C1840" s="217">
        <v>1791</v>
      </c>
      <c r="D1840" s="66">
        <v>2115</v>
      </c>
      <c r="E1840" s="66">
        <v>2400</v>
      </c>
      <c r="F1840" s="66">
        <v>2675.4</v>
      </c>
      <c r="G1840" s="66">
        <f>G1839+79.2+21.55</f>
        <v>2755.75</v>
      </c>
      <c r="H1840" s="66">
        <f>H1839+24.72</f>
        <v>2679.72</v>
      </c>
      <c r="I1840" s="66">
        <v>3020</v>
      </c>
      <c r="J1840" s="427">
        <v>3030</v>
      </c>
    </row>
    <row r="1841" spans="1:10" x14ac:dyDescent="0.2">
      <c r="A1841" s="46" t="s">
        <v>6</v>
      </c>
      <c r="B1841" s="5"/>
      <c r="C1841" s="65"/>
      <c r="D1841" s="5"/>
      <c r="E1841" s="66"/>
      <c r="F1841" s="66"/>
      <c r="G1841" s="66"/>
      <c r="H1841" s="66"/>
      <c r="I1841" s="66"/>
      <c r="J1841" s="427"/>
    </row>
    <row r="1842" spans="1:10" x14ac:dyDescent="0.2">
      <c r="A1842" s="46" t="s">
        <v>7</v>
      </c>
      <c r="B1842" s="66">
        <v>1490.58</v>
      </c>
      <c r="C1842" s="66">
        <v>1789.538</v>
      </c>
      <c r="D1842" s="66">
        <v>2102.0929999999998</v>
      </c>
      <c r="E1842" s="66">
        <v>2379.1309999999999</v>
      </c>
      <c r="F1842" s="66">
        <v>2653.377</v>
      </c>
      <c r="G1842" s="66">
        <v>2729.7379999999998</v>
      </c>
      <c r="H1842" s="66">
        <v>2652.7869999999998</v>
      </c>
      <c r="I1842" s="66">
        <v>2989.87</v>
      </c>
      <c r="J1842" s="427"/>
    </row>
    <row r="1843" spans="1:10" x14ac:dyDescent="0.2">
      <c r="A1843" s="46" t="s">
        <v>8</v>
      </c>
      <c r="B1843" s="5">
        <v>1.1300000000001091</v>
      </c>
      <c r="C1843" s="5">
        <v>1.4619999999999891</v>
      </c>
      <c r="D1843" s="5">
        <v>12.907000000000153</v>
      </c>
      <c r="E1843" s="5">
        <f>E1840-E1842</f>
        <v>20.869000000000142</v>
      </c>
      <c r="F1843" s="66">
        <f>F1840-F1842</f>
        <v>22.023000000000138</v>
      </c>
      <c r="G1843" s="66">
        <f>G1840-G1842</f>
        <v>26.012000000000171</v>
      </c>
      <c r="H1843" s="66">
        <f>H1840-H1842</f>
        <v>26.932999999999993</v>
      </c>
      <c r="I1843" s="66">
        <f>I1840-I1842</f>
        <v>30.130000000000109</v>
      </c>
      <c r="J1843" s="427"/>
    </row>
    <row r="1844" spans="1:10" x14ac:dyDescent="0.2">
      <c r="A1844" s="46" t="s">
        <v>9</v>
      </c>
      <c r="B1844" s="15">
        <v>2017</v>
      </c>
      <c r="C1844" s="15">
        <v>2018</v>
      </c>
      <c r="D1844" s="15">
        <v>2019</v>
      </c>
      <c r="E1844" s="15">
        <v>2020</v>
      </c>
      <c r="F1844" s="15">
        <v>2021</v>
      </c>
      <c r="G1844" s="15">
        <v>2022</v>
      </c>
      <c r="H1844" s="20">
        <v>2023</v>
      </c>
      <c r="I1844" s="20">
        <v>2024</v>
      </c>
      <c r="J1844" s="512">
        <v>2025</v>
      </c>
    </row>
    <row r="1845" spans="1:10" x14ac:dyDescent="0.2">
      <c r="A1845" s="8" t="s">
        <v>10</v>
      </c>
      <c r="B1845" s="9"/>
      <c r="C1845" s="9"/>
      <c r="D1845" s="9"/>
      <c r="E1845" s="9"/>
      <c r="F1845" s="7"/>
      <c r="G1845" s="7"/>
      <c r="H1845" s="7"/>
      <c r="I1845" s="7"/>
      <c r="J1845" s="412"/>
    </row>
    <row r="1846" spans="1:10" x14ac:dyDescent="0.2">
      <c r="A1846" s="8" t="s">
        <v>530</v>
      </c>
      <c r="B1846" s="9"/>
      <c r="C1846" s="9"/>
      <c r="D1846" s="9"/>
      <c r="E1846" s="9"/>
      <c r="F1846" s="9"/>
      <c r="G1846" s="9"/>
      <c r="H1846" s="9"/>
      <c r="I1846" s="9"/>
      <c r="J1846" s="412"/>
    </row>
    <row r="1847" spans="1:10" x14ac:dyDescent="0.2">
      <c r="A1847" s="10" t="s">
        <v>251</v>
      </c>
      <c r="J1847" s="413"/>
    </row>
    <row r="1848" spans="1:10" x14ac:dyDescent="0.2">
      <c r="A1848" s="701" t="s">
        <v>596</v>
      </c>
      <c r="B1848" s="702"/>
      <c r="C1848" s="702"/>
      <c r="D1848" s="702"/>
      <c r="E1848" s="702"/>
      <c r="F1848" s="702"/>
      <c r="G1848" s="702"/>
      <c r="J1848" s="413"/>
    </row>
    <row r="1849" spans="1:10" x14ac:dyDescent="0.2">
      <c r="A1849" s="428" t="s">
        <v>963</v>
      </c>
      <c r="B1849" s="255"/>
      <c r="C1849" s="255"/>
      <c r="D1849" s="255"/>
      <c r="E1849" s="255"/>
      <c r="F1849" s="255"/>
      <c r="G1849" s="255"/>
      <c r="J1849" s="413"/>
    </row>
    <row r="1850" spans="1:10" x14ac:dyDescent="0.2">
      <c r="A1850" s="55" t="s">
        <v>858</v>
      </c>
      <c r="B1850" s="255"/>
      <c r="C1850" s="255"/>
      <c r="D1850" s="255"/>
      <c r="E1850" s="255"/>
      <c r="F1850" s="255"/>
      <c r="G1850" s="255"/>
      <c r="J1850" s="413"/>
    </row>
    <row r="1851" spans="1:10" x14ac:dyDescent="0.2">
      <c r="A1851" s="478" t="s">
        <v>1093</v>
      </c>
      <c r="B1851" s="63"/>
      <c r="C1851" s="63"/>
      <c r="D1851" s="63"/>
      <c r="E1851" s="63"/>
      <c r="F1851" s="63"/>
      <c r="G1851" s="63"/>
      <c r="H1851" s="13"/>
      <c r="I1851" s="13"/>
      <c r="J1851" s="333"/>
    </row>
    <row r="1854" spans="1:10" x14ac:dyDescent="0.2">
      <c r="A1854" s="218" t="s">
        <v>12</v>
      </c>
      <c r="B1854" s="285" t="s">
        <v>871</v>
      </c>
      <c r="D1854" s="219"/>
      <c r="E1854" s="219"/>
      <c r="F1854" s="219"/>
      <c r="G1854" s="219"/>
      <c r="H1854" s="219"/>
    </row>
    <row r="1855" spans="1:10" x14ac:dyDescent="0.2">
      <c r="A1855" s="220" t="s">
        <v>14</v>
      </c>
      <c r="B1855" s="221" t="s">
        <v>643</v>
      </c>
      <c r="C1855" s="449" t="s">
        <v>15</v>
      </c>
      <c r="D1855" s="219"/>
      <c r="E1855" s="219"/>
      <c r="F1855" s="219"/>
      <c r="G1855" s="219"/>
      <c r="H1855" s="219"/>
    </row>
    <row r="1856" spans="1:10" x14ac:dyDescent="0.2">
      <c r="A1856" s="222" t="s">
        <v>16</v>
      </c>
      <c r="B1856" s="223"/>
      <c r="C1856" s="450">
        <v>2022</v>
      </c>
      <c r="D1856" s="224">
        <v>2023</v>
      </c>
      <c r="E1856" s="431">
        <v>2024</v>
      </c>
      <c r="F1856" s="167"/>
    </row>
    <row r="1857" spans="1:8" x14ac:dyDescent="0.2">
      <c r="A1857" s="222" t="s">
        <v>17</v>
      </c>
      <c r="B1857" s="223"/>
      <c r="C1857" s="226">
        <v>2305</v>
      </c>
      <c r="D1857" s="226">
        <v>2600</v>
      </c>
      <c r="E1857" s="274">
        <v>2600</v>
      </c>
    </row>
    <row r="1858" spans="1:8" x14ac:dyDescent="0.2">
      <c r="A1858" s="222" t="s">
        <v>18</v>
      </c>
      <c r="B1858" s="223"/>
      <c r="C1858" s="451"/>
      <c r="D1858" s="226">
        <f>D1857+C1861+440.79+67.08+128</f>
        <v>3246.0209999999997</v>
      </c>
      <c r="E1858" s="274">
        <f>E1857+D1861+128+507.87</f>
        <v>3200.74</v>
      </c>
    </row>
    <row r="1859" spans="1:8" x14ac:dyDescent="0.2">
      <c r="A1859" s="222" t="s">
        <v>19</v>
      </c>
      <c r="B1859" s="223"/>
      <c r="C1859" s="227"/>
      <c r="D1859" s="319" t="str">
        <f>"(1)"</f>
        <v>(1)</v>
      </c>
      <c r="E1859" s="432" t="str">
        <f>"(2)"</f>
        <v>(2)</v>
      </c>
    </row>
    <row r="1860" spans="1:8" x14ac:dyDescent="0.2">
      <c r="A1860" s="222" t="s">
        <v>20</v>
      </c>
      <c r="B1860" s="223"/>
      <c r="C1860" s="226">
        <v>2294.8490000000002</v>
      </c>
      <c r="D1860" s="433">
        <f>D1858-D1861</f>
        <v>3281.1509999999998</v>
      </c>
      <c r="E1860" s="433"/>
    </row>
    <row r="1861" spans="1:8" x14ac:dyDescent="0.2">
      <c r="A1861" s="222" t="s">
        <v>21</v>
      </c>
      <c r="B1861" s="223"/>
      <c r="C1861" s="226">
        <f>C1857-C1860</f>
        <v>10.15099999999984</v>
      </c>
      <c r="D1861" s="274">
        <v>-35.130000000000003</v>
      </c>
      <c r="E1861" s="274"/>
    </row>
    <row r="1862" spans="1:8" x14ac:dyDescent="0.2">
      <c r="A1862" s="229" t="s">
        <v>22</v>
      </c>
      <c r="B1862" s="230"/>
      <c r="C1862" s="231">
        <v>2023</v>
      </c>
      <c r="D1862" s="232">
        <v>2024</v>
      </c>
      <c r="E1862" s="434">
        <v>2025</v>
      </c>
    </row>
    <row r="1863" spans="1:8" x14ac:dyDescent="0.2">
      <c r="A1863" s="241" t="s">
        <v>941</v>
      </c>
      <c r="B1863" s="242"/>
      <c r="C1863" s="252"/>
      <c r="D1863" s="252"/>
      <c r="E1863" s="273"/>
    </row>
    <row r="1864" spans="1:8" x14ac:dyDescent="0.2">
      <c r="A1864" s="328" t="s">
        <v>968</v>
      </c>
      <c r="B1864" s="244"/>
      <c r="C1864" s="429"/>
      <c r="D1864" s="429"/>
      <c r="E1864" s="430"/>
    </row>
    <row r="1865" spans="1:8" x14ac:dyDescent="0.2">
      <c r="A1865" s="219"/>
      <c r="B1865" s="219"/>
      <c r="C1865" s="219"/>
      <c r="D1865" s="219"/>
      <c r="E1865" s="219"/>
    </row>
    <row r="1866" spans="1:8" x14ac:dyDescent="0.2">
      <c r="A1866" s="220" t="s">
        <v>14</v>
      </c>
      <c r="B1866" s="221" t="s">
        <v>872</v>
      </c>
      <c r="C1866" s="449" t="s">
        <v>15</v>
      </c>
      <c r="D1866" s="219"/>
      <c r="E1866" s="219"/>
      <c r="F1866" s="219"/>
      <c r="G1866" s="219"/>
      <c r="H1866" s="219"/>
    </row>
    <row r="1867" spans="1:8" x14ac:dyDescent="0.2">
      <c r="A1867" s="222" t="s">
        <v>16</v>
      </c>
      <c r="B1867" s="223"/>
      <c r="C1867" s="450">
        <v>2023</v>
      </c>
      <c r="D1867" s="224">
        <v>2024</v>
      </c>
    </row>
    <row r="1868" spans="1:8" x14ac:dyDescent="0.2">
      <c r="A1868" s="222" t="s">
        <v>17</v>
      </c>
      <c r="B1868" s="223"/>
      <c r="C1868" s="226">
        <v>225</v>
      </c>
      <c r="D1868" s="226">
        <v>225</v>
      </c>
    </row>
    <row r="1869" spans="1:8" x14ac:dyDescent="0.2">
      <c r="A1869" s="222" t="s">
        <v>18</v>
      </c>
      <c r="B1869" s="223"/>
      <c r="C1869" s="226">
        <v>150</v>
      </c>
      <c r="D1869" s="226">
        <v>150</v>
      </c>
    </row>
    <row r="1870" spans="1:8" x14ac:dyDescent="0.2">
      <c r="A1870" s="222" t="s">
        <v>19</v>
      </c>
      <c r="B1870" s="223"/>
      <c r="C1870" s="323" t="s">
        <v>873</v>
      </c>
      <c r="D1870" s="323" t="s">
        <v>873</v>
      </c>
    </row>
    <row r="1871" spans="1:8" x14ac:dyDescent="0.2">
      <c r="A1871" s="222" t="s">
        <v>20</v>
      </c>
      <c r="B1871" s="223"/>
      <c r="C1871" s="226">
        <v>149.94999999999999</v>
      </c>
      <c r="D1871" s="228"/>
    </row>
    <row r="1872" spans="1:8" x14ac:dyDescent="0.2">
      <c r="A1872" s="222" t="s">
        <v>21</v>
      </c>
      <c r="B1872" s="223"/>
      <c r="C1872" s="226">
        <f>C1869-C1871</f>
        <v>5.0000000000011369E-2</v>
      </c>
      <c r="D1872" s="226"/>
    </row>
    <row r="1873" spans="1:8" x14ac:dyDescent="0.2">
      <c r="A1873" s="229" t="s">
        <v>22</v>
      </c>
      <c r="B1873" s="230"/>
      <c r="C1873" s="231"/>
      <c r="D1873" s="232"/>
    </row>
    <row r="1874" spans="1:8" x14ac:dyDescent="0.2">
      <c r="A1874" s="320" t="s">
        <v>874</v>
      </c>
      <c r="B1874" s="321"/>
      <c r="C1874" s="452"/>
      <c r="D1874" s="322"/>
    </row>
    <row r="1875" spans="1:8" x14ac:dyDescent="0.2">
      <c r="A1875" s="219"/>
      <c r="B1875" s="219"/>
      <c r="C1875" s="219"/>
      <c r="D1875" s="219"/>
      <c r="E1875" s="219"/>
    </row>
    <row r="1876" spans="1:8" x14ac:dyDescent="0.2">
      <c r="A1876" s="219"/>
      <c r="B1876" s="219"/>
      <c r="C1876" s="219"/>
      <c r="D1876" s="219"/>
      <c r="E1876" s="219"/>
    </row>
    <row r="1877" spans="1:8" x14ac:dyDescent="0.2">
      <c r="A1877" s="218" t="s">
        <v>12</v>
      </c>
      <c r="B1877" s="285" t="s">
        <v>584</v>
      </c>
      <c r="D1877" s="219"/>
      <c r="E1877" s="219"/>
      <c r="F1877" s="219"/>
      <c r="G1877" s="219"/>
      <c r="H1877" s="219"/>
    </row>
    <row r="1878" spans="1:8" x14ac:dyDescent="0.2">
      <c r="A1878" s="220" t="s">
        <v>14</v>
      </c>
      <c r="B1878" s="221" t="s">
        <v>625</v>
      </c>
      <c r="C1878" s="449" t="s">
        <v>15</v>
      </c>
      <c r="D1878" s="219"/>
      <c r="E1878" s="219"/>
      <c r="F1878" s="219"/>
      <c r="G1878" s="219"/>
      <c r="H1878" s="219"/>
    </row>
    <row r="1879" spans="1:8" x14ac:dyDescent="0.2">
      <c r="A1879" s="222" t="s">
        <v>16</v>
      </c>
      <c r="B1879" s="223"/>
      <c r="C1879" s="450">
        <v>2021</v>
      </c>
      <c r="D1879" s="224">
        <v>2022</v>
      </c>
      <c r="E1879" s="225">
        <v>2023</v>
      </c>
      <c r="F1879" s="225">
        <v>2024</v>
      </c>
      <c r="G1879" s="637">
        <v>2025</v>
      </c>
    </row>
    <row r="1880" spans="1:8" x14ac:dyDescent="0.2">
      <c r="A1880" s="222" t="s">
        <v>17</v>
      </c>
      <c r="B1880" s="223"/>
      <c r="C1880" s="226">
        <f>434.04</f>
        <v>434.04</v>
      </c>
      <c r="D1880" s="226">
        <v>442.25</v>
      </c>
      <c r="E1880" s="226">
        <v>442.25</v>
      </c>
      <c r="F1880" s="274">
        <v>752.8</v>
      </c>
      <c r="G1880" s="274">
        <v>752.8</v>
      </c>
    </row>
    <row r="1881" spans="1:8" x14ac:dyDescent="0.2">
      <c r="A1881" s="222" t="s">
        <v>18</v>
      </c>
      <c r="B1881" s="223"/>
      <c r="C1881" s="226">
        <f>C1880+53.75</f>
        <v>487.79</v>
      </c>
      <c r="D1881" s="226">
        <f>D1880+53.75</f>
        <v>496</v>
      </c>
      <c r="E1881" s="227">
        <f>E1880+0.25*C1880</f>
        <v>550.76</v>
      </c>
      <c r="F1881" s="334">
        <f>F1880+0.25*D1880</f>
        <v>863.36249999999995</v>
      </c>
      <c r="G1881" s="334">
        <f>G1880+0.25*E1880</f>
        <v>863.36249999999995</v>
      </c>
    </row>
    <row r="1882" spans="1:8" x14ac:dyDescent="0.2">
      <c r="A1882" s="222" t="s">
        <v>19</v>
      </c>
      <c r="B1882" s="223"/>
      <c r="C1882" s="227" t="s">
        <v>688</v>
      </c>
      <c r="D1882" s="227" t="s">
        <v>690</v>
      </c>
      <c r="E1882" s="227" t="s">
        <v>689</v>
      </c>
      <c r="F1882" s="227" t="s">
        <v>861</v>
      </c>
      <c r="G1882" s="334" t="s">
        <v>1094</v>
      </c>
    </row>
    <row r="1883" spans="1:8" x14ac:dyDescent="0.2">
      <c r="A1883" s="222" t="s">
        <v>20</v>
      </c>
      <c r="B1883" s="223"/>
      <c r="C1883" s="226">
        <v>169.39099999999999</v>
      </c>
      <c r="D1883" s="228">
        <v>125.35080000000001</v>
      </c>
      <c r="E1883" s="227">
        <v>112.47</v>
      </c>
      <c r="F1883" s="227"/>
      <c r="G1883" s="334"/>
    </row>
    <row r="1884" spans="1:8" x14ac:dyDescent="0.2">
      <c r="A1884" s="222" t="s">
        <v>21</v>
      </c>
      <c r="B1884" s="223"/>
      <c r="C1884" s="226">
        <f>C1881-C1883</f>
        <v>318.399</v>
      </c>
      <c r="D1884" s="226">
        <f>D1881-D1883</f>
        <v>370.64920000000001</v>
      </c>
      <c r="E1884" s="226">
        <f>E1881-E1883</f>
        <v>438.28999999999996</v>
      </c>
      <c r="F1884" s="227"/>
      <c r="G1884" s="334"/>
    </row>
    <row r="1885" spans="1:8" x14ac:dyDescent="0.2">
      <c r="A1885" s="229" t="s">
        <v>22</v>
      </c>
      <c r="B1885" s="230"/>
      <c r="C1885" s="231">
        <v>2023</v>
      </c>
      <c r="D1885" s="232">
        <v>2024</v>
      </c>
      <c r="E1885" s="231">
        <v>2025</v>
      </c>
      <c r="F1885" s="231">
        <v>2026</v>
      </c>
      <c r="G1885" s="638">
        <v>2027</v>
      </c>
    </row>
    <row r="1886" spans="1:8" x14ac:dyDescent="0.2">
      <c r="A1886" s="241" t="s">
        <v>695</v>
      </c>
      <c r="B1886" s="269"/>
      <c r="C1886" s="269"/>
      <c r="D1886" s="269"/>
      <c r="E1886" s="269"/>
      <c r="F1886" s="7"/>
      <c r="G1886" s="412"/>
    </row>
    <row r="1887" spans="1:8" ht="12.75" customHeight="1" x14ac:dyDescent="0.2">
      <c r="A1887" s="243" t="s">
        <v>703</v>
      </c>
      <c r="B1887" s="272"/>
      <c r="C1887" s="272"/>
      <c r="D1887" s="272"/>
      <c r="E1887" s="272"/>
      <c r="F1887" s="12"/>
      <c r="G1887" s="413"/>
    </row>
    <row r="1888" spans="1:8" x14ac:dyDescent="0.2">
      <c r="A1888" s="271" t="s">
        <v>704</v>
      </c>
      <c r="B1888" s="233"/>
      <c r="C1888" s="233"/>
      <c r="D1888" s="233"/>
      <c r="E1888" s="233"/>
      <c r="F1888" s="12"/>
      <c r="G1888" s="413"/>
    </row>
    <row r="1889" spans="1:8" x14ac:dyDescent="0.2">
      <c r="A1889" s="639" t="s">
        <v>951</v>
      </c>
      <c r="B1889" s="233"/>
      <c r="C1889" s="233"/>
      <c r="D1889" s="233"/>
      <c r="E1889" s="233"/>
      <c r="F1889" s="12"/>
      <c r="G1889" s="413"/>
    </row>
    <row r="1890" spans="1:8" x14ac:dyDescent="0.2">
      <c r="A1890" s="328" t="s">
        <v>1095</v>
      </c>
      <c r="B1890" s="270"/>
      <c r="C1890" s="270"/>
      <c r="D1890" s="270"/>
      <c r="E1890" s="270"/>
      <c r="F1890" s="14"/>
      <c r="G1890" s="333"/>
    </row>
    <row r="1891" spans="1:8" x14ac:dyDescent="0.2">
      <c r="A1891" s="233"/>
      <c r="B1891" s="233"/>
      <c r="C1891" s="453"/>
      <c r="D1891" s="233"/>
      <c r="E1891" s="233"/>
    </row>
    <row r="1892" spans="1:8" x14ac:dyDescent="0.2">
      <c r="A1892" s="220" t="s">
        <v>14</v>
      </c>
      <c r="B1892" s="221" t="s">
        <v>639</v>
      </c>
      <c r="C1892" s="449" t="s">
        <v>15</v>
      </c>
      <c r="D1892" s="219"/>
      <c r="E1892" s="219"/>
      <c r="F1892" s="219"/>
      <c r="G1892" s="219"/>
      <c r="H1892" s="219"/>
    </row>
    <row r="1893" spans="1:8" x14ac:dyDescent="0.2">
      <c r="A1893" s="222" t="s">
        <v>16</v>
      </c>
      <c r="B1893" s="223"/>
      <c r="C1893" s="450">
        <v>2021</v>
      </c>
      <c r="D1893" s="224">
        <v>2022</v>
      </c>
      <c r="E1893" s="225">
        <v>2023</v>
      </c>
      <c r="F1893" s="225">
        <v>2024</v>
      </c>
      <c r="G1893" s="637">
        <v>2025</v>
      </c>
    </row>
    <row r="1894" spans="1:8" x14ac:dyDescent="0.2">
      <c r="A1894" s="222" t="s">
        <v>17</v>
      </c>
      <c r="B1894" s="223"/>
      <c r="C1894" s="226">
        <v>100</v>
      </c>
      <c r="D1894" s="226">
        <v>100</v>
      </c>
      <c r="E1894" s="227">
        <v>120</v>
      </c>
      <c r="F1894" s="227">
        <v>120</v>
      </c>
      <c r="G1894" s="334">
        <v>120</v>
      </c>
    </row>
    <row r="1895" spans="1:8" x14ac:dyDescent="0.2">
      <c r="A1895" s="222" t="s">
        <v>18</v>
      </c>
      <c r="B1895" s="223"/>
      <c r="C1895" s="226"/>
      <c r="D1895" s="226">
        <v>125</v>
      </c>
      <c r="E1895" s="234">
        <f>E1894+0.25*C1894</f>
        <v>145</v>
      </c>
      <c r="F1895" s="234">
        <f>F1894+1.49</f>
        <v>121.49</v>
      </c>
      <c r="G1895" s="640">
        <f>G1894+0.25*E1894</f>
        <v>150</v>
      </c>
    </row>
    <row r="1896" spans="1:8" x14ac:dyDescent="0.2">
      <c r="A1896" s="222" t="s">
        <v>19</v>
      </c>
      <c r="B1896" s="223"/>
      <c r="C1896" s="234"/>
      <c r="D1896" s="234" t="s">
        <v>685</v>
      </c>
      <c r="E1896" s="234" t="s">
        <v>684</v>
      </c>
      <c r="F1896" s="234" t="s">
        <v>939</v>
      </c>
      <c r="G1896" s="640" t="s">
        <v>1097</v>
      </c>
    </row>
    <row r="1897" spans="1:8" x14ac:dyDescent="0.2">
      <c r="A1897" s="222" t="s">
        <v>20</v>
      </c>
      <c r="B1897" s="223"/>
      <c r="C1897" s="226">
        <v>0</v>
      </c>
      <c r="D1897" s="228">
        <v>0</v>
      </c>
      <c r="E1897" s="227">
        <v>0</v>
      </c>
      <c r="F1897" s="227"/>
      <c r="G1897" s="334"/>
    </row>
    <row r="1898" spans="1:8" x14ac:dyDescent="0.2">
      <c r="A1898" s="222" t="s">
        <v>21</v>
      </c>
      <c r="B1898" s="223"/>
      <c r="C1898" s="226">
        <f>C1894-C1897</f>
        <v>100</v>
      </c>
      <c r="D1898" s="226">
        <f>D1895-D1897</f>
        <v>125</v>
      </c>
      <c r="E1898" s="226">
        <f>E1895-E1897</f>
        <v>145</v>
      </c>
      <c r="F1898" s="227"/>
      <c r="G1898" s="334"/>
    </row>
    <row r="1899" spans="1:8" x14ac:dyDescent="0.2">
      <c r="A1899" s="229" t="s">
        <v>22</v>
      </c>
      <c r="B1899" s="230"/>
      <c r="C1899" s="231">
        <v>2023</v>
      </c>
      <c r="D1899" s="232">
        <v>2024</v>
      </c>
      <c r="E1899" s="231">
        <v>2025</v>
      </c>
      <c r="F1899" s="231">
        <v>2026</v>
      </c>
      <c r="G1899" s="638">
        <v>2027</v>
      </c>
    </row>
    <row r="1900" spans="1:8" x14ac:dyDescent="0.2">
      <c r="A1900" s="241" t="s">
        <v>738</v>
      </c>
      <c r="B1900" s="242"/>
      <c r="C1900" s="252"/>
      <c r="D1900" s="252"/>
      <c r="E1900" s="252"/>
      <c r="F1900" s="273"/>
      <c r="G1900" s="641"/>
    </row>
    <row r="1901" spans="1:8" x14ac:dyDescent="0.2">
      <c r="A1901" s="243" t="s">
        <v>940</v>
      </c>
      <c r="B1901" s="219"/>
      <c r="C1901" s="456"/>
      <c r="D1901" s="456"/>
      <c r="E1901" s="456"/>
      <c r="F1901" s="642"/>
      <c r="G1901" s="643"/>
    </row>
    <row r="1902" spans="1:8" x14ac:dyDescent="0.2">
      <c r="A1902" s="328" t="s">
        <v>1096</v>
      </c>
      <c r="B1902" s="244"/>
      <c r="C1902" s="244"/>
      <c r="D1902" s="244"/>
      <c r="E1902" s="244"/>
      <c r="F1902" s="14"/>
      <c r="G1902" s="333"/>
    </row>
    <row r="1903" spans="1:8" x14ac:dyDescent="0.2">
      <c r="A1903" s="219"/>
      <c r="B1903" s="219"/>
      <c r="C1903" s="219"/>
      <c r="D1903" s="219"/>
      <c r="E1903" s="219"/>
    </row>
    <row r="1904" spans="1:8" x14ac:dyDescent="0.2">
      <c r="A1904" s="220" t="s">
        <v>14</v>
      </c>
      <c r="B1904" s="221" t="s">
        <v>624</v>
      </c>
      <c r="C1904" s="449" t="s">
        <v>15</v>
      </c>
      <c r="D1904" s="219"/>
      <c r="E1904" s="219"/>
      <c r="F1904" s="219"/>
      <c r="G1904" s="219"/>
      <c r="H1904" s="219"/>
    </row>
    <row r="1905" spans="1:8" x14ac:dyDescent="0.2">
      <c r="A1905" s="222" t="s">
        <v>16</v>
      </c>
      <c r="B1905" s="223"/>
      <c r="C1905" s="450">
        <v>2021</v>
      </c>
      <c r="D1905" s="224">
        <v>2022</v>
      </c>
      <c r="E1905" s="225">
        <v>2023</v>
      </c>
      <c r="F1905" s="225">
        <v>2024</v>
      </c>
      <c r="G1905" s="637">
        <v>2025</v>
      </c>
    </row>
    <row r="1906" spans="1:8" x14ac:dyDescent="0.2">
      <c r="A1906" s="222" t="s">
        <v>17</v>
      </c>
      <c r="B1906" s="223"/>
      <c r="C1906" s="274">
        <v>35</v>
      </c>
      <c r="D1906" s="274">
        <v>35</v>
      </c>
      <c r="E1906" s="226">
        <v>35.67</v>
      </c>
      <c r="F1906" s="226">
        <v>35.67</v>
      </c>
      <c r="G1906" s="274">
        <v>35.67</v>
      </c>
    </row>
    <row r="1907" spans="1:8" x14ac:dyDescent="0.2">
      <c r="A1907" s="222" t="s">
        <v>18</v>
      </c>
      <c r="B1907" s="223"/>
      <c r="C1907" s="226">
        <v>49.67</v>
      </c>
      <c r="D1907" s="226">
        <v>49.67</v>
      </c>
      <c r="E1907" s="334">
        <f>E1906+0.4*C1906</f>
        <v>49.67</v>
      </c>
      <c r="F1907" s="334">
        <f>F1906+0.4*D1906</f>
        <v>49.67</v>
      </c>
      <c r="G1907" s="334">
        <f>G1906+0.4*E1906</f>
        <v>49.938000000000002</v>
      </c>
    </row>
    <row r="1908" spans="1:8" ht="30.75" customHeight="1" x14ac:dyDescent="0.2">
      <c r="A1908" s="222" t="s">
        <v>19</v>
      </c>
      <c r="B1908" s="223"/>
      <c r="C1908" s="235" t="s">
        <v>706</v>
      </c>
      <c r="D1908" s="235" t="s">
        <v>707</v>
      </c>
      <c r="E1908" s="235" t="s">
        <v>691</v>
      </c>
      <c r="F1908" s="235" t="s">
        <v>862</v>
      </c>
      <c r="G1908" s="644" t="s">
        <v>1100</v>
      </c>
    </row>
    <row r="1909" spans="1:8" x14ac:dyDescent="0.2">
      <c r="A1909" s="222" t="s">
        <v>20</v>
      </c>
      <c r="B1909" s="223"/>
      <c r="C1909" s="226">
        <v>5.9</v>
      </c>
      <c r="D1909" s="228">
        <v>3.351</v>
      </c>
      <c r="E1909" s="227">
        <v>3.54</v>
      </c>
      <c r="F1909" s="227"/>
      <c r="G1909" s="334"/>
    </row>
    <row r="1910" spans="1:8" x14ac:dyDescent="0.2">
      <c r="A1910" s="222" t="s">
        <v>21</v>
      </c>
      <c r="B1910" s="223"/>
      <c r="C1910" s="226">
        <f>C1907-C1909</f>
        <v>43.77</v>
      </c>
      <c r="D1910" s="226">
        <f>D1907-D1909</f>
        <v>46.319000000000003</v>
      </c>
      <c r="E1910" s="226">
        <f>E1907-E1909</f>
        <v>46.13</v>
      </c>
      <c r="F1910" s="227"/>
      <c r="G1910" s="334"/>
    </row>
    <row r="1911" spans="1:8" x14ac:dyDescent="0.2">
      <c r="A1911" s="229" t="s">
        <v>22</v>
      </c>
      <c r="B1911" s="230"/>
      <c r="C1911" s="231">
        <v>2023</v>
      </c>
      <c r="D1911" s="231">
        <v>2024</v>
      </c>
      <c r="E1911" s="231">
        <v>2025</v>
      </c>
      <c r="F1911" s="231">
        <v>2026</v>
      </c>
      <c r="G1911" s="638">
        <v>2027</v>
      </c>
    </row>
    <row r="1912" spans="1:8" x14ac:dyDescent="0.2">
      <c r="A1912" s="241" t="s">
        <v>705</v>
      </c>
      <c r="B1912" s="242"/>
      <c r="C1912" s="242"/>
      <c r="D1912" s="242"/>
      <c r="E1912" s="242"/>
      <c r="F1912" s="7"/>
      <c r="G1912" s="412"/>
    </row>
    <row r="1913" spans="1:8" x14ac:dyDescent="0.2">
      <c r="A1913" s="243" t="s">
        <v>709</v>
      </c>
      <c r="B1913" s="219"/>
      <c r="C1913" s="219"/>
      <c r="D1913" s="219"/>
      <c r="E1913" s="219"/>
      <c r="F1913" s="12"/>
      <c r="G1913" s="413"/>
    </row>
    <row r="1914" spans="1:8" x14ac:dyDescent="0.2">
      <c r="A1914" s="243" t="s">
        <v>708</v>
      </c>
      <c r="B1914" s="219"/>
      <c r="C1914" s="219"/>
      <c r="D1914" s="219"/>
      <c r="E1914" s="219"/>
      <c r="F1914" s="12"/>
      <c r="G1914" s="413"/>
    </row>
    <row r="1915" spans="1:8" x14ac:dyDescent="0.2">
      <c r="A1915" s="645" t="s">
        <v>1098</v>
      </c>
      <c r="B1915" s="219"/>
      <c r="C1915" s="219"/>
      <c r="D1915" s="219"/>
      <c r="E1915" s="219"/>
      <c r="F1915" s="12"/>
      <c r="G1915" s="413"/>
    </row>
    <row r="1916" spans="1:8" x14ac:dyDescent="0.2">
      <c r="A1916" s="328" t="s">
        <v>1099</v>
      </c>
      <c r="B1916" s="244"/>
      <c r="C1916" s="244"/>
      <c r="D1916" s="244"/>
      <c r="E1916" s="244"/>
      <c r="F1916" s="14"/>
      <c r="G1916" s="333"/>
    </row>
    <row r="1917" spans="1:8" x14ac:dyDescent="0.2">
      <c r="A1917" s="233"/>
      <c r="B1917" s="233"/>
      <c r="C1917" s="453"/>
      <c r="D1917" s="233"/>
      <c r="E1917" s="233"/>
    </row>
    <row r="1918" spans="1:8" x14ac:dyDescent="0.2">
      <c r="A1918" s="220" t="s">
        <v>14</v>
      </c>
      <c r="B1918" s="221" t="s">
        <v>642</v>
      </c>
      <c r="C1918" s="449" t="s">
        <v>15</v>
      </c>
      <c r="D1918" s="219"/>
      <c r="E1918" s="219"/>
      <c r="F1918" s="219"/>
      <c r="G1918" s="219"/>
      <c r="H1918" s="219"/>
    </row>
    <row r="1919" spans="1:8" x14ac:dyDescent="0.2">
      <c r="A1919" s="222" t="s">
        <v>16</v>
      </c>
      <c r="B1919" s="223"/>
      <c r="C1919" s="450">
        <v>2021</v>
      </c>
      <c r="D1919" s="224">
        <v>2022</v>
      </c>
      <c r="E1919" s="225">
        <v>2023</v>
      </c>
      <c r="F1919" s="225">
        <v>2024</v>
      </c>
      <c r="G1919" s="637">
        <v>2025</v>
      </c>
    </row>
    <row r="1920" spans="1:8" x14ac:dyDescent="0.2">
      <c r="A1920" s="222" t="s">
        <v>17</v>
      </c>
      <c r="B1920" s="223"/>
      <c r="C1920" s="226">
        <v>25</v>
      </c>
      <c r="D1920" s="226">
        <v>25</v>
      </c>
      <c r="E1920" s="226">
        <v>25</v>
      </c>
      <c r="F1920" s="226">
        <v>25</v>
      </c>
      <c r="G1920" s="274">
        <v>25</v>
      </c>
    </row>
    <row r="1921" spans="1:8" x14ac:dyDescent="0.2">
      <c r="A1921" s="222" t="s">
        <v>18</v>
      </c>
      <c r="B1921" s="223"/>
      <c r="C1921" s="226">
        <v>30</v>
      </c>
      <c r="D1921" s="226">
        <v>30</v>
      </c>
      <c r="E1921" s="640">
        <f>E1920+0.1*C1920</f>
        <v>27.5</v>
      </c>
      <c r="F1921" s="640">
        <f t="shared" ref="F1921:G1921" si="63">F1920+0.1*D1920</f>
        <v>27.5</v>
      </c>
      <c r="G1921" s="640">
        <f t="shared" si="63"/>
        <v>27.5</v>
      </c>
    </row>
    <row r="1922" spans="1:8" x14ac:dyDescent="0.2">
      <c r="A1922" s="222" t="s">
        <v>19</v>
      </c>
      <c r="B1922" s="223"/>
      <c r="C1922" s="234" t="s">
        <v>686</v>
      </c>
      <c r="D1922" s="234" t="s">
        <v>687</v>
      </c>
      <c r="E1922" s="640" t="s">
        <v>1101</v>
      </c>
      <c r="F1922" s="640" t="s">
        <v>1102</v>
      </c>
      <c r="G1922" s="640" t="s">
        <v>1103</v>
      </c>
    </row>
    <row r="1923" spans="1:8" x14ac:dyDescent="0.2">
      <c r="A1923" s="222" t="s">
        <v>20</v>
      </c>
      <c r="B1923" s="223"/>
      <c r="C1923" s="226">
        <v>0</v>
      </c>
      <c r="D1923" s="228">
        <v>0</v>
      </c>
      <c r="E1923" s="227">
        <v>0</v>
      </c>
      <c r="F1923" s="227"/>
      <c r="G1923" s="334"/>
    </row>
    <row r="1924" spans="1:8" x14ac:dyDescent="0.2">
      <c r="A1924" s="222" t="s">
        <v>21</v>
      </c>
      <c r="B1924" s="223"/>
      <c r="C1924" s="226">
        <v>30</v>
      </c>
      <c r="D1924" s="228">
        <f>D1921-D1923</f>
        <v>30</v>
      </c>
      <c r="E1924" s="228">
        <f>E1921-E1923</f>
        <v>27.5</v>
      </c>
      <c r="F1924" s="227"/>
      <c r="G1924" s="334"/>
    </row>
    <row r="1925" spans="1:8" x14ac:dyDescent="0.2">
      <c r="A1925" s="229" t="s">
        <v>22</v>
      </c>
      <c r="B1925" s="230"/>
      <c r="C1925" s="231">
        <v>2023</v>
      </c>
      <c r="D1925" s="232">
        <v>2024</v>
      </c>
      <c r="E1925" s="231">
        <v>2025</v>
      </c>
      <c r="F1925" s="231">
        <v>2026</v>
      </c>
      <c r="G1925" s="638">
        <v>2027</v>
      </c>
    </row>
    <row r="1926" spans="1:8" x14ac:dyDescent="0.2">
      <c r="A1926" s="241" t="s">
        <v>692</v>
      </c>
      <c r="B1926" s="242"/>
      <c r="C1926" s="252"/>
      <c r="D1926" s="252"/>
      <c r="E1926" s="252"/>
      <c r="F1926" s="252"/>
      <c r="G1926" s="7"/>
    </row>
    <row r="1927" spans="1:8" x14ac:dyDescent="0.2">
      <c r="A1927" s="645" t="s">
        <v>1104</v>
      </c>
      <c r="B1927" s="219"/>
      <c r="C1927" s="219"/>
      <c r="D1927" s="219"/>
      <c r="E1927" s="219"/>
      <c r="G1927" s="12"/>
    </row>
    <row r="1928" spans="1:8" x14ac:dyDescent="0.2">
      <c r="A1928" s="328" t="s">
        <v>1105</v>
      </c>
      <c r="B1928" s="244"/>
      <c r="C1928" s="244"/>
      <c r="D1928" s="244"/>
      <c r="E1928" s="244"/>
      <c r="F1928" s="13"/>
      <c r="G1928" s="14"/>
    </row>
    <row r="1929" spans="1:8" x14ac:dyDescent="0.2">
      <c r="A1929" s="219"/>
      <c r="B1929" s="219"/>
      <c r="C1929" s="219"/>
      <c r="D1929" s="219"/>
      <c r="E1929" s="219"/>
    </row>
    <row r="1930" spans="1:8" x14ac:dyDescent="0.2">
      <c r="A1930" s="220" t="s">
        <v>14</v>
      </c>
      <c r="B1930" s="221" t="s">
        <v>643</v>
      </c>
      <c r="C1930" s="449" t="s">
        <v>15</v>
      </c>
      <c r="D1930" s="219"/>
      <c r="E1930" s="219"/>
      <c r="F1930" s="219"/>
      <c r="G1930" s="219"/>
      <c r="H1930" s="219"/>
    </row>
    <row r="1931" spans="1:8" x14ac:dyDescent="0.2">
      <c r="A1931" s="222" t="s">
        <v>16</v>
      </c>
      <c r="B1931" s="223"/>
      <c r="C1931" s="450">
        <v>2021</v>
      </c>
      <c r="D1931" s="224">
        <v>2022</v>
      </c>
      <c r="E1931" s="225">
        <v>2023</v>
      </c>
      <c r="F1931" s="225">
        <v>2024</v>
      </c>
      <c r="G1931" s="637">
        <v>2025</v>
      </c>
    </row>
    <row r="1932" spans="1:8" x14ac:dyDescent="0.2">
      <c r="A1932" s="222" t="s">
        <v>17</v>
      </c>
      <c r="B1932" s="223"/>
      <c r="C1932" s="226">
        <v>48.4</v>
      </c>
      <c r="D1932" s="226">
        <v>48.4</v>
      </c>
      <c r="E1932" s="226">
        <v>63</v>
      </c>
      <c r="F1932" s="226">
        <v>63</v>
      </c>
      <c r="G1932" s="274">
        <v>63</v>
      </c>
    </row>
    <row r="1933" spans="1:8" x14ac:dyDescent="0.2">
      <c r="A1933" s="222" t="s">
        <v>18</v>
      </c>
      <c r="B1933" s="223"/>
      <c r="C1933" s="226"/>
      <c r="D1933" s="226">
        <f>D1932+0.05*C1932</f>
        <v>50.82</v>
      </c>
      <c r="E1933" s="227">
        <f>E1932+0.05*D1932</f>
        <v>65.42</v>
      </c>
      <c r="F1933" s="334">
        <f>F1932+0.05*E1932</f>
        <v>66.150000000000006</v>
      </c>
      <c r="G1933" s="334"/>
    </row>
    <row r="1934" spans="1:8" x14ac:dyDescent="0.2">
      <c r="A1934" s="222" t="s">
        <v>19</v>
      </c>
      <c r="B1934" s="223"/>
      <c r="C1934" s="227"/>
      <c r="D1934" s="228" t="s">
        <v>863</v>
      </c>
      <c r="E1934" s="227" t="s">
        <v>864</v>
      </c>
      <c r="F1934" s="227" t="s">
        <v>865</v>
      </c>
      <c r="G1934" s="334" t="s">
        <v>1106</v>
      </c>
    </row>
    <row r="1935" spans="1:8" x14ac:dyDescent="0.2">
      <c r="A1935" s="222" t="s">
        <v>20</v>
      </c>
      <c r="B1935" s="223"/>
      <c r="C1935" s="226">
        <v>2.92</v>
      </c>
      <c r="D1935" s="228">
        <v>4.609</v>
      </c>
      <c r="E1935" s="227">
        <v>22.1</v>
      </c>
      <c r="F1935" s="227"/>
      <c r="G1935" s="334"/>
    </row>
    <row r="1936" spans="1:8" x14ac:dyDescent="0.2">
      <c r="A1936" s="222" t="s">
        <v>21</v>
      </c>
      <c r="B1936" s="223"/>
      <c r="C1936" s="226">
        <f>C1932-C1935</f>
        <v>45.48</v>
      </c>
      <c r="D1936" s="226">
        <f>D1933-D1935</f>
        <v>46.210999999999999</v>
      </c>
      <c r="E1936" s="226">
        <f>E1933-E1935</f>
        <v>43.32</v>
      </c>
      <c r="F1936" s="227"/>
      <c r="G1936" s="334"/>
    </row>
    <row r="1937" spans="1:8" x14ac:dyDescent="0.2">
      <c r="A1937" s="229" t="s">
        <v>22</v>
      </c>
      <c r="B1937" s="230"/>
      <c r="C1937" s="231">
        <v>2022</v>
      </c>
      <c r="D1937" s="232">
        <v>2023</v>
      </c>
      <c r="E1937" s="231">
        <v>2024</v>
      </c>
      <c r="F1937" s="231">
        <v>2025</v>
      </c>
      <c r="G1937" s="638">
        <v>2026</v>
      </c>
    </row>
    <row r="1938" spans="1:8" x14ac:dyDescent="0.2">
      <c r="A1938" s="241" t="s">
        <v>693</v>
      </c>
      <c r="B1938" s="242"/>
      <c r="C1938" s="252"/>
      <c r="D1938" s="252"/>
      <c r="E1938" s="252"/>
      <c r="F1938" s="273"/>
      <c r="G1938" s="641"/>
    </row>
    <row r="1939" spans="1:8" x14ac:dyDescent="0.2">
      <c r="A1939" s="243" t="s">
        <v>866</v>
      </c>
      <c r="B1939" s="219"/>
      <c r="C1939" s="456"/>
      <c r="D1939" s="456"/>
      <c r="E1939" s="456"/>
      <c r="F1939" s="642"/>
      <c r="G1939" s="643"/>
    </row>
    <row r="1940" spans="1:8" x14ac:dyDescent="0.2">
      <c r="A1940" s="328" t="s">
        <v>1107</v>
      </c>
      <c r="B1940" s="244"/>
      <c r="C1940" s="244"/>
      <c r="D1940" s="244"/>
      <c r="E1940" s="244"/>
      <c r="F1940" s="14"/>
      <c r="G1940" s="333"/>
    </row>
    <row r="1941" spans="1:8" x14ac:dyDescent="0.2">
      <c r="A1941" s="219"/>
      <c r="B1941" s="219"/>
      <c r="C1941" s="219"/>
      <c r="D1941" s="219"/>
      <c r="E1941" s="219"/>
    </row>
    <row r="1942" spans="1:8" x14ac:dyDescent="0.2">
      <c r="A1942" s="220" t="s">
        <v>14</v>
      </c>
      <c r="B1942" s="221" t="s">
        <v>646</v>
      </c>
      <c r="C1942" s="449" t="s">
        <v>15</v>
      </c>
      <c r="D1942" s="219"/>
      <c r="E1942" s="219"/>
      <c r="F1942" s="219"/>
      <c r="G1942" s="219"/>
      <c r="H1942" s="219"/>
    </row>
    <row r="1943" spans="1:8" x14ac:dyDescent="0.2">
      <c r="A1943" s="222" t="s">
        <v>16</v>
      </c>
      <c r="B1943" s="223"/>
      <c r="C1943" s="450">
        <v>2021</v>
      </c>
      <c r="D1943" s="224">
        <v>2022</v>
      </c>
      <c r="E1943" s="225">
        <v>2023</v>
      </c>
      <c r="F1943" s="225">
        <v>2024</v>
      </c>
      <c r="G1943" s="637">
        <v>2025</v>
      </c>
    </row>
    <row r="1944" spans="1:8" x14ac:dyDescent="0.2">
      <c r="A1944" s="222" t="s">
        <v>17</v>
      </c>
      <c r="B1944" s="223"/>
      <c r="C1944" s="226">
        <v>5.31</v>
      </c>
      <c r="D1944" s="226">
        <v>6.18</v>
      </c>
      <c r="E1944" s="226">
        <v>6.18</v>
      </c>
      <c r="F1944" s="226">
        <v>6.18</v>
      </c>
      <c r="G1944" s="274">
        <v>6.18</v>
      </c>
    </row>
    <row r="1945" spans="1:8" x14ac:dyDescent="0.2">
      <c r="A1945" s="222" t="s">
        <v>18</v>
      </c>
      <c r="B1945" s="223"/>
      <c r="C1945" s="226">
        <v>10.62</v>
      </c>
      <c r="D1945" s="226">
        <f>D1944+C1944</f>
        <v>11.489999999999998</v>
      </c>
      <c r="E1945" s="227">
        <f>E1944+D1944</f>
        <v>12.36</v>
      </c>
      <c r="F1945" s="334">
        <f>F1944*2</f>
        <v>12.36</v>
      </c>
      <c r="G1945" s="334"/>
    </row>
    <row r="1946" spans="1:8" x14ac:dyDescent="0.2">
      <c r="A1946" s="222" t="s">
        <v>19</v>
      </c>
      <c r="B1946" s="223"/>
      <c r="C1946" s="227"/>
      <c r="D1946" s="228" t="s">
        <v>867</v>
      </c>
      <c r="E1946" s="227" t="s">
        <v>868</v>
      </c>
      <c r="F1946" s="227" t="s">
        <v>869</v>
      </c>
      <c r="G1946" s="334" t="s">
        <v>1108</v>
      </c>
    </row>
    <row r="1947" spans="1:8" x14ac:dyDescent="0.2">
      <c r="A1947" s="222" t="s">
        <v>20</v>
      </c>
      <c r="B1947" s="223"/>
      <c r="C1947" s="226">
        <v>0.71</v>
      </c>
      <c r="D1947" s="228">
        <v>0</v>
      </c>
      <c r="E1947" s="227">
        <v>0.55000000000000004</v>
      </c>
      <c r="F1947" s="227"/>
      <c r="G1947" s="334"/>
    </row>
    <row r="1948" spans="1:8" x14ac:dyDescent="0.2">
      <c r="A1948" s="222" t="s">
        <v>21</v>
      </c>
      <c r="B1948" s="223"/>
      <c r="C1948" s="226">
        <f>C1945-C1947</f>
        <v>9.91</v>
      </c>
      <c r="D1948" s="226">
        <f>D1945-D1947</f>
        <v>11.489999999999998</v>
      </c>
      <c r="E1948" s="226">
        <f>E1945-E1947</f>
        <v>11.809999999999999</v>
      </c>
      <c r="F1948" s="227"/>
      <c r="G1948" s="334"/>
    </row>
    <row r="1949" spans="1:8" x14ac:dyDescent="0.2">
      <c r="A1949" s="229" t="s">
        <v>22</v>
      </c>
      <c r="B1949" s="230"/>
      <c r="C1949" s="231">
        <v>2022</v>
      </c>
      <c r="D1949" s="232">
        <v>2023</v>
      </c>
      <c r="E1949" s="231">
        <v>2024</v>
      </c>
      <c r="F1949" s="231">
        <v>2025</v>
      </c>
      <c r="G1949" s="638">
        <v>2026</v>
      </c>
    </row>
    <row r="1950" spans="1:8" x14ac:dyDescent="0.2">
      <c r="A1950" s="241" t="s">
        <v>694</v>
      </c>
      <c r="B1950" s="242"/>
      <c r="C1950" s="252"/>
      <c r="D1950" s="252"/>
      <c r="E1950" s="252"/>
      <c r="F1950" s="273"/>
      <c r="G1950" s="641"/>
    </row>
    <row r="1951" spans="1:8" x14ac:dyDescent="0.2">
      <c r="A1951" s="243" t="s">
        <v>870</v>
      </c>
      <c r="B1951" s="219"/>
      <c r="C1951" s="219"/>
      <c r="D1951" s="219"/>
      <c r="E1951" s="219"/>
      <c r="F1951" s="646"/>
      <c r="G1951" s="576"/>
    </row>
    <row r="1952" spans="1:8" x14ac:dyDescent="0.2">
      <c r="A1952" s="328" t="s">
        <v>1109</v>
      </c>
      <c r="B1952" s="244"/>
      <c r="C1952" s="244"/>
      <c r="D1952" s="244"/>
      <c r="E1952" s="244"/>
      <c r="F1952" s="14"/>
      <c r="G1952" s="333"/>
    </row>
    <row r="1953" spans="1:7" x14ac:dyDescent="0.2">
      <c r="A1953" s="219"/>
      <c r="B1953" s="219"/>
      <c r="C1953" s="219"/>
      <c r="D1953" s="219"/>
      <c r="E1953" s="219"/>
    </row>
    <row r="1954" spans="1:7" x14ac:dyDescent="0.2">
      <c r="A1954" s="288" t="s">
        <v>204</v>
      </c>
      <c r="B1954" s="283" t="s">
        <v>826</v>
      </c>
    </row>
    <row r="1955" spans="1:7" x14ac:dyDescent="0.2">
      <c r="A1955" s="43" t="s">
        <v>203</v>
      </c>
      <c r="B1955" s="56" t="s">
        <v>639</v>
      </c>
      <c r="C1955" s="45" t="s">
        <v>15</v>
      </c>
    </row>
    <row r="1956" spans="1:7" x14ac:dyDescent="0.2">
      <c r="A1956" s="15" t="s">
        <v>16</v>
      </c>
      <c r="B1956" s="15"/>
      <c r="C1956" s="15"/>
      <c r="D1956" s="2">
        <v>2022</v>
      </c>
      <c r="E1956" s="2">
        <v>2023</v>
      </c>
      <c r="F1956" s="468">
        <v>2024</v>
      </c>
      <c r="G1956" s="468">
        <v>2025</v>
      </c>
    </row>
    <row r="1957" spans="1:7" x14ac:dyDescent="0.2">
      <c r="A1957" s="15" t="s">
        <v>17</v>
      </c>
      <c r="B1957" s="5"/>
      <c r="C1957" s="5"/>
      <c r="D1957" s="5">
        <v>440</v>
      </c>
      <c r="E1957" s="5">
        <v>530</v>
      </c>
      <c r="F1957" s="409">
        <v>530</v>
      </c>
      <c r="G1957" s="409">
        <v>530</v>
      </c>
    </row>
    <row r="1958" spans="1:7" x14ac:dyDescent="0.2">
      <c r="A1958" s="15" t="s">
        <v>18</v>
      </c>
      <c r="B1958" s="5"/>
      <c r="C1958" s="5"/>
      <c r="D1958" s="5">
        <f>D1957+0.25*440-52.95</f>
        <v>497.05</v>
      </c>
      <c r="E1958" s="5">
        <f>E1957+0.25*440-100</f>
        <v>540</v>
      </c>
      <c r="F1958" s="409">
        <f>F1957-100</f>
        <v>430</v>
      </c>
      <c r="G1958" s="409">
        <f>G1957+0.25*E1957-100</f>
        <v>562.5</v>
      </c>
    </row>
    <row r="1959" spans="1:7" x14ac:dyDescent="0.2">
      <c r="A1959" s="46" t="s">
        <v>19</v>
      </c>
      <c r="B1959" s="145"/>
      <c r="C1959" s="5"/>
      <c r="D1959" s="5"/>
      <c r="E1959" s="5"/>
      <c r="F1959" s="409"/>
      <c r="G1959" s="409"/>
    </row>
    <row r="1960" spans="1:7" x14ac:dyDescent="0.2">
      <c r="A1960" s="46" t="s">
        <v>20</v>
      </c>
      <c r="B1960" s="5"/>
      <c r="C1960" s="5"/>
      <c r="D1960" s="5">
        <v>0</v>
      </c>
      <c r="E1960" s="409">
        <v>0</v>
      </c>
      <c r="F1960" s="409"/>
      <c r="G1960" s="409"/>
    </row>
    <row r="1961" spans="1:7" x14ac:dyDescent="0.2">
      <c r="A1961" s="46" t="s">
        <v>21</v>
      </c>
      <c r="B1961" s="5"/>
      <c r="C1961" s="5"/>
      <c r="D1961" s="5">
        <f>D1958-D1960</f>
        <v>497.05</v>
      </c>
      <c r="E1961" s="409">
        <f>E1958-E1960</f>
        <v>540</v>
      </c>
      <c r="F1961" s="409"/>
      <c r="G1961" s="409"/>
    </row>
    <row r="1962" spans="1:7" x14ac:dyDescent="0.2">
      <c r="A1962" s="8" t="s">
        <v>22</v>
      </c>
      <c r="B1962" s="16"/>
      <c r="C1962" s="16"/>
      <c r="D1962" s="28">
        <v>2024</v>
      </c>
      <c r="E1962" s="28">
        <v>2025</v>
      </c>
      <c r="F1962" s="467">
        <v>2026</v>
      </c>
      <c r="G1962" s="467">
        <v>2027</v>
      </c>
    </row>
    <row r="1963" spans="1:7" x14ac:dyDescent="0.2">
      <c r="A1963" s="8" t="s">
        <v>23</v>
      </c>
      <c r="B1963" s="9"/>
      <c r="C1963" s="9"/>
      <c r="D1963" s="62"/>
      <c r="E1963" s="62"/>
      <c r="F1963" s="687"/>
      <c r="G1963" s="473"/>
    </row>
    <row r="1964" spans="1:7" x14ac:dyDescent="0.2">
      <c r="A1964" s="10" t="s">
        <v>916</v>
      </c>
      <c r="D1964" s="200"/>
      <c r="E1964" s="200"/>
      <c r="F1964" s="686"/>
      <c r="G1964" s="685"/>
    </row>
    <row r="1965" spans="1:7" x14ac:dyDescent="0.2">
      <c r="A1965" s="10" t="s">
        <v>827</v>
      </c>
      <c r="F1965" s="329"/>
      <c r="G1965" s="413"/>
    </row>
    <row r="1966" spans="1:7" x14ac:dyDescent="0.2">
      <c r="A1966" s="414" t="s">
        <v>1123</v>
      </c>
      <c r="F1966" s="329"/>
      <c r="G1966" s="413"/>
    </row>
    <row r="1967" spans="1:7" x14ac:dyDescent="0.2">
      <c r="A1967" s="415" t="s">
        <v>1124</v>
      </c>
      <c r="B1967" s="13"/>
      <c r="C1967" s="13"/>
      <c r="D1967" s="13"/>
      <c r="E1967" s="13"/>
      <c r="F1967" s="331"/>
      <c r="G1967" s="333"/>
    </row>
    <row r="1970" spans="1:11" x14ac:dyDescent="0.2">
      <c r="A1970" s="218" t="s">
        <v>12</v>
      </c>
      <c r="B1970" s="285" t="s">
        <v>114</v>
      </c>
      <c r="D1970" s="219"/>
      <c r="E1970" s="219"/>
      <c r="F1970" s="219"/>
      <c r="G1970" s="219"/>
      <c r="H1970" s="219"/>
    </row>
    <row r="1971" spans="1:11" x14ac:dyDescent="0.2">
      <c r="A1971" s="220" t="s">
        <v>14</v>
      </c>
      <c r="B1971" s="221" t="s">
        <v>625</v>
      </c>
      <c r="C1971" s="449" t="s">
        <v>15</v>
      </c>
      <c r="D1971" s="219"/>
      <c r="E1971" s="219"/>
      <c r="F1971" s="219"/>
      <c r="G1971" s="219"/>
      <c r="H1971" s="219"/>
    </row>
    <row r="1972" spans="1:11" x14ac:dyDescent="0.2">
      <c r="A1972" s="222" t="s">
        <v>16</v>
      </c>
      <c r="B1972" s="223"/>
      <c r="C1972" s="450">
        <v>2016</v>
      </c>
      <c r="D1972" s="224">
        <v>2017</v>
      </c>
      <c r="E1972" s="225">
        <v>2018</v>
      </c>
      <c r="F1972" s="236">
        <v>2019</v>
      </c>
      <c r="G1972" s="237">
        <v>2020</v>
      </c>
      <c r="H1972" s="237">
        <v>2021</v>
      </c>
      <c r="I1972" s="237">
        <v>2022</v>
      </c>
      <c r="J1972" s="237">
        <v>2023</v>
      </c>
      <c r="K1972" s="573">
        <v>2024</v>
      </c>
    </row>
    <row r="1973" spans="1:11" x14ac:dyDescent="0.2">
      <c r="A1973" s="222" t="s">
        <v>17</v>
      </c>
      <c r="B1973" s="223"/>
      <c r="C1973" s="226">
        <v>527</v>
      </c>
      <c r="D1973" s="226">
        <v>527</v>
      </c>
      <c r="E1973" s="227">
        <v>632.4</v>
      </c>
      <c r="F1973" s="238">
        <v>632.4</v>
      </c>
      <c r="G1973" s="25">
        <v>632.4</v>
      </c>
      <c r="H1973" s="25">
        <v>711.5</v>
      </c>
      <c r="I1973" s="25">
        <v>711.5</v>
      </c>
      <c r="J1973" s="25">
        <v>711.5</v>
      </c>
      <c r="K1973" s="574">
        <v>889.4</v>
      </c>
    </row>
    <row r="1974" spans="1:11" x14ac:dyDescent="0.2">
      <c r="A1974" s="222" t="s">
        <v>18</v>
      </c>
      <c r="B1974" s="223"/>
      <c r="C1974" s="226">
        <v>658.75</v>
      </c>
      <c r="D1974" s="226">
        <v>658.75</v>
      </c>
      <c r="E1974" s="227">
        <v>764.15</v>
      </c>
      <c r="F1974" s="238">
        <v>790.5</v>
      </c>
      <c r="G1974" s="25">
        <v>790.5</v>
      </c>
      <c r="H1974" s="25">
        <f>H1973+0.25*G1973</f>
        <v>869.6</v>
      </c>
      <c r="I1974" s="25">
        <f>I1973+0.25*H1973</f>
        <v>889.375</v>
      </c>
      <c r="J1974" s="25">
        <f>J1973+0.25*I1973</f>
        <v>889.375</v>
      </c>
      <c r="K1974" s="574">
        <f>K1973+0.25*J1973</f>
        <v>1067.2750000000001</v>
      </c>
    </row>
    <row r="1975" spans="1:11" x14ac:dyDescent="0.2">
      <c r="A1975" s="222" t="s">
        <v>19</v>
      </c>
      <c r="B1975" s="223"/>
      <c r="C1975" s="227"/>
      <c r="D1975" s="228"/>
      <c r="E1975" s="227"/>
      <c r="F1975" s="238"/>
      <c r="G1975" s="25"/>
      <c r="H1975" s="25"/>
      <c r="I1975" s="25"/>
      <c r="J1975" s="25"/>
      <c r="K1975" s="574"/>
    </row>
    <row r="1976" spans="1:11" x14ac:dyDescent="0.2">
      <c r="A1976" s="222" t="s">
        <v>20</v>
      </c>
      <c r="B1976" s="223"/>
      <c r="C1976" s="226">
        <v>250.22</v>
      </c>
      <c r="D1976" s="228">
        <v>238.35</v>
      </c>
      <c r="E1976" s="227">
        <v>102.57</v>
      </c>
      <c r="F1976" s="238">
        <v>221.13</v>
      </c>
      <c r="G1976" s="25">
        <v>328.36</v>
      </c>
      <c r="H1976" s="25">
        <v>295.93</v>
      </c>
      <c r="I1976" s="25">
        <v>310.56</v>
      </c>
      <c r="J1976" s="25">
        <v>180.5</v>
      </c>
      <c r="K1976" s="574"/>
    </row>
    <row r="1977" spans="1:11" x14ac:dyDescent="0.2">
      <c r="A1977" s="222" t="s">
        <v>21</v>
      </c>
      <c r="B1977" s="223"/>
      <c r="C1977" s="226">
        <v>408.53</v>
      </c>
      <c r="D1977" s="228">
        <v>420.4</v>
      </c>
      <c r="E1977" s="227">
        <f t="shared" ref="E1977:J1977" si="64">E1974-E1976</f>
        <v>661.57999999999993</v>
      </c>
      <c r="F1977" s="238">
        <f t="shared" si="64"/>
        <v>569.37</v>
      </c>
      <c r="G1977" s="25">
        <f t="shared" si="64"/>
        <v>462.14</v>
      </c>
      <c r="H1977" s="25">
        <f t="shared" si="64"/>
        <v>573.67000000000007</v>
      </c>
      <c r="I1977" s="25">
        <f t="shared" si="64"/>
        <v>578.81500000000005</v>
      </c>
      <c r="J1977" s="25">
        <f t="shared" si="64"/>
        <v>708.875</v>
      </c>
      <c r="K1977" s="574"/>
    </row>
    <row r="1978" spans="1:11" x14ac:dyDescent="0.2">
      <c r="A1978" s="229" t="s">
        <v>22</v>
      </c>
      <c r="B1978" s="230"/>
      <c r="C1978" s="231">
        <v>2017</v>
      </c>
      <c r="D1978" s="232">
        <v>2018</v>
      </c>
      <c r="E1978" s="231">
        <v>2019</v>
      </c>
      <c r="F1978" s="239">
        <v>2020</v>
      </c>
      <c r="G1978" s="240">
        <v>2021</v>
      </c>
      <c r="H1978" s="240">
        <v>2022</v>
      </c>
      <c r="I1978" s="240">
        <v>2023</v>
      </c>
      <c r="J1978" s="240">
        <v>2024</v>
      </c>
      <c r="K1978" s="575">
        <v>2025</v>
      </c>
    </row>
    <row r="1979" spans="1:11" x14ac:dyDescent="0.2">
      <c r="A1979" s="320" t="s">
        <v>115</v>
      </c>
      <c r="B1979" s="321"/>
      <c r="C1979" s="321"/>
      <c r="D1979" s="321"/>
      <c r="E1979" s="321"/>
      <c r="F1979" s="321"/>
      <c r="G1979" s="321"/>
      <c r="H1979" s="321"/>
      <c r="I1979" s="321"/>
      <c r="J1979" s="321"/>
      <c r="K1979" s="579"/>
    </row>
    <row r="1980" spans="1:11" x14ac:dyDescent="0.2">
      <c r="A1980" s="243" t="s">
        <v>116</v>
      </c>
      <c r="B1980" s="219"/>
      <c r="C1980" s="219"/>
      <c r="D1980" s="578"/>
      <c r="E1980" s="578"/>
      <c r="F1980" s="578"/>
      <c r="G1980" s="578"/>
      <c r="H1980" s="578"/>
      <c r="I1980" s="578"/>
      <c r="J1980" s="219"/>
      <c r="K1980" s="576"/>
    </row>
    <row r="1981" spans="1:11" x14ac:dyDescent="0.2">
      <c r="A1981" s="243" t="s">
        <v>117</v>
      </c>
      <c r="B1981" s="219"/>
      <c r="C1981" s="219"/>
      <c r="D1981" s="219"/>
      <c r="E1981" s="219"/>
      <c r="F1981" s="219"/>
      <c r="G1981" s="219"/>
      <c r="H1981" s="219"/>
      <c r="I1981" s="219"/>
      <c r="J1981" s="219"/>
      <c r="K1981" s="576"/>
    </row>
    <row r="1982" spans="1:11" x14ac:dyDescent="0.2">
      <c r="A1982" s="243" t="s">
        <v>118</v>
      </c>
      <c r="B1982" s="219"/>
      <c r="C1982" s="219"/>
      <c r="D1982" s="219"/>
      <c r="E1982" s="219"/>
      <c r="F1982" s="219"/>
      <c r="G1982" s="219"/>
      <c r="H1982" s="219"/>
      <c r="I1982" s="219"/>
      <c r="J1982" s="219"/>
      <c r="K1982" s="576"/>
    </row>
    <row r="1983" spans="1:11" x14ac:dyDescent="0.2">
      <c r="A1983" s="243" t="s">
        <v>119</v>
      </c>
      <c r="B1983" s="219"/>
      <c r="C1983" s="219"/>
      <c r="D1983" s="219"/>
      <c r="E1983" s="219"/>
      <c r="F1983" s="219"/>
      <c r="G1983" s="219"/>
      <c r="H1983" s="219"/>
      <c r="I1983" s="219"/>
      <c r="J1983" s="219"/>
      <c r="K1983" s="576"/>
    </row>
    <row r="1984" spans="1:11" x14ac:dyDescent="0.2">
      <c r="A1984" s="243" t="s">
        <v>301</v>
      </c>
      <c r="B1984" s="219"/>
      <c r="C1984" s="219"/>
      <c r="D1984" s="219"/>
      <c r="E1984" s="219"/>
      <c r="F1984" s="219"/>
      <c r="G1984" s="219"/>
      <c r="H1984" s="219"/>
      <c r="I1984" s="219"/>
      <c r="J1984" s="219"/>
      <c r="K1984" s="576"/>
    </row>
    <row r="1985" spans="1:26" x14ac:dyDescent="0.2">
      <c r="A1985" s="243" t="s">
        <v>532</v>
      </c>
      <c r="B1985" s="219"/>
      <c r="C1985" s="219"/>
      <c r="D1985" s="219"/>
      <c r="E1985" s="219"/>
      <c r="F1985" s="219"/>
      <c r="G1985" s="219"/>
      <c r="H1985" s="219"/>
      <c r="I1985" s="219"/>
      <c r="J1985" s="219"/>
      <c r="K1985" s="576"/>
    </row>
    <row r="1986" spans="1:26" x14ac:dyDescent="0.2">
      <c r="A1986" s="243" t="s">
        <v>668</v>
      </c>
      <c r="B1986" s="219"/>
      <c r="C1986" s="219"/>
      <c r="D1986" s="219"/>
      <c r="E1986" s="219"/>
      <c r="F1986" s="219"/>
      <c r="G1986" s="219"/>
      <c r="H1986" s="219"/>
      <c r="I1986" s="219"/>
      <c r="J1986" s="219"/>
      <c r="K1986" s="576"/>
    </row>
    <row r="1987" spans="1:26" x14ac:dyDescent="0.2">
      <c r="A1987" s="243" t="s">
        <v>875</v>
      </c>
      <c r="B1987" s="219"/>
      <c r="C1987" s="219"/>
      <c r="D1987" s="219"/>
      <c r="E1987" s="219"/>
      <c r="F1987" s="219"/>
      <c r="G1987" s="219"/>
      <c r="H1987" s="219"/>
      <c r="I1987" s="219"/>
      <c r="J1987" s="219"/>
      <c r="K1987" s="576"/>
    </row>
    <row r="1988" spans="1:26" s="407" customFormat="1" ht="15" x14ac:dyDescent="0.25">
      <c r="A1988" s="414" t="s">
        <v>1036</v>
      </c>
      <c r="B1988" s="329"/>
      <c r="C1988" s="329"/>
      <c r="D1988" s="329"/>
      <c r="E1988" s="329"/>
      <c r="F1988" s="329"/>
      <c r="G1988" s="329"/>
      <c r="H1988" s="329"/>
      <c r="I1988" s="329"/>
      <c r="J1988" s="329"/>
      <c r="K1988" s="413"/>
      <c r="L1988" s="329"/>
      <c r="M1988" s="329"/>
      <c r="N1988" s="329"/>
      <c r="O1988" s="329"/>
      <c r="P1988" s="329"/>
      <c r="Q1988" s="329"/>
      <c r="R1988" s="329"/>
      <c r="S1988" s="329"/>
      <c r="T1988" s="329"/>
      <c r="U1988" s="329"/>
      <c r="V1988" s="329"/>
      <c r="W1988" s="329"/>
      <c r="X1988" s="329"/>
      <c r="Y1988" s="329"/>
      <c r="Z1988" s="329"/>
    </row>
    <row r="1989" spans="1:26" x14ac:dyDescent="0.2">
      <c r="A1989" s="243" t="s">
        <v>533</v>
      </c>
      <c r="B1989" s="219"/>
      <c r="C1989" s="219"/>
      <c r="D1989" s="219"/>
      <c r="E1989" s="219"/>
      <c r="F1989" s="219"/>
      <c r="G1989" s="219"/>
      <c r="H1989" s="219"/>
      <c r="I1989" s="219"/>
      <c r="J1989" s="219"/>
      <c r="K1989" s="576"/>
    </row>
    <row r="1990" spans="1:26" x14ac:dyDescent="0.2">
      <c r="A1990" s="243" t="s">
        <v>534</v>
      </c>
      <c r="B1990" s="219"/>
      <c r="C1990" s="219"/>
      <c r="D1990" s="219"/>
      <c r="E1990" s="219"/>
      <c r="F1990" s="219"/>
      <c r="G1990" s="219"/>
      <c r="H1990" s="219"/>
      <c r="I1990" s="219"/>
      <c r="J1990" s="219"/>
      <c r="K1990" s="576"/>
    </row>
    <row r="1991" spans="1:26" s="407" customFormat="1" ht="12.75" customHeight="1" x14ac:dyDescent="0.25">
      <c r="A1991" s="415" t="s">
        <v>1037</v>
      </c>
      <c r="B1991" s="331"/>
      <c r="C1991" s="331"/>
      <c r="D1991" s="331"/>
      <c r="E1991" s="331"/>
      <c r="F1991" s="331"/>
      <c r="G1991" s="331"/>
      <c r="H1991" s="331"/>
      <c r="I1991" s="331"/>
      <c r="J1991" s="331"/>
      <c r="K1991" s="333"/>
      <c r="L1991" s="329"/>
      <c r="M1991" s="329"/>
      <c r="N1991" s="329"/>
      <c r="O1991" s="329"/>
      <c r="P1991" s="329"/>
      <c r="Q1991" s="329"/>
      <c r="R1991" s="329"/>
      <c r="S1991" s="329"/>
      <c r="T1991" s="329"/>
      <c r="U1991" s="329"/>
      <c r="V1991" s="329"/>
      <c r="W1991" s="329"/>
      <c r="X1991" s="329"/>
      <c r="Y1991" s="329"/>
      <c r="Z1991" s="329"/>
    </row>
    <row r="1993" spans="1:26" x14ac:dyDescent="0.2">
      <c r="A1993" s="220" t="s">
        <v>14</v>
      </c>
      <c r="B1993" s="221" t="s">
        <v>624</v>
      </c>
      <c r="C1993" s="449" t="s">
        <v>15</v>
      </c>
      <c r="D1993" s="219"/>
      <c r="E1993" s="219"/>
      <c r="F1993" s="219"/>
      <c r="G1993" s="219"/>
      <c r="H1993" s="219"/>
    </row>
    <row r="1994" spans="1:26" x14ac:dyDescent="0.2">
      <c r="A1994" s="222" t="s">
        <v>16</v>
      </c>
      <c r="B1994" s="223"/>
      <c r="C1994" s="454">
        <v>2017</v>
      </c>
      <c r="D1994" s="225">
        <v>2018</v>
      </c>
      <c r="E1994" s="225">
        <v>2019</v>
      </c>
      <c r="F1994" s="236">
        <v>2020</v>
      </c>
      <c r="G1994" s="237">
        <v>2021</v>
      </c>
      <c r="H1994" s="237">
        <v>2022</v>
      </c>
      <c r="I1994" s="237">
        <v>2023</v>
      </c>
      <c r="J1994" s="573">
        <v>2024</v>
      </c>
    </row>
    <row r="1995" spans="1:26" x14ac:dyDescent="0.2">
      <c r="A1995" s="222" t="s">
        <v>17</v>
      </c>
      <c r="B1995" s="223"/>
      <c r="C1995" s="226">
        <v>3907</v>
      </c>
      <c r="D1995" s="226">
        <v>3907</v>
      </c>
      <c r="E1995" s="227">
        <v>3907</v>
      </c>
      <c r="F1995" s="238">
        <v>3907</v>
      </c>
      <c r="G1995" s="25">
        <v>3907</v>
      </c>
      <c r="H1995" s="25">
        <v>3907</v>
      </c>
      <c r="I1995" s="25">
        <v>3907</v>
      </c>
      <c r="J1995" s="574">
        <v>3907</v>
      </c>
    </row>
    <row r="1996" spans="1:26" x14ac:dyDescent="0.2">
      <c r="A1996" s="222" t="s">
        <v>18</v>
      </c>
      <c r="B1996" s="223"/>
      <c r="C1996" s="226">
        <v>4468.05</v>
      </c>
      <c r="D1996" s="226">
        <v>4493.05</v>
      </c>
      <c r="E1996" s="227">
        <v>4493.05</v>
      </c>
      <c r="F1996" s="238">
        <v>4493.05</v>
      </c>
      <c r="G1996" s="25">
        <v>4493.05</v>
      </c>
      <c r="H1996" s="25">
        <v>4493.05</v>
      </c>
      <c r="I1996" s="25">
        <v>4493.05</v>
      </c>
      <c r="J1996" s="574">
        <f>J1995+I1995*0.15-200</f>
        <v>4293.05</v>
      </c>
    </row>
    <row r="1997" spans="1:26" x14ac:dyDescent="0.2">
      <c r="A1997" s="222" t="s">
        <v>19</v>
      </c>
      <c r="B1997" s="223"/>
      <c r="C1997" s="245"/>
      <c r="D1997" s="227"/>
      <c r="E1997" s="227"/>
      <c r="F1997" s="238"/>
      <c r="G1997" s="25"/>
      <c r="H1997" s="25"/>
      <c r="I1997" s="25"/>
      <c r="J1997" s="574"/>
    </row>
    <row r="1998" spans="1:26" x14ac:dyDescent="0.2">
      <c r="A1998" s="222" t="s">
        <v>20</v>
      </c>
      <c r="B1998" s="223"/>
      <c r="C1998" s="455">
        <v>1404.81</v>
      </c>
      <c r="D1998" s="227">
        <v>1274.78</v>
      </c>
      <c r="E1998" s="227">
        <v>1736.49</v>
      </c>
      <c r="F1998" s="238">
        <v>1441.75</v>
      </c>
      <c r="G1998" s="574">
        <v>1231.69</v>
      </c>
      <c r="H1998" s="574">
        <v>1339.32</v>
      </c>
      <c r="I1998" s="25">
        <v>1008.31</v>
      </c>
      <c r="J1998" s="574"/>
    </row>
    <row r="1999" spans="1:26" x14ac:dyDescent="0.2">
      <c r="A1999" s="222" t="s">
        <v>21</v>
      </c>
      <c r="B1999" s="223"/>
      <c r="C1999" s="226">
        <v>3063.24</v>
      </c>
      <c r="D1999" s="227">
        <f t="shared" ref="D1999:I1999" si="65">D1996-D1998</f>
        <v>3218.2700000000004</v>
      </c>
      <c r="E1999" s="227">
        <f t="shared" si="65"/>
        <v>2756.5600000000004</v>
      </c>
      <c r="F1999" s="227">
        <f t="shared" si="65"/>
        <v>3051.3</v>
      </c>
      <c r="G1999" s="574">
        <f t="shared" si="65"/>
        <v>3261.36</v>
      </c>
      <c r="H1999" s="574">
        <f t="shared" si="65"/>
        <v>3153.7300000000005</v>
      </c>
      <c r="I1999" s="25">
        <f t="shared" si="65"/>
        <v>3484.7400000000002</v>
      </c>
      <c r="J1999" s="574"/>
    </row>
    <row r="2000" spans="1:26" x14ac:dyDescent="0.2">
      <c r="A2000" s="229" t="s">
        <v>22</v>
      </c>
      <c r="B2000" s="230"/>
      <c r="C2000" s="456">
        <v>2018</v>
      </c>
      <c r="D2000" s="231">
        <v>2019</v>
      </c>
      <c r="E2000" s="231">
        <v>2020</v>
      </c>
      <c r="F2000" s="239">
        <v>2021</v>
      </c>
      <c r="G2000" s="240">
        <v>2022</v>
      </c>
      <c r="H2000" s="240">
        <v>2023</v>
      </c>
      <c r="I2000" s="240">
        <v>2024</v>
      </c>
      <c r="J2000" s="575">
        <v>2025</v>
      </c>
    </row>
    <row r="2001" spans="1:10" x14ac:dyDescent="0.2">
      <c r="A2001" s="320" t="s">
        <v>120</v>
      </c>
      <c r="B2001" s="321"/>
      <c r="C2001" s="321"/>
      <c r="D2001" s="321"/>
      <c r="E2001" s="321"/>
      <c r="F2001" s="321"/>
      <c r="G2001" s="321"/>
      <c r="H2001" s="321"/>
      <c r="I2001" s="321"/>
      <c r="J2001" s="579"/>
    </row>
    <row r="2002" spans="1:10" x14ac:dyDescent="0.2">
      <c r="A2002" s="243" t="s">
        <v>121</v>
      </c>
      <c r="B2002" s="219"/>
      <c r="C2002" s="219"/>
      <c r="D2002" s="219"/>
      <c r="E2002" s="219"/>
      <c r="F2002" s="219"/>
      <c r="G2002" s="219"/>
      <c r="H2002" s="219"/>
      <c r="I2002" s="219"/>
      <c r="J2002" s="576"/>
    </row>
    <row r="2003" spans="1:10" x14ac:dyDescent="0.2">
      <c r="A2003" s="243" t="s">
        <v>122</v>
      </c>
      <c r="B2003" s="219"/>
      <c r="C2003" s="219"/>
      <c r="D2003" s="219"/>
      <c r="E2003" s="219"/>
      <c r="F2003" s="219"/>
      <c r="G2003" s="219"/>
      <c r="H2003" s="219"/>
      <c r="I2003" s="219"/>
      <c r="J2003" s="576"/>
    </row>
    <row r="2004" spans="1:10" x14ac:dyDescent="0.2">
      <c r="A2004" s="243" t="s">
        <v>123</v>
      </c>
      <c r="B2004" s="219"/>
      <c r="C2004" s="219"/>
      <c r="D2004" s="219"/>
      <c r="E2004" s="219"/>
      <c r="F2004" s="219"/>
      <c r="G2004" s="219"/>
      <c r="H2004" s="219"/>
      <c r="I2004" s="219"/>
      <c r="J2004" s="576"/>
    </row>
    <row r="2005" spans="1:10" x14ac:dyDescent="0.2">
      <c r="A2005" s="10" t="s">
        <v>302</v>
      </c>
      <c r="B2005" s="219"/>
      <c r="C2005" s="219"/>
      <c r="D2005" s="219"/>
      <c r="E2005" s="219"/>
      <c r="F2005" s="219"/>
      <c r="G2005" s="219"/>
      <c r="H2005" s="219"/>
      <c r="I2005" s="219"/>
      <c r="J2005" s="576"/>
    </row>
    <row r="2006" spans="1:10" x14ac:dyDescent="0.2">
      <c r="A2006" s="243" t="s">
        <v>535</v>
      </c>
      <c r="B2006" s="219"/>
      <c r="C2006" s="219"/>
      <c r="D2006" s="219"/>
      <c r="E2006" s="219"/>
      <c r="F2006" s="219"/>
      <c r="G2006" s="219"/>
      <c r="H2006" s="219"/>
      <c r="I2006" s="219"/>
      <c r="J2006" s="576"/>
    </row>
    <row r="2007" spans="1:10" x14ac:dyDescent="0.2">
      <c r="A2007" s="243" t="s">
        <v>669</v>
      </c>
      <c r="B2007" s="219"/>
      <c r="C2007" s="219"/>
      <c r="D2007" s="219"/>
      <c r="E2007" s="219"/>
      <c r="F2007" s="219"/>
      <c r="G2007" s="219"/>
      <c r="H2007" s="219"/>
      <c r="I2007" s="219"/>
      <c r="J2007" s="576"/>
    </row>
    <row r="2008" spans="1:10" x14ac:dyDescent="0.2">
      <c r="A2008" s="243" t="s">
        <v>876</v>
      </c>
      <c r="B2008" s="219"/>
      <c r="C2008" s="219"/>
      <c r="D2008" s="219"/>
      <c r="E2008" s="219"/>
      <c r="F2008" s="219"/>
      <c r="G2008" s="219"/>
      <c r="H2008" s="219"/>
      <c r="I2008" s="219"/>
      <c r="J2008" s="576"/>
    </row>
    <row r="2009" spans="1:10" x14ac:dyDescent="0.2">
      <c r="A2009" s="328" t="s">
        <v>1038</v>
      </c>
      <c r="B2009" s="244"/>
      <c r="C2009" s="244"/>
      <c r="D2009" s="244"/>
      <c r="E2009" s="244"/>
      <c r="F2009" s="244"/>
      <c r="G2009" s="244"/>
      <c r="H2009" s="244"/>
      <c r="I2009" s="244"/>
      <c r="J2009" s="577"/>
    </row>
    <row r="2011" spans="1:10" x14ac:dyDescent="0.2">
      <c r="A2011" s="220" t="s">
        <v>14</v>
      </c>
      <c r="B2011" s="221" t="s">
        <v>642</v>
      </c>
      <c r="C2011" s="449" t="s">
        <v>15</v>
      </c>
      <c r="D2011" s="219"/>
      <c r="E2011" s="219"/>
      <c r="F2011" s="219"/>
      <c r="G2011" s="219"/>
      <c r="H2011" s="219"/>
    </row>
    <row r="2012" spans="1:10" x14ac:dyDescent="0.2">
      <c r="A2012" s="222" t="s">
        <v>16</v>
      </c>
      <c r="B2012" s="223"/>
      <c r="C2012" s="457">
        <v>2017</v>
      </c>
      <c r="D2012" s="246">
        <v>2018</v>
      </c>
      <c r="E2012" s="246">
        <v>2019</v>
      </c>
      <c r="F2012" s="247">
        <v>2020</v>
      </c>
      <c r="G2012" s="237">
        <v>2021</v>
      </c>
      <c r="H2012" s="237">
        <v>2022</v>
      </c>
      <c r="I2012" s="237">
        <v>2023</v>
      </c>
      <c r="J2012" s="573">
        <v>2024</v>
      </c>
    </row>
    <row r="2013" spans="1:10" x14ac:dyDescent="0.2">
      <c r="A2013" s="222" t="s">
        <v>17</v>
      </c>
      <c r="B2013" s="222"/>
      <c r="C2013" s="248">
        <v>100</v>
      </c>
      <c r="D2013" s="248">
        <v>100</v>
      </c>
      <c r="E2013" s="25">
        <v>100</v>
      </c>
      <c r="F2013" s="25">
        <v>100</v>
      </c>
      <c r="G2013" s="25">
        <v>100</v>
      </c>
      <c r="H2013" s="25">
        <v>100</v>
      </c>
      <c r="I2013" s="25">
        <v>100</v>
      </c>
      <c r="J2013" s="574">
        <v>100</v>
      </c>
    </row>
    <row r="2014" spans="1:10" x14ac:dyDescent="0.2">
      <c r="A2014" s="222" t="s">
        <v>18</v>
      </c>
      <c r="B2014" s="222"/>
      <c r="C2014" s="248">
        <v>99.94</v>
      </c>
      <c r="D2014" s="248">
        <v>99.94</v>
      </c>
      <c r="E2014" s="25">
        <v>99.94</v>
      </c>
      <c r="F2014" s="25">
        <v>99.94</v>
      </c>
      <c r="G2014" s="25">
        <v>99.94</v>
      </c>
      <c r="H2014" s="25">
        <f>H2013-50-25-24.94+G2017</f>
        <v>100</v>
      </c>
      <c r="I2014" s="25">
        <f>I2013-50-25-25+H2017</f>
        <v>100</v>
      </c>
      <c r="J2014" s="574">
        <f>J2013-50-25-25+I2017</f>
        <v>100</v>
      </c>
    </row>
    <row r="2015" spans="1:10" x14ac:dyDescent="0.2">
      <c r="A2015" s="222" t="s">
        <v>19</v>
      </c>
      <c r="B2015" s="222"/>
      <c r="C2015" s="25"/>
      <c r="D2015" s="25"/>
      <c r="E2015" s="25"/>
      <c r="F2015" s="25"/>
      <c r="G2015" s="25"/>
      <c r="H2015" s="25"/>
      <c r="I2015" s="25"/>
      <c r="J2015" s="574"/>
    </row>
    <row r="2016" spans="1:10" x14ac:dyDescent="0.2">
      <c r="A2016" s="222" t="s">
        <v>20</v>
      </c>
      <c r="B2016" s="222"/>
      <c r="C2016" s="248">
        <v>0</v>
      </c>
      <c r="D2016" s="248">
        <v>0</v>
      </c>
      <c r="E2016" s="248">
        <v>0</v>
      </c>
      <c r="F2016" s="25">
        <v>0</v>
      </c>
      <c r="G2016" s="25">
        <v>0</v>
      </c>
      <c r="H2016" s="25">
        <v>0</v>
      </c>
      <c r="I2016" s="25">
        <v>0</v>
      </c>
      <c r="J2016" s="574"/>
    </row>
    <row r="2017" spans="1:11" x14ac:dyDescent="0.2">
      <c r="A2017" s="222" t="s">
        <v>21</v>
      </c>
      <c r="B2017" s="223"/>
      <c r="C2017" s="249">
        <v>99.94</v>
      </c>
      <c r="D2017" s="249">
        <v>99.94</v>
      </c>
      <c r="E2017" s="249">
        <v>99.94</v>
      </c>
      <c r="F2017" s="245">
        <v>99.94</v>
      </c>
      <c r="G2017" s="25">
        <v>99.94</v>
      </c>
      <c r="H2017" s="25">
        <f>H2013-H2016</f>
        <v>100</v>
      </c>
      <c r="I2017" s="25">
        <v>100</v>
      </c>
      <c r="J2017" s="574"/>
    </row>
    <row r="2018" spans="1:11" x14ac:dyDescent="0.2">
      <c r="A2018" s="229" t="s">
        <v>22</v>
      </c>
      <c r="B2018" s="230"/>
      <c r="C2018" s="456">
        <v>2018</v>
      </c>
      <c r="D2018" s="231">
        <v>2019</v>
      </c>
      <c r="E2018" s="231">
        <v>2020</v>
      </c>
      <c r="F2018" s="239">
        <v>2021</v>
      </c>
      <c r="G2018" s="240">
        <v>2022</v>
      </c>
      <c r="H2018" s="240">
        <v>2023</v>
      </c>
      <c r="I2018" s="240">
        <v>2024</v>
      </c>
      <c r="J2018" s="575">
        <v>2025</v>
      </c>
    </row>
    <row r="2019" spans="1:11" x14ac:dyDescent="0.2">
      <c r="A2019" s="241" t="s">
        <v>124</v>
      </c>
      <c r="B2019" s="242"/>
      <c r="C2019" s="242"/>
      <c r="D2019" s="242"/>
      <c r="E2019" s="242"/>
      <c r="F2019" s="242"/>
      <c r="G2019" s="242"/>
      <c r="H2019" s="242"/>
      <c r="I2019" s="242"/>
      <c r="J2019" s="580"/>
    </row>
    <row r="2020" spans="1:11" x14ac:dyDescent="0.2">
      <c r="A2020" s="243" t="s">
        <v>125</v>
      </c>
      <c r="B2020" s="219"/>
      <c r="C2020" s="219"/>
      <c r="D2020" s="219"/>
      <c r="E2020" s="219"/>
      <c r="F2020" s="219"/>
      <c r="G2020" s="219"/>
      <c r="H2020" s="219"/>
      <c r="I2020" s="219"/>
      <c r="J2020" s="576"/>
    </row>
    <row r="2021" spans="1:11" x14ac:dyDescent="0.2">
      <c r="A2021" s="243" t="s">
        <v>126</v>
      </c>
      <c r="B2021" s="219"/>
      <c r="C2021" s="219"/>
      <c r="D2021" s="219"/>
      <c r="E2021" s="219"/>
      <c r="F2021" s="219"/>
      <c r="G2021" s="219"/>
      <c r="H2021" s="219"/>
      <c r="I2021" s="219"/>
      <c r="J2021" s="576"/>
    </row>
    <row r="2022" spans="1:11" x14ac:dyDescent="0.2">
      <c r="A2022" s="243" t="s">
        <v>127</v>
      </c>
      <c r="B2022" s="219"/>
      <c r="C2022" s="219"/>
      <c r="D2022" s="219"/>
      <c r="E2022" s="219"/>
      <c r="F2022" s="219"/>
      <c r="G2022" s="219"/>
      <c r="H2022" s="219"/>
      <c r="I2022" s="219"/>
      <c r="J2022" s="576"/>
    </row>
    <row r="2023" spans="1:11" x14ac:dyDescent="0.2">
      <c r="A2023" s="243" t="s">
        <v>303</v>
      </c>
      <c r="B2023" s="219"/>
      <c r="C2023" s="219"/>
      <c r="D2023" s="219"/>
      <c r="E2023" s="219"/>
      <c r="F2023" s="219"/>
      <c r="G2023" s="219"/>
      <c r="H2023" s="219"/>
      <c r="I2023" s="219"/>
      <c r="J2023" s="576"/>
    </row>
    <row r="2024" spans="1:11" x14ac:dyDescent="0.2">
      <c r="A2024" s="243" t="s">
        <v>536</v>
      </c>
      <c r="B2024" s="219"/>
      <c r="C2024" s="219"/>
      <c r="D2024" s="219"/>
      <c r="E2024" s="219"/>
      <c r="F2024" s="219"/>
      <c r="G2024" s="219"/>
      <c r="H2024" s="219"/>
      <c r="I2024" s="219"/>
      <c r="J2024" s="576"/>
    </row>
    <row r="2025" spans="1:11" x14ac:dyDescent="0.2">
      <c r="A2025" s="243" t="s">
        <v>577</v>
      </c>
      <c r="B2025" s="219"/>
      <c r="C2025" s="219"/>
      <c r="D2025" s="219"/>
      <c r="E2025" s="219"/>
      <c r="F2025" s="219"/>
      <c r="G2025" s="219"/>
      <c r="H2025" s="219"/>
      <c r="I2025" s="219"/>
      <c r="J2025" s="576"/>
    </row>
    <row r="2026" spans="1:11" x14ac:dyDescent="0.2">
      <c r="A2026" s="243" t="s">
        <v>877</v>
      </c>
      <c r="B2026" s="219"/>
      <c r="C2026" s="219"/>
      <c r="D2026" s="219"/>
      <c r="E2026" s="219"/>
      <c r="F2026" s="219"/>
      <c r="G2026" s="219"/>
      <c r="H2026" s="219"/>
      <c r="I2026" s="219"/>
      <c r="J2026" s="576"/>
    </row>
    <row r="2027" spans="1:11" x14ac:dyDescent="0.2">
      <c r="A2027" s="328" t="s">
        <v>1039</v>
      </c>
      <c r="B2027" s="244"/>
      <c r="C2027" s="244"/>
      <c r="D2027" s="244"/>
      <c r="E2027" s="244"/>
      <c r="F2027" s="244"/>
      <c r="G2027" s="244"/>
      <c r="H2027" s="244"/>
      <c r="I2027" s="244"/>
      <c r="J2027" s="577"/>
    </row>
    <row r="2029" spans="1:11" x14ac:dyDescent="0.2">
      <c r="A2029" s="220" t="s">
        <v>14</v>
      </c>
      <c r="B2029" s="221" t="s">
        <v>646</v>
      </c>
      <c r="C2029" s="449" t="s">
        <v>15</v>
      </c>
      <c r="D2029" s="219"/>
      <c r="E2029" s="219"/>
      <c r="F2029" s="219"/>
    </row>
    <row r="2030" spans="1:11" x14ac:dyDescent="0.2">
      <c r="A2030" s="222" t="s">
        <v>16</v>
      </c>
      <c r="B2030" s="223"/>
      <c r="C2030" s="450">
        <v>2016</v>
      </c>
      <c r="D2030" s="236">
        <v>2017</v>
      </c>
      <c r="E2030" s="225">
        <v>2018</v>
      </c>
      <c r="F2030" s="236">
        <v>2019</v>
      </c>
      <c r="G2030" s="2">
        <v>2020</v>
      </c>
      <c r="H2030" s="2">
        <v>2021</v>
      </c>
      <c r="I2030" s="2">
        <v>2022</v>
      </c>
      <c r="J2030" s="2">
        <v>2023</v>
      </c>
      <c r="K2030" s="468">
        <v>2024</v>
      </c>
    </row>
    <row r="2031" spans="1:11" x14ac:dyDescent="0.2">
      <c r="A2031" s="222" t="s">
        <v>17</v>
      </c>
      <c r="B2031" s="223"/>
      <c r="C2031" s="250">
        <v>1083.79</v>
      </c>
      <c r="D2031" s="250">
        <v>1083.79</v>
      </c>
      <c r="E2031" s="223">
        <v>1272.8599999999999</v>
      </c>
      <c r="F2031" s="251">
        <v>1272.8599999999999</v>
      </c>
      <c r="G2031" s="15">
        <v>1272.8599999999999</v>
      </c>
      <c r="H2031" s="15">
        <v>1272.8599999999999</v>
      </c>
      <c r="I2031" s="5">
        <v>1341.14</v>
      </c>
      <c r="J2031" s="15">
        <v>1341.14</v>
      </c>
      <c r="K2031" s="408">
        <v>1341.14</v>
      </c>
    </row>
    <row r="2032" spans="1:11" x14ac:dyDescent="0.2">
      <c r="A2032" s="222" t="s">
        <v>18</v>
      </c>
      <c r="B2032" s="223"/>
      <c r="C2032" s="250">
        <v>1192.17</v>
      </c>
      <c r="D2032" s="250">
        <v>1192.17</v>
      </c>
      <c r="E2032" s="223">
        <v>1381.24</v>
      </c>
      <c r="F2032" s="251">
        <v>1400.15</v>
      </c>
      <c r="G2032" s="15">
        <v>1400.15</v>
      </c>
      <c r="H2032" s="15">
        <v>1400.15</v>
      </c>
      <c r="I2032" s="5">
        <f>I2031+0.1*H2031</f>
        <v>1468.4260000000002</v>
      </c>
      <c r="J2032" s="5">
        <f>J2031+I2035</f>
        <v>1447.6760000000002</v>
      </c>
      <c r="K2032" s="409">
        <f>K2031+0.1*J2031</f>
        <v>1475.2540000000001</v>
      </c>
    </row>
    <row r="2033" spans="1:26" x14ac:dyDescent="0.2">
      <c r="A2033" s="222" t="s">
        <v>19</v>
      </c>
      <c r="B2033" s="223"/>
      <c r="C2033" s="223"/>
      <c r="D2033" s="251"/>
      <c r="E2033" s="223"/>
      <c r="F2033" s="251"/>
      <c r="G2033" s="15"/>
      <c r="H2033" s="15"/>
      <c r="I2033" s="5"/>
      <c r="J2033" s="15"/>
      <c r="K2033" s="408"/>
    </row>
    <row r="2034" spans="1:26" x14ac:dyDescent="0.2">
      <c r="A2034" s="222" t="s">
        <v>20</v>
      </c>
      <c r="B2034" s="223"/>
      <c r="C2034" s="250">
        <v>1025.0999999999999</v>
      </c>
      <c r="D2034" s="251">
        <v>996.8</v>
      </c>
      <c r="E2034" s="223">
        <v>1028.26</v>
      </c>
      <c r="F2034" s="251">
        <v>1190.78</v>
      </c>
      <c r="G2034" s="15">
        <v>1184.99</v>
      </c>
      <c r="H2034" s="15">
        <v>1205.69</v>
      </c>
      <c r="I2034" s="5">
        <v>1361.89</v>
      </c>
      <c r="J2034" s="15">
        <v>1311.26</v>
      </c>
      <c r="K2034" s="408"/>
    </row>
    <row r="2035" spans="1:26" x14ac:dyDescent="0.2">
      <c r="A2035" s="222" t="s">
        <v>21</v>
      </c>
      <c r="B2035" s="223"/>
      <c r="C2035" s="250">
        <f t="shared" ref="C2035:J2035" si="66">C2032-C2034</f>
        <v>167.07000000000016</v>
      </c>
      <c r="D2035" s="250">
        <f t="shared" si="66"/>
        <v>195.37000000000012</v>
      </c>
      <c r="E2035" s="250">
        <f t="shared" si="66"/>
        <v>352.98</v>
      </c>
      <c r="F2035" s="250">
        <f t="shared" si="66"/>
        <v>209.37000000000012</v>
      </c>
      <c r="G2035" s="250">
        <f t="shared" si="66"/>
        <v>215.16000000000008</v>
      </c>
      <c r="H2035" s="15">
        <f t="shared" si="66"/>
        <v>194.46000000000004</v>
      </c>
      <c r="I2035" s="5">
        <f t="shared" si="66"/>
        <v>106.53600000000006</v>
      </c>
      <c r="J2035" s="5">
        <f t="shared" si="66"/>
        <v>136.41600000000017</v>
      </c>
      <c r="K2035" s="408"/>
    </row>
    <row r="2036" spans="1:26" x14ac:dyDescent="0.2">
      <c r="A2036" s="229" t="s">
        <v>22</v>
      </c>
      <c r="B2036" s="230"/>
      <c r="C2036" s="231">
        <v>2017</v>
      </c>
      <c r="D2036" s="239">
        <v>2018</v>
      </c>
      <c r="E2036" s="231">
        <v>2019</v>
      </c>
      <c r="F2036" s="239">
        <v>2020</v>
      </c>
      <c r="G2036" s="28">
        <v>2021</v>
      </c>
      <c r="H2036" s="28">
        <v>2022</v>
      </c>
      <c r="I2036" s="28">
        <v>2023</v>
      </c>
      <c r="J2036" s="28">
        <v>2024</v>
      </c>
      <c r="K2036" s="467">
        <v>2025</v>
      </c>
    </row>
    <row r="2037" spans="1:26" x14ac:dyDescent="0.2">
      <c r="A2037" s="320" t="s">
        <v>538</v>
      </c>
      <c r="B2037" s="321"/>
      <c r="C2037" s="452"/>
      <c r="D2037" s="452"/>
      <c r="E2037" s="452"/>
      <c r="F2037" s="452"/>
      <c r="G2037" s="581"/>
      <c r="H2037" s="581"/>
      <c r="I2037" s="581"/>
      <c r="J2037" s="581"/>
      <c r="K2037" s="582"/>
    </row>
    <row r="2038" spans="1:26" x14ac:dyDescent="0.2">
      <c r="A2038" s="243" t="s">
        <v>128</v>
      </c>
      <c r="B2038" s="219"/>
      <c r="C2038" s="219"/>
      <c r="D2038" s="219"/>
      <c r="E2038" s="219"/>
      <c r="F2038" s="219"/>
      <c r="K2038" s="413"/>
    </row>
    <row r="2039" spans="1:26" x14ac:dyDescent="0.2">
      <c r="A2039" s="243" t="s">
        <v>129</v>
      </c>
      <c r="B2039" s="219"/>
      <c r="C2039" s="219"/>
      <c r="D2039" s="219"/>
      <c r="E2039" s="219"/>
      <c r="F2039" s="219"/>
      <c r="K2039" s="413"/>
    </row>
    <row r="2040" spans="1:26" x14ac:dyDescent="0.2">
      <c r="A2040" s="243" t="s">
        <v>130</v>
      </c>
      <c r="B2040" s="219"/>
      <c r="C2040" s="219"/>
      <c r="D2040" s="219"/>
      <c r="E2040" s="219"/>
      <c r="F2040" s="219"/>
      <c r="K2040" s="413"/>
    </row>
    <row r="2041" spans="1:26" x14ac:dyDescent="0.2">
      <c r="A2041" s="243" t="s">
        <v>131</v>
      </c>
      <c r="B2041" s="219"/>
      <c r="C2041" s="219"/>
      <c r="D2041" s="219"/>
      <c r="E2041" s="219"/>
      <c r="F2041" s="219"/>
      <c r="K2041" s="413"/>
    </row>
    <row r="2042" spans="1:26" x14ac:dyDescent="0.2">
      <c r="A2042" s="243" t="s">
        <v>304</v>
      </c>
      <c r="B2042" s="219"/>
      <c r="C2042" s="219"/>
      <c r="D2042" s="219"/>
      <c r="E2042" s="219"/>
      <c r="F2042" s="219"/>
      <c r="K2042" s="413"/>
    </row>
    <row r="2043" spans="1:26" x14ac:dyDescent="0.2">
      <c r="A2043" s="243" t="s">
        <v>537</v>
      </c>
      <c r="B2043" s="219"/>
      <c r="C2043" s="219"/>
      <c r="D2043" s="219"/>
      <c r="E2043" s="219"/>
      <c r="F2043" s="219"/>
      <c r="K2043" s="413"/>
    </row>
    <row r="2044" spans="1:26" x14ac:dyDescent="0.2">
      <c r="A2044" s="243" t="s">
        <v>671</v>
      </c>
      <c r="B2044" s="219"/>
      <c r="C2044" s="219"/>
      <c r="D2044" s="219"/>
      <c r="E2044" s="219"/>
      <c r="F2044" s="219"/>
      <c r="K2044" s="413"/>
    </row>
    <row r="2045" spans="1:26" x14ac:dyDescent="0.2">
      <c r="A2045" s="243" t="s">
        <v>878</v>
      </c>
      <c r="B2045" s="219"/>
      <c r="C2045" s="219"/>
      <c r="D2045" s="219"/>
      <c r="E2045" s="219"/>
      <c r="F2045" s="219"/>
      <c r="K2045" s="413"/>
    </row>
    <row r="2046" spans="1:26" s="407" customFormat="1" ht="12.75" customHeight="1" x14ac:dyDescent="0.25">
      <c r="A2046" s="414" t="s">
        <v>1040</v>
      </c>
      <c r="B2046" s="329"/>
      <c r="C2046" s="329"/>
      <c r="D2046" s="329"/>
      <c r="E2046" s="329"/>
      <c r="F2046" s="329"/>
      <c r="G2046" s="329"/>
      <c r="H2046" s="329"/>
      <c r="I2046" s="329"/>
      <c r="J2046" s="329"/>
      <c r="K2046" s="413"/>
      <c r="L2046" s="329"/>
      <c r="M2046" s="329"/>
      <c r="N2046" s="329"/>
      <c r="O2046" s="329"/>
      <c r="P2046" s="329"/>
      <c r="Q2046" s="329"/>
      <c r="R2046" s="329"/>
      <c r="S2046" s="329"/>
      <c r="T2046" s="329"/>
      <c r="U2046" s="329"/>
      <c r="V2046" s="329"/>
      <c r="W2046" s="329"/>
      <c r="X2046" s="329"/>
      <c r="Y2046" s="329"/>
      <c r="Z2046" s="329"/>
    </row>
    <row r="2047" spans="1:26" x14ac:dyDescent="0.2">
      <c r="A2047" s="10" t="s">
        <v>539</v>
      </c>
      <c r="K2047" s="413"/>
    </row>
    <row r="2048" spans="1:26" x14ac:dyDescent="0.2">
      <c r="A2048" s="10" t="s">
        <v>672</v>
      </c>
      <c r="K2048" s="413"/>
    </row>
    <row r="2049" spans="1:26" s="407" customFormat="1" ht="12.75" customHeight="1" x14ac:dyDescent="0.25">
      <c r="A2049" s="414" t="s">
        <v>1041</v>
      </c>
      <c r="B2049" s="329"/>
      <c r="C2049" s="329"/>
      <c r="D2049" s="329"/>
      <c r="E2049" s="329"/>
      <c r="F2049" s="329"/>
      <c r="G2049" s="329"/>
      <c r="H2049" s="329"/>
      <c r="I2049" s="329"/>
      <c r="J2049" s="329"/>
      <c r="K2049" s="413"/>
      <c r="L2049" s="329"/>
      <c r="M2049" s="329"/>
      <c r="N2049" s="329"/>
      <c r="O2049" s="329"/>
      <c r="P2049" s="329"/>
      <c r="Q2049" s="329"/>
      <c r="R2049" s="329"/>
      <c r="S2049" s="329"/>
      <c r="T2049" s="329"/>
      <c r="U2049" s="329"/>
      <c r="V2049" s="329"/>
      <c r="W2049" s="329"/>
      <c r="X2049" s="329"/>
      <c r="Y2049" s="329"/>
      <c r="Z2049" s="329"/>
    </row>
    <row r="2050" spans="1:26" x14ac:dyDescent="0.2">
      <c r="A2050" s="1" t="s">
        <v>879</v>
      </c>
      <c r="B2050" s="13"/>
      <c r="C2050" s="13"/>
      <c r="D2050" s="13"/>
      <c r="E2050" s="13"/>
      <c r="F2050" s="13"/>
      <c r="G2050" s="13"/>
      <c r="H2050" s="13"/>
      <c r="I2050" s="13"/>
      <c r="J2050" s="13"/>
      <c r="K2050" s="333"/>
    </row>
    <row r="2053" spans="1:26" x14ac:dyDescent="0.2">
      <c r="A2053" s="288" t="s">
        <v>24</v>
      </c>
      <c r="B2053" s="283" t="s">
        <v>540</v>
      </c>
    </row>
    <row r="2054" spans="1:26" x14ac:dyDescent="0.2">
      <c r="A2054" s="136" t="s">
        <v>14</v>
      </c>
      <c r="B2054" s="137" t="s">
        <v>625</v>
      </c>
      <c r="C2054" s="197" t="s">
        <v>26</v>
      </c>
    </row>
    <row r="2055" spans="1:26" x14ac:dyDescent="0.2">
      <c r="A2055" s="198" t="s">
        <v>27</v>
      </c>
      <c r="B2055" s="117">
        <v>2016</v>
      </c>
      <c r="C2055" s="2">
        <v>2017</v>
      </c>
      <c r="D2055" s="187">
        <v>2018</v>
      </c>
      <c r="E2055" s="2">
        <v>2019</v>
      </c>
      <c r="F2055" s="2">
        <v>2020</v>
      </c>
      <c r="G2055" s="2">
        <v>2021</v>
      </c>
      <c r="H2055" s="2">
        <v>2022</v>
      </c>
      <c r="I2055" s="2">
        <v>2023</v>
      </c>
      <c r="J2055" s="468">
        <v>2024</v>
      </c>
    </row>
    <row r="2056" spans="1:26" x14ac:dyDescent="0.2">
      <c r="A2056" s="15" t="s">
        <v>28</v>
      </c>
      <c r="B2056" s="102">
        <v>250</v>
      </c>
      <c r="C2056" s="102">
        <v>250</v>
      </c>
      <c r="D2056" s="102">
        <v>300</v>
      </c>
      <c r="E2056" s="102">
        <v>300</v>
      </c>
      <c r="F2056" s="5">
        <v>300</v>
      </c>
      <c r="G2056" s="5">
        <v>337.5</v>
      </c>
      <c r="H2056" s="5">
        <v>337.5</v>
      </c>
      <c r="I2056" s="5">
        <v>337.5</v>
      </c>
      <c r="J2056" s="409">
        <v>421.9</v>
      </c>
    </row>
    <row r="2057" spans="1:26" x14ac:dyDescent="0.2">
      <c r="A2057" s="15" t="s">
        <v>29</v>
      </c>
      <c r="B2057" s="102">
        <v>-415.21000000000004</v>
      </c>
      <c r="C2057" s="102">
        <f>B2060+C2056+60+150+114</f>
        <v>-128.19000000000005</v>
      </c>
      <c r="D2057" s="102">
        <f>C2060+D2056</f>
        <v>-129.54000000000008</v>
      </c>
      <c r="E2057" s="102">
        <f>E2056+D2060</f>
        <v>5.0099999999999341</v>
      </c>
      <c r="F2057" s="102">
        <f>E2060+F2056</f>
        <v>84.089999999999947</v>
      </c>
      <c r="G2057" s="102">
        <f>G2056+F2060</f>
        <v>175.66999999999996</v>
      </c>
      <c r="H2057" s="102">
        <f>H2056+G2060</f>
        <v>214.65699999999998</v>
      </c>
      <c r="I2057" s="102">
        <f>I2056+H2060</f>
        <v>234.81599999999997</v>
      </c>
      <c r="J2057" s="462">
        <f>J2056+I2060</f>
        <v>443.82599999999996</v>
      </c>
    </row>
    <row r="2058" spans="1:26" x14ac:dyDescent="0.2">
      <c r="A2058" s="15" t="s">
        <v>30</v>
      </c>
      <c r="B2058" s="199"/>
      <c r="C2058" s="458" t="s">
        <v>543</v>
      </c>
      <c r="D2058" s="199" t="s">
        <v>544</v>
      </c>
      <c r="E2058" s="199" t="s">
        <v>545</v>
      </c>
      <c r="F2058" s="199" t="s">
        <v>548</v>
      </c>
      <c r="G2058" s="199" t="s">
        <v>550</v>
      </c>
      <c r="H2058" s="199" t="s">
        <v>696</v>
      </c>
      <c r="I2058" s="199" t="s">
        <v>859</v>
      </c>
      <c r="J2058" s="570" t="s">
        <v>1033</v>
      </c>
    </row>
    <row r="2059" spans="1:26" x14ac:dyDescent="0.2">
      <c r="A2059" s="15" t="s">
        <v>31</v>
      </c>
      <c r="B2059" s="102">
        <v>286.98</v>
      </c>
      <c r="C2059" s="102">
        <v>301.35000000000002</v>
      </c>
      <c r="D2059" s="102">
        <v>165.45</v>
      </c>
      <c r="E2059" s="102">
        <v>220.92</v>
      </c>
      <c r="F2059" s="5">
        <v>245.92</v>
      </c>
      <c r="G2059" s="5">
        <v>298.51299999999998</v>
      </c>
      <c r="H2059" s="5">
        <v>317.34100000000001</v>
      </c>
      <c r="I2059" s="5">
        <v>212.89</v>
      </c>
      <c r="J2059" s="408"/>
    </row>
    <row r="2060" spans="1:26" x14ac:dyDescent="0.2">
      <c r="A2060" s="15" t="s">
        <v>32</v>
      </c>
      <c r="B2060" s="102">
        <f t="shared" ref="B2060:I2060" si="67">B2057-B2059</f>
        <v>-702.19</v>
      </c>
      <c r="C2060" s="102">
        <f t="shared" si="67"/>
        <v>-429.54000000000008</v>
      </c>
      <c r="D2060" s="102">
        <f t="shared" si="67"/>
        <v>-294.99000000000007</v>
      </c>
      <c r="E2060" s="102">
        <f t="shared" si="67"/>
        <v>-215.91000000000005</v>
      </c>
      <c r="F2060" s="102">
        <f t="shared" si="67"/>
        <v>-161.83000000000004</v>
      </c>
      <c r="G2060" s="5">
        <f t="shared" si="67"/>
        <v>-122.84300000000002</v>
      </c>
      <c r="H2060" s="5">
        <f t="shared" si="67"/>
        <v>-102.68400000000003</v>
      </c>
      <c r="I2060" s="5">
        <f t="shared" si="67"/>
        <v>21.925999999999988</v>
      </c>
      <c r="J2060" s="408"/>
    </row>
    <row r="2061" spans="1:26" x14ac:dyDescent="0.2">
      <c r="A2061" s="8" t="s">
        <v>33</v>
      </c>
      <c r="B2061" s="28">
        <v>2018</v>
      </c>
      <c r="C2061" s="28">
        <v>2018</v>
      </c>
      <c r="D2061" s="28">
        <v>2019</v>
      </c>
      <c r="E2061" s="28">
        <v>2020</v>
      </c>
      <c r="F2061" s="28">
        <v>2021</v>
      </c>
      <c r="G2061" s="28">
        <v>2022</v>
      </c>
      <c r="H2061" s="28">
        <v>2023</v>
      </c>
      <c r="I2061" s="28">
        <v>2024</v>
      </c>
      <c r="J2061" s="467">
        <v>2025</v>
      </c>
    </row>
    <row r="2062" spans="1:26" x14ac:dyDescent="0.2">
      <c r="A2062" s="8" t="s">
        <v>542</v>
      </c>
      <c r="B2062" s="62"/>
      <c r="C2062" s="62"/>
      <c r="D2062" s="62"/>
      <c r="E2062" s="62"/>
      <c r="F2062" s="62"/>
      <c r="G2062" s="9"/>
      <c r="H2062" s="9"/>
      <c r="I2062" s="9"/>
      <c r="J2062" s="412"/>
    </row>
    <row r="2063" spans="1:26" x14ac:dyDescent="0.2">
      <c r="A2063" s="10" t="s">
        <v>546</v>
      </c>
      <c r="B2063" s="200"/>
      <c r="C2063" s="200"/>
      <c r="D2063" s="200"/>
      <c r="E2063" s="200"/>
      <c r="F2063" s="200"/>
      <c r="J2063" s="413"/>
    </row>
    <row r="2064" spans="1:26" x14ac:dyDescent="0.2">
      <c r="A2064" s="10" t="s">
        <v>547</v>
      </c>
      <c r="B2064" s="200"/>
      <c r="C2064" s="200"/>
      <c r="D2064" s="200"/>
      <c r="E2064" s="200"/>
      <c r="F2064" s="200"/>
      <c r="J2064" s="413"/>
    </row>
    <row r="2065" spans="1:10" x14ac:dyDescent="0.2">
      <c r="A2065" s="10" t="s">
        <v>549</v>
      </c>
      <c r="B2065" s="200"/>
      <c r="C2065" s="200"/>
      <c r="D2065" s="200"/>
      <c r="E2065" s="200"/>
      <c r="F2065" s="200"/>
      <c r="J2065" s="413"/>
    </row>
    <row r="2066" spans="1:10" x14ac:dyDescent="0.2">
      <c r="A2066" s="10" t="s">
        <v>551</v>
      </c>
      <c r="B2066" s="200"/>
      <c r="C2066" s="200"/>
      <c r="D2066" s="200"/>
      <c r="E2066" s="200"/>
      <c r="F2066" s="200"/>
      <c r="J2066" s="413"/>
    </row>
    <row r="2067" spans="1:10" x14ac:dyDescent="0.2">
      <c r="A2067" s="10" t="s">
        <v>697</v>
      </c>
      <c r="B2067" s="200"/>
      <c r="C2067" s="200"/>
      <c r="D2067" s="200"/>
      <c r="E2067" s="200"/>
      <c r="F2067" s="200"/>
      <c r="J2067" s="413"/>
    </row>
    <row r="2068" spans="1:10" x14ac:dyDescent="0.2">
      <c r="A2068" s="10" t="s">
        <v>860</v>
      </c>
      <c r="B2068" s="200"/>
      <c r="C2068" s="200"/>
      <c r="D2068" s="200"/>
      <c r="E2068" s="200"/>
      <c r="F2068" s="200"/>
      <c r="J2068" s="413"/>
    </row>
    <row r="2069" spans="1:10" x14ac:dyDescent="0.2">
      <c r="A2069" s="414" t="s">
        <v>1034</v>
      </c>
      <c r="B2069" s="200"/>
      <c r="C2069" s="200"/>
      <c r="D2069" s="200"/>
      <c r="E2069" s="200"/>
      <c r="F2069" s="200"/>
      <c r="J2069" s="413"/>
    </row>
    <row r="2070" spans="1:10" x14ac:dyDescent="0.2">
      <c r="A2070" s="1" t="s">
        <v>541</v>
      </c>
      <c r="B2070" s="253"/>
      <c r="C2070" s="253"/>
      <c r="D2070" s="253"/>
      <c r="E2070" s="253"/>
      <c r="F2070" s="253"/>
      <c r="G2070" s="13"/>
      <c r="H2070" s="13"/>
      <c r="I2070" s="13"/>
      <c r="J2070" s="333"/>
    </row>
    <row r="2071" spans="1:10" x14ac:dyDescent="0.2">
      <c r="A2071" s="135"/>
      <c r="B2071" s="135"/>
      <c r="J2071" s="329"/>
    </row>
    <row r="2072" spans="1:10" x14ac:dyDescent="0.2">
      <c r="A2072" s="43" t="s">
        <v>14</v>
      </c>
      <c r="B2072" s="56" t="s">
        <v>624</v>
      </c>
      <c r="C2072" s="197" t="s">
        <v>26</v>
      </c>
      <c r="J2072" s="329"/>
    </row>
    <row r="2073" spans="1:10" x14ac:dyDescent="0.2">
      <c r="A2073" s="198" t="s">
        <v>27</v>
      </c>
      <c r="B2073" s="2">
        <v>2016</v>
      </c>
      <c r="C2073" s="2">
        <v>2017</v>
      </c>
      <c r="D2073" s="187">
        <v>2018</v>
      </c>
      <c r="E2073" s="2">
        <v>2019</v>
      </c>
      <c r="F2073" s="2">
        <v>2020</v>
      </c>
      <c r="G2073" s="2">
        <v>2021</v>
      </c>
      <c r="H2073" s="2">
        <v>2022</v>
      </c>
      <c r="I2073" s="2">
        <v>2023</v>
      </c>
      <c r="J2073" s="468">
        <v>2024</v>
      </c>
    </row>
    <row r="2074" spans="1:10" x14ac:dyDescent="0.2">
      <c r="A2074" s="15" t="s">
        <v>28</v>
      </c>
      <c r="B2074" s="102">
        <v>85</v>
      </c>
      <c r="C2074" s="102">
        <v>85</v>
      </c>
      <c r="D2074" s="102">
        <v>85</v>
      </c>
      <c r="E2074" s="102">
        <v>85</v>
      </c>
      <c r="F2074" s="5">
        <v>85</v>
      </c>
      <c r="G2074" s="5">
        <v>85</v>
      </c>
      <c r="H2074" s="5">
        <v>85</v>
      </c>
      <c r="I2074" s="5">
        <v>85</v>
      </c>
      <c r="J2074" s="409">
        <v>85</v>
      </c>
    </row>
    <row r="2075" spans="1:10" x14ac:dyDescent="0.2">
      <c r="A2075" s="15" t="s">
        <v>29</v>
      </c>
      <c r="B2075" s="102">
        <f>B2074*1.5</f>
        <v>127.5</v>
      </c>
      <c r="C2075" s="102">
        <f>C2074+0.5*B2074-12.75</f>
        <v>114.75</v>
      </c>
      <c r="D2075" s="102">
        <f>D2074+0.4*B2074-12.75</f>
        <v>106.25</v>
      </c>
      <c r="E2075" s="102">
        <f t="shared" ref="E2075:J2075" si="68">E2074+0.4*C2074</f>
        <v>119</v>
      </c>
      <c r="F2075" s="102">
        <f t="shared" si="68"/>
        <v>119</v>
      </c>
      <c r="G2075" s="102">
        <f t="shared" si="68"/>
        <v>119</v>
      </c>
      <c r="H2075" s="102">
        <f t="shared" si="68"/>
        <v>119</v>
      </c>
      <c r="I2075" s="102">
        <f t="shared" si="68"/>
        <v>119</v>
      </c>
      <c r="J2075" s="462">
        <f t="shared" si="68"/>
        <v>119</v>
      </c>
    </row>
    <row r="2076" spans="1:10" x14ac:dyDescent="0.2">
      <c r="A2076" s="15" t="s">
        <v>30</v>
      </c>
      <c r="B2076" s="105" t="s">
        <v>552</v>
      </c>
      <c r="C2076" s="105" t="s">
        <v>555</v>
      </c>
      <c r="D2076" s="105" t="s">
        <v>556</v>
      </c>
      <c r="E2076" s="105" t="s">
        <v>557</v>
      </c>
      <c r="F2076" s="105" t="s">
        <v>557</v>
      </c>
      <c r="G2076" s="105" t="s">
        <v>557</v>
      </c>
      <c r="H2076" s="105" t="s">
        <v>557</v>
      </c>
      <c r="I2076" s="105" t="s">
        <v>557</v>
      </c>
      <c r="J2076" s="571" t="s">
        <v>557</v>
      </c>
    </row>
    <row r="2077" spans="1:10" x14ac:dyDescent="0.2">
      <c r="A2077" s="15" t="s">
        <v>31</v>
      </c>
      <c r="B2077" s="102">
        <v>52.75</v>
      </c>
      <c r="C2077" s="102">
        <v>52.26</v>
      </c>
      <c r="D2077" s="102">
        <v>30.79</v>
      </c>
      <c r="E2077" s="102">
        <v>31.39</v>
      </c>
      <c r="F2077" s="5">
        <v>14.36</v>
      </c>
      <c r="G2077" s="5">
        <v>13.391</v>
      </c>
      <c r="H2077" s="409">
        <v>16.809999999999999</v>
      </c>
      <c r="I2077" s="5">
        <v>31.181000000000001</v>
      </c>
      <c r="J2077" s="409"/>
    </row>
    <row r="2078" spans="1:10" x14ac:dyDescent="0.2">
      <c r="A2078" s="15" t="s">
        <v>32</v>
      </c>
      <c r="B2078" s="102">
        <f t="shared" ref="B2078:I2078" si="69">B2075-B2077</f>
        <v>74.75</v>
      </c>
      <c r="C2078" s="102">
        <f t="shared" si="69"/>
        <v>62.49</v>
      </c>
      <c r="D2078" s="102">
        <f t="shared" si="69"/>
        <v>75.460000000000008</v>
      </c>
      <c r="E2078" s="102">
        <f t="shared" si="69"/>
        <v>87.61</v>
      </c>
      <c r="F2078" s="102">
        <f t="shared" si="69"/>
        <v>104.64</v>
      </c>
      <c r="G2078" s="5">
        <f t="shared" si="69"/>
        <v>105.60899999999999</v>
      </c>
      <c r="H2078" s="409">
        <f t="shared" si="69"/>
        <v>102.19</v>
      </c>
      <c r="I2078" s="5">
        <f t="shared" si="69"/>
        <v>87.819000000000003</v>
      </c>
      <c r="J2078" s="409"/>
    </row>
    <row r="2079" spans="1:10" x14ac:dyDescent="0.2">
      <c r="A2079" s="8" t="s">
        <v>33</v>
      </c>
      <c r="B2079" s="28">
        <v>2018</v>
      </c>
      <c r="C2079" s="28">
        <v>2019</v>
      </c>
      <c r="D2079" s="191">
        <v>2020</v>
      </c>
      <c r="E2079" s="28">
        <v>2021</v>
      </c>
      <c r="F2079" s="28">
        <v>2022</v>
      </c>
      <c r="G2079" s="28">
        <v>2023</v>
      </c>
      <c r="H2079" s="28">
        <v>2024</v>
      </c>
      <c r="I2079" s="28">
        <v>2025</v>
      </c>
      <c r="J2079" s="467">
        <v>2025</v>
      </c>
    </row>
    <row r="2080" spans="1:10" ht="13.15" customHeight="1" x14ac:dyDescent="0.2">
      <c r="A2080" s="8" t="s">
        <v>502</v>
      </c>
      <c r="B2080" s="152"/>
      <c r="C2080" s="152"/>
      <c r="D2080" s="152"/>
      <c r="E2080" s="152"/>
      <c r="F2080" s="152"/>
      <c r="G2080" s="152"/>
      <c r="H2080" s="152"/>
      <c r="I2080" s="152"/>
      <c r="J2080" s="500"/>
    </row>
    <row r="2081" spans="1:10" x14ac:dyDescent="0.2">
      <c r="A2081" s="55" t="s">
        <v>503</v>
      </c>
      <c r="B2081" s="255"/>
      <c r="C2081" s="255"/>
      <c r="D2081" s="255"/>
      <c r="E2081" s="255"/>
      <c r="F2081" s="255"/>
      <c r="G2081" s="255"/>
      <c r="H2081" s="255"/>
      <c r="I2081" s="255"/>
      <c r="J2081" s="572"/>
    </row>
    <row r="2082" spans="1:10" x14ac:dyDescent="0.2">
      <c r="A2082" s="10" t="s">
        <v>553</v>
      </c>
      <c r="J2082" s="413"/>
    </row>
    <row r="2083" spans="1:10" x14ac:dyDescent="0.2">
      <c r="A2083" s="1" t="s">
        <v>554</v>
      </c>
      <c r="B2083" s="13"/>
      <c r="C2083" s="13"/>
      <c r="D2083" s="13"/>
      <c r="E2083" s="13"/>
      <c r="F2083" s="13"/>
      <c r="G2083" s="13"/>
      <c r="H2083" s="13"/>
      <c r="I2083" s="13"/>
      <c r="J2083" s="333"/>
    </row>
    <row r="2084" spans="1:10" x14ac:dyDescent="0.2">
      <c r="J2084" s="329"/>
    </row>
    <row r="2085" spans="1:10" x14ac:dyDescent="0.2">
      <c r="A2085" s="43" t="s">
        <v>14</v>
      </c>
      <c r="B2085" s="56" t="s">
        <v>74</v>
      </c>
      <c r="C2085" s="197" t="s">
        <v>26</v>
      </c>
      <c r="J2085" s="329"/>
    </row>
    <row r="2086" spans="1:10" x14ac:dyDescent="0.2">
      <c r="A2086" s="198" t="s">
        <v>27</v>
      </c>
      <c r="B2086" s="2">
        <v>2016</v>
      </c>
      <c r="C2086" s="2">
        <v>2017</v>
      </c>
      <c r="D2086" s="187">
        <v>2018</v>
      </c>
      <c r="E2086" s="2">
        <v>2019</v>
      </c>
      <c r="F2086" s="2">
        <v>2020</v>
      </c>
      <c r="G2086" s="2">
        <v>2021</v>
      </c>
      <c r="H2086" s="2">
        <v>2022</v>
      </c>
      <c r="I2086" s="2">
        <v>2023</v>
      </c>
      <c r="J2086" s="468">
        <v>2024</v>
      </c>
    </row>
    <row r="2087" spans="1:10" x14ac:dyDescent="0.2">
      <c r="A2087" s="15" t="s">
        <v>28</v>
      </c>
      <c r="B2087" s="102">
        <v>100</v>
      </c>
      <c r="C2087" s="102">
        <v>100</v>
      </c>
      <c r="D2087" s="102">
        <v>100</v>
      </c>
      <c r="E2087" s="102">
        <v>100</v>
      </c>
      <c r="F2087" s="5">
        <v>84.1</v>
      </c>
      <c r="G2087" s="5">
        <v>84.1</v>
      </c>
      <c r="H2087" s="5">
        <v>84.1</v>
      </c>
      <c r="I2087" s="5">
        <v>84.1</v>
      </c>
      <c r="J2087" s="409">
        <v>84.1</v>
      </c>
    </row>
    <row r="2088" spans="1:10" x14ac:dyDescent="0.2">
      <c r="A2088" s="15" t="s">
        <v>29</v>
      </c>
      <c r="B2088" s="102">
        <f>B2087*1.1</f>
        <v>110.00000000000001</v>
      </c>
      <c r="C2088" s="102">
        <f>C2087*1.1-30</f>
        <v>80.000000000000014</v>
      </c>
      <c r="D2088" s="102">
        <f>D2087+C2091+0.1*B2087</f>
        <v>92.590000000000018</v>
      </c>
      <c r="E2088" s="102">
        <v>100</v>
      </c>
      <c r="F2088" s="102">
        <f>F2087+0.1*D2087</f>
        <v>94.1</v>
      </c>
      <c r="G2088" s="102">
        <f>G2087+0.1*E2087</f>
        <v>94.1</v>
      </c>
      <c r="H2088" s="102"/>
      <c r="I2088" s="102"/>
      <c r="J2088" s="462">
        <f>J2087+I2091</f>
        <v>82.440999999999988</v>
      </c>
    </row>
    <row r="2089" spans="1:10" x14ac:dyDescent="0.2">
      <c r="A2089" s="15" t="s">
        <v>30</v>
      </c>
      <c r="B2089" s="105" t="s">
        <v>559</v>
      </c>
      <c r="C2089" s="105" t="s">
        <v>560</v>
      </c>
      <c r="D2089" s="318" t="s">
        <v>543</v>
      </c>
      <c r="E2089" s="105"/>
      <c r="F2089" s="105" t="s">
        <v>562</v>
      </c>
      <c r="G2089" s="105" t="s">
        <v>562</v>
      </c>
      <c r="H2089" s="105"/>
      <c r="I2089" s="105"/>
      <c r="J2089" s="571"/>
    </row>
    <row r="2090" spans="1:10" x14ac:dyDescent="0.2">
      <c r="A2090" s="15" t="s">
        <v>31</v>
      </c>
      <c r="B2090" s="102">
        <v>82.51</v>
      </c>
      <c r="C2090" s="102">
        <v>97.41</v>
      </c>
      <c r="D2090" s="102">
        <v>61.54</v>
      </c>
      <c r="E2090" s="102">
        <v>60.49</v>
      </c>
      <c r="F2090" s="5">
        <v>42.46</v>
      </c>
      <c r="G2090" s="5">
        <v>42.97</v>
      </c>
      <c r="H2090" s="5">
        <v>71.760000000000005</v>
      </c>
      <c r="I2090" s="5">
        <v>85.759</v>
      </c>
      <c r="J2090" s="409"/>
    </row>
    <row r="2091" spans="1:10" x14ac:dyDescent="0.2">
      <c r="A2091" s="15" t="s">
        <v>32</v>
      </c>
      <c r="B2091" s="102">
        <f t="shared" ref="B2091:G2091" si="70">B2088-B2090</f>
        <v>27.490000000000009</v>
      </c>
      <c r="C2091" s="102">
        <f t="shared" si="70"/>
        <v>-17.409999999999982</v>
      </c>
      <c r="D2091" s="102">
        <f t="shared" si="70"/>
        <v>31.050000000000018</v>
      </c>
      <c r="E2091" s="102">
        <f t="shared" si="70"/>
        <v>39.51</v>
      </c>
      <c r="F2091" s="102">
        <f t="shared" si="70"/>
        <v>51.639999999999993</v>
      </c>
      <c r="G2091" s="5">
        <f t="shared" si="70"/>
        <v>51.129999999999995</v>
      </c>
      <c r="H2091" s="5">
        <f>H2087-H2090</f>
        <v>12.339999999999989</v>
      </c>
      <c r="I2091" s="5">
        <f>I2087-I2090</f>
        <v>-1.659000000000006</v>
      </c>
      <c r="J2091" s="409"/>
    </row>
    <row r="2092" spans="1:10" x14ac:dyDescent="0.2">
      <c r="A2092" s="8" t="s">
        <v>33</v>
      </c>
      <c r="B2092" s="28">
        <v>2018</v>
      </c>
      <c r="C2092" s="28">
        <v>2018</v>
      </c>
      <c r="D2092" s="191">
        <v>2020</v>
      </c>
      <c r="E2092" s="28">
        <v>2021</v>
      </c>
      <c r="F2092" s="28"/>
      <c r="G2092" s="28"/>
      <c r="H2092" s="28"/>
      <c r="I2092" s="467">
        <v>2024</v>
      </c>
      <c r="J2092" s="467"/>
    </row>
    <row r="2093" spans="1:10" x14ac:dyDescent="0.2">
      <c r="A2093" s="8" t="s">
        <v>558</v>
      </c>
      <c r="B2093" s="152"/>
      <c r="C2093" s="152"/>
      <c r="D2093" s="152"/>
      <c r="E2093" s="152"/>
      <c r="F2093" s="152"/>
      <c r="G2093" s="152"/>
      <c r="H2093" s="152"/>
      <c r="I2093" s="152"/>
      <c r="J2093" s="500"/>
    </row>
    <row r="2094" spans="1:10" x14ac:dyDescent="0.2">
      <c r="A2094" s="10" t="s">
        <v>563</v>
      </c>
      <c r="B2094" s="141"/>
      <c r="C2094" s="141"/>
      <c r="D2094" s="141"/>
      <c r="E2094" s="141"/>
      <c r="F2094" s="141"/>
      <c r="G2094" s="141"/>
      <c r="H2094" s="141"/>
      <c r="I2094" s="141"/>
      <c r="J2094" s="498"/>
    </row>
    <row r="2095" spans="1:10" x14ac:dyDescent="0.2">
      <c r="A2095" s="1" t="s">
        <v>561</v>
      </c>
      <c r="B2095" s="13"/>
      <c r="C2095" s="13"/>
      <c r="D2095" s="13"/>
      <c r="E2095" s="13"/>
      <c r="F2095" s="13"/>
      <c r="G2095" s="13"/>
      <c r="H2095" s="13"/>
      <c r="I2095" s="13"/>
      <c r="J2095" s="333"/>
    </row>
    <row r="2096" spans="1:10" x14ac:dyDescent="0.2">
      <c r="J2096" s="329"/>
    </row>
    <row r="2097" spans="1:10" x14ac:dyDescent="0.2">
      <c r="A2097" s="43" t="s">
        <v>14</v>
      </c>
      <c r="B2097" s="56" t="s">
        <v>79</v>
      </c>
      <c r="C2097" s="197" t="s">
        <v>26</v>
      </c>
      <c r="J2097" s="329"/>
    </row>
    <row r="2098" spans="1:10" x14ac:dyDescent="0.2">
      <c r="A2098" s="198" t="s">
        <v>27</v>
      </c>
      <c r="B2098" s="2">
        <v>2016</v>
      </c>
      <c r="C2098" s="2">
        <v>2017</v>
      </c>
      <c r="D2098" s="187">
        <v>2018</v>
      </c>
      <c r="E2098" s="2">
        <v>2019</v>
      </c>
      <c r="F2098" s="2">
        <v>2020</v>
      </c>
      <c r="G2098" s="2">
        <v>2021</v>
      </c>
      <c r="H2098" s="2">
        <v>2022</v>
      </c>
      <c r="I2098" s="2">
        <v>2023</v>
      </c>
      <c r="J2098" s="468">
        <v>2024</v>
      </c>
    </row>
    <row r="2099" spans="1:10" x14ac:dyDescent="0.2">
      <c r="A2099" s="15" t="s">
        <v>28</v>
      </c>
      <c r="B2099" s="102">
        <v>50</v>
      </c>
      <c r="C2099" s="102">
        <v>50</v>
      </c>
      <c r="D2099" s="102">
        <v>50</v>
      </c>
      <c r="E2099" s="102">
        <v>50</v>
      </c>
      <c r="F2099" s="102">
        <v>50</v>
      </c>
      <c r="G2099" s="102">
        <v>50</v>
      </c>
      <c r="H2099" s="102">
        <v>50</v>
      </c>
      <c r="I2099" s="102">
        <v>50</v>
      </c>
      <c r="J2099" s="462">
        <v>50</v>
      </c>
    </row>
    <row r="2100" spans="1:10" x14ac:dyDescent="0.2">
      <c r="A2100" s="15" t="s">
        <v>29</v>
      </c>
      <c r="B2100" s="102"/>
      <c r="C2100" s="102">
        <f>C2099+B2103</f>
        <v>-57.97999999999999</v>
      </c>
      <c r="D2100" s="102">
        <f>D2099+C2103</f>
        <v>-158.07</v>
      </c>
      <c r="E2100" s="102">
        <f>D2103+E2099</f>
        <v>-175.964</v>
      </c>
      <c r="F2100" s="102">
        <f>E2103+F2099</f>
        <v>-177.393</v>
      </c>
      <c r="G2100" s="102">
        <f>F2103+G2099</f>
        <v>-162.78800000000001</v>
      </c>
      <c r="H2100" s="102">
        <f>G2103*1.25+H2099</f>
        <v>-193.19875000000002</v>
      </c>
      <c r="I2100" s="102">
        <f>H2103*1.25+I2099</f>
        <v>-245.52468750000003</v>
      </c>
      <c r="J2100" s="462">
        <f>I2103*1.25+J2099</f>
        <v>-318.318359375</v>
      </c>
    </row>
    <row r="2101" spans="1:10" x14ac:dyDescent="0.2">
      <c r="A2101" s="15" t="s">
        <v>30</v>
      </c>
      <c r="B2101" s="105"/>
      <c r="C2101" s="199" t="s">
        <v>543</v>
      </c>
      <c r="D2101" s="199" t="s">
        <v>544</v>
      </c>
      <c r="E2101" s="199" t="s">
        <v>545</v>
      </c>
      <c r="F2101" s="199" t="s">
        <v>548</v>
      </c>
      <c r="G2101" s="199" t="s">
        <v>550</v>
      </c>
      <c r="H2101" s="199" t="s">
        <v>696</v>
      </c>
      <c r="I2101" s="199" t="s">
        <v>859</v>
      </c>
      <c r="J2101" s="570" t="s">
        <v>1033</v>
      </c>
    </row>
    <row r="2102" spans="1:10" x14ac:dyDescent="0.2">
      <c r="A2102" s="15" t="s">
        <v>31</v>
      </c>
      <c r="B2102" s="102">
        <v>157.97999999999999</v>
      </c>
      <c r="C2102" s="102">
        <v>150.09</v>
      </c>
      <c r="D2102" s="102">
        <v>67.894000000000005</v>
      </c>
      <c r="E2102" s="102">
        <v>51.429000000000002</v>
      </c>
      <c r="F2102" s="5">
        <v>35.395000000000003</v>
      </c>
      <c r="G2102" s="5">
        <v>31.771000000000001</v>
      </c>
      <c r="H2102" s="5">
        <v>43.220999999999997</v>
      </c>
      <c r="I2102" s="5">
        <v>49.13</v>
      </c>
      <c r="J2102" s="409"/>
    </row>
    <row r="2103" spans="1:10" x14ac:dyDescent="0.2">
      <c r="A2103" s="15" t="s">
        <v>32</v>
      </c>
      <c r="B2103" s="102">
        <f>B2099-B2102</f>
        <v>-107.97999999999999</v>
      </c>
      <c r="C2103" s="102">
        <f t="shared" ref="C2103:I2103" si="71">C2100-C2102</f>
        <v>-208.07</v>
      </c>
      <c r="D2103" s="102">
        <f t="shared" si="71"/>
        <v>-225.964</v>
      </c>
      <c r="E2103" s="102">
        <f t="shared" si="71"/>
        <v>-227.393</v>
      </c>
      <c r="F2103" s="102">
        <f t="shared" si="71"/>
        <v>-212.78800000000001</v>
      </c>
      <c r="G2103" s="102">
        <f t="shared" si="71"/>
        <v>-194.55900000000003</v>
      </c>
      <c r="H2103" s="102">
        <f t="shared" si="71"/>
        <v>-236.41975000000002</v>
      </c>
      <c r="I2103" s="102">
        <f t="shared" si="71"/>
        <v>-294.65468750000002</v>
      </c>
      <c r="J2103" s="462"/>
    </row>
    <row r="2104" spans="1:10" x14ac:dyDescent="0.2">
      <c r="A2104" s="8" t="s">
        <v>33</v>
      </c>
      <c r="B2104" s="28">
        <v>2017</v>
      </c>
      <c r="C2104" s="28">
        <v>2018</v>
      </c>
      <c r="D2104" s="28">
        <v>2019</v>
      </c>
      <c r="E2104" s="28">
        <v>2020</v>
      </c>
      <c r="F2104" s="28">
        <v>2021</v>
      </c>
      <c r="G2104" s="28">
        <v>2022</v>
      </c>
      <c r="H2104" s="28">
        <v>2023</v>
      </c>
      <c r="I2104" s="28">
        <v>2024</v>
      </c>
      <c r="J2104" s="467">
        <v>2025</v>
      </c>
    </row>
    <row r="2105" spans="1:10" x14ac:dyDescent="0.2">
      <c r="A2105" s="8" t="s">
        <v>698</v>
      </c>
      <c r="B2105" s="152"/>
      <c r="C2105" s="152"/>
      <c r="D2105" s="152"/>
      <c r="E2105" s="152"/>
      <c r="F2105" s="152"/>
      <c r="G2105" s="152"/>
      <c r="H2105" s="152"/>
      <c r="I2105" s="152"/>
      <c r="J2105" s="500"/>
    </row>
    <row r="2106" spans="1:10" x14ac:dyDescent="0.2">
      <c r="A2106" s="10" t="s">
        <v>546</v>
      </c>
      <c r="B2106" s="141"/>
      <c r="C2106" s="141"/>
      <c r="D2106" s="141"/>
      <c r="E2106" s="141"/>
      <c r="F2106" s="141"/>
      <c r="G2106" s="141"/>
      <c r="H2106" s="141"/>
      <c r="I2106" s="141"/>
      <c r="J2106" s="498"/>
    </row>
    <row r="2107" spans="1:10" x14ac:dyDescent="0.2">
      <c r="A2107" s="10" t="s">
        <v>547</v>
      </c>
      <c r="J2107" s="413"/>
    </row>
    <row r="2108" spans="1:10" x14ac:dyDescent="0.2">
      <c r="A2108" s="10" t="s">
        <v>549</v>
      </c>
      <c r="J2108" s="413"/>
    </row>
    <row r="2109" spans="1:10" x14ac:dyDescent="0.2">
      <c r="A2109" s="10" t="s">
        <v>551</v>
      </c>
      <c r="J2109" s="413"/>
    </row>
    <row r="2110" spans="1:10" x14ac:dyDescent="0.2">
      <c r="A2110" s="10" t="s">
        <v>913</v>
      </c>
      <c r="J2110" s="413"/>
    </row>
    <row r="2111" spans="1:10" x14ac:dyDescent="0.2">
      <c r="A2111" s="10" t="s">
        <v>914</v>
      </c>
      <c r="J2111" s="413"/>
    </row>
    <row r="2112" spans="1:10" x14ac:dyDescent="0.2">
      <c r="A2112" s="415" t="s">
        <v>1035</v>
      </c>
      <c r="B2112" s="13"/>
      <c r="C2112" s="13"/>
      <c r="D2112" s="13"/>
      <c r="E2112" s="13"/>
      <c r="F2112" s="13"/>
      <c r="G2112" s="13"/>
      <c r="H2112" s="13"/>
      <c r="I2112" s="13"/>
      <c r="J2112" s="333"/>
    </row>
  </sheetData>
  <mergeCells count="51">
    <mergeCell ref="A704:E704"/>
    <mergeCell ref="A859:F859"/>
    <mergeCell ref="A769:J769"/>
    <mergeCell ref="A1848:G1848"/>
    <mergeCell ref="A862:G862"/>
    <mergeCell ref="A1615:G1615"/>
    <mergeCell ref="A1365:G1365"/>
    <mergeCell ref="A1366:G1366"/>
    <mergeCell ref="A1586:D1586"/>
    <mergeCell ref="A1572:H1572"/>
    <mergeCell ref="A1570:H1570"/>
    <mergeCell ref="A1571:H1571"/>
    <mergeCell ref="A863:G863"/>
    <mergeCell ref="A1008:N1008"/>
    <mergeCell ref="C1327:J1327"/>
    <mergeCell ref="A1573:H1573"/>
    <mergeCell ref="A1510:E1510"/>
    <mergeCell ref="A1521:E1521"/>
    <mergeCell ref="A1364:G1364"/>
    <mergeCell ref="A667:H667"/>
    <mergeCell ref="A346:M346"/>
    <mergeCell ref="A309:O309"/>
    <mergeCell ref="A15:E15"/>
    <mergeCell ref="A257:J257"/>
    <mergeCell ref="A256:F256"/>
    <mergeCell ref="A192:G192"/>
    <mergeCell ref="A246:J246"/>
    <mergeCell ref="A28:D28"/>
    <mergeCell ref="E104:K104"/>
    <mergeCell ref="C123:K123"/>
    <mergeCell ref="C139:K139"/>
    <mergeCell ref="A432:G432"/>
    <mergeCell ref="A553:F553"/>
    <mergeCell ref="A487:F487"/>
    <mergeCell ref="A538:F538"/>
    <mergeCell ref="A438:G438"/>
    <mergeCell ref="A450:F450"/>
    <mergeCell ref="A467:F467"/>
    <mergeCell ref="A861:G861"/>
    <mergeCell ref="A856:F856"/>
    <mergeCell ref="A1367:G1367"/>
    <mergeCell ref="A754:L754"/>
    <mergeCell ref="A858:F858"/>
    <mergeCell ref="A867:G867"/>
    <mergeCell ref="A864:G864"/>
    <mergeCell ref="A860:G860"/>
    <mergeCell ref="A108:F108"/>
    <mergeCell ref="A109:F109"/>
    <mergeCell ref="A209:G209"/>
    <mergeCell ref="A223:G223"/>
    <mergeCell ref="A211:G211"/>
  </mergeCells>
  <phoneticPr fontId="10" type="noConversion"/>
  <pageMargins left="0.7" right="0.7" top="0.75" bottom="0.75" header="0.3" footer="0.3"/>
  <pageSetup paperSize="9" scale="10" orientation="landscape" r:id="rId1"/>
  <ignoredErrors>
    <ignoredError sqref="F1486 K1018 E2057:F2057 H155 I444 I1516 J1739" formula="1"/>
    <ignoredError sqref="H1822 I727:K727 I761:J761 H791 H742 H1804 C775 I742:J742 E775" unlockedFormula="1"/>
    <ignoredError sqref="C1580 H2101 E6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Juan Luis Gallego</cp:lastModifiedBy>
  <cp:lastPrinted>2021-10-08T09:47:24Z</cp:lastPrinted>
  <dcterms:created xsi:type="dcterms:W3CDTF">2018-06-01T11:58:01Z</dcterms:created>
  <dcterms:modified xsi:type="dcterms:W3CDTF">2024-11-16T11:04:00Z</dcterms:modified>
</cp:coreProperties>
</file>