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tunadata\Compliance\2026_SharedDocs\ComplianceTables\"/>
    </mc:Choice>
  </mc:AlternateContent>
  <xr:revisionPtr revIDLastSave="0" documentId="13_ncr:1_{884A4206-541E-4496-B669-24227B37918A}" xr6:coauthVersionLast="47" xr6:coauthVersionMax="47" xr10:uidLastSave="{00000000-0000-0000-0000-000000000000}"/>
  <bookViews>
    <workbookView xWindow="14303" yWindow="-98" windowWidth="28995" windowHeight="15675" xr2:uid="{00000000-000D-0000-FFFF-FFFF00000000}"/>
  </bookViews>
  <sheets>
    <sheet name="Adjustement data" sheetId="1" r:id="rId1"/>
  </sheets>
  <definedNames>
    <definedName name="_xlnm.Print_Area" localSheetId="0">'Adjustement data'!$A$1:$R$2083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01" i="1" l="1"/>
  <c r="M2064" i="1"/>
  <c r="N80" i="1"/>
  <c r="L1520" i="1"/>
  <c r="K1523" i="1"/>
  <c r="C1523" i="1"/>
  <c r="D1523" i="1"/>
  <c r="E1523" i="1"/>
  <c r="F1523" i="1"/>
  <c r="G1523" i="1"/>
  <c r="H1523" i="1"/>
  <c r="I1523" i="1"/>
  <c r="J1523" i="1"/>
  <c r="B1523" i="1"/>
  <c r="J1510" i="1"/>
  <c r="J1513" i="1" s="1"/>
  <c r="K1510" i="1" s="1"/>
  <c r="I69" i="1"/>
  <c r="J1946" i="1"/>
  <c r="D1949" i="1"/>
  <c r="F1946" i="1" s="1"/>
  <c r="F793" i="1"/>
  <c r="N929" i="1" l="1"/>
  <c r="M929" i="1"/>
  <c r="L929" i="1"/>
  <c r="K929" i="1"/>
  <c r="M917" i="1"/>
  <c r="M852" i="1"/>
  <c r="L2356" i="1"/>
  <c r="K2323" i="1"/>
  <c r="K2326" i="1" s="1"/>
  <c r="L2299" i="1"/>
  <c r="M2296" i="1" s="1"/>
  <c r="G2188" i="1"/>
  <c r="G2099" i="1"/>
  <c r="J2082" i="1"/>
  <c r="K2082" i="1"/>
  <c r="J1919" i="1" l="1"/>
  <c r="K1897" i="1"/>
  <c r="J1897" i="1"/>
  <c r="J1896" i="1" s="1"/>
  <c r="J1899" i="1" s="1"/>
  <c r="I1897" i="1"/>
  <c r="I1896" i="1" s="1"/>
  <c r="H1897" i="1"/>
  <c r="L1419" i="1"/>
  <c r="M1467" i="1"/>
  <c r="M1455" i="1"/>
  <c r="M1436" i="1"/>
  <c r="M1381" i="1"/>
  <c r="M1384" i="1" s="1"/>
  <c r="C1348" i="1"/>
  <c r="S1304" i="1"/>
  <c r="S1281" i="1"/>
  <c r="S1248" i="1"/>
  <c r="R1228" i="1"/>
  <c r="R1202" i="1"/>
  <c r="S1112" i="1"/>
  <c r="C1104" i="1"/>
  <c r="R1090" i="1"/>
  <c r="G1786" i="1" l="1"/>
  <c r="E1775" i="1"/>
  <c r="F1775" i="1"/>
  <c r="G1775" i="1"/>
  <c r="J1757" i="1"/>
  <c r="L1706" i="1"/>
  <c r="N1676" i="1"/>
  <c r="N1655" i="1"/>
  <c r="Q1626" i="1"/>
  <c r="L1005" i="1"/>
  <c r="L1008" i="1" s="1"/>
  <c r="L638" i="1"/>
  <c r="L623" i="1"/>
  <c r="L604" i="1"/>
  <c r="L586" i="1"/>
  <c r="I808" i="1" l="1"/>
  <c r="F796" i="1"/>
  <c r="G793" i="1" s="1"/>
  <c r="F768" i="1"/>
  <c r="G765" i="1" s="1"/>
  <c r="E36" i="1"/>
  <c r="D307" i="1" l="1"/>
  <c r="C307" i="1"/>
  <c r="C296" i="1"/>
  <c r="M285" i="1"/>
  <c r="B275" i="1"/>
  <c r="C275" i="1"/>
  <c r="D275" i="1"/>
  <c r="E275" i="1"/>
  <c r="F275" i="1"/>
  <c r="G275" i="1"/>
  <c r="H275" i="1"/>
  <c r="I275" i="1"/>
  <c r="M275" i="1"/>
  <c r="K275" i="1"/>
  <c r="L275" i="1"/>
  <c r="J275" i="1"/>
  <c r="G23" i="1"/>
  <c r="Q488" i="1"/>
  <c r="Q472" i="1"/>
  <c r="Q453" i="1"/>
  <c r="Q414" i="1"/>
  <c r="E402" i="1"/>
  <c r="R359" i="1"/>
  <c r="M337" i="1"/>
  <c r="M315" i="1"/>
  <c r="L318" i="1"/>
  <c r="D402" i="1" l="1"/>
  <c r="C402" i="1"/>
  <c r="T1172" i="1" l="1"/>
  <c r="S1172" i="1"/>
  <c r="L565" i="1"/>
  <c r="L544" i="1"/>
  <c r="L162" i="1"/>
  <c r="L165" i="1" s="1"/>
  <c r="K121" i="1"/>
  <c r="K124" i="1" s="1"/>
  <c r="L121" i="1"/>
  <c r="L2256" i="1"/>
  <c r="H2199" i="1"/>
  <c r="M2028" i="1"/>
  <c r="L1994" i="1"/>
  <c r="F1821" i="1"/>
  <c r="R1625" i="1"/>
  <c r="L1604" i="1"/>
  <c r="K1569" i="1"/>
  <c r="O1381" i="1"/>
  <c r="K1005" i="1"/>
  <c r="K1008" i="1" s="1"/>
  <c r="J1005" i="1"/>
  <c r="M983" i="1"/>
  <c r="M961" i="1"/>
  <c r="M939" i="1"/>
  <c r="L939" i="1"/>
  <c r="L942" i="1" s="1"/>
  <c r="N900" i="1"/>
  <c r="H882" i="1"/>
  <c r="G882" i="1"/>
  <c r="G885" i="1" s="1"/>
  <c r="I882" i="1"/>
  <c r="N849" i="1"/>
  <c r="O833" i="1"/>
  <c r="J652" i="1"/>
  <c r="K652" i="1"/>
  <c r="K655" i="1" s="1"/>
  <c r="N202" i="1"/>
  <c r="L181" i="1"/>
  <c r="K162" i="1"/>
  <c r="K165" i="1" s="1"/>
  <c r="M143" i="1"/>
  <c r="M146" i="1" s="1"/>
  <c r="J47" i="1" l="1"/>
  <c r="K12" i="1"/>
  <c r="J9" i="1"/>
  <c r="L2343" i="1" l="1"/>
  <c r="L2323" i="1"/>
  <c r="L2276" i="1"/>
  <c r="M2231" i="1"/>
  <c r="I2214" i="1"/>
  <c r="F2115" i="1"/>
  <c r="G2100" i="1"/>
  <c r="N2041" i="1"/>
  <c r="L1997" i="1"/>
  <c r="M1809" i="1"/>
  <c r="O1614" i="1"/>
  <c r="L1531" i="1"/>
  <c r="O1404" i="1"/>
  <c r="N1392" i="1"/>
  <c r="N1371" i="1"/>
  <c r="H1325" i="1"/>
  <c r="M964" i="1" l="1"/>
  <c r="J808" i="1"/>
  <c r="N741" i="1"/>
  <c r="N730" i="1"/>
  <c r="F715" i="1"/>
  <c r="M502" i="1"/>
  <c r="R431" i="1"/>
  <c r="S378" i="1"/>
  <c r="O230" i="1"/>
  <c r="J254" i="1" l="1"/>
  <c r="I254" i="1"/>
  <c r="K254" i="1"/>
  <c r="H254" i="1"/>
  <c r="H257" i="1" s="1"/>
  <c r="Q1625" i="1" l="1"/>
  <c r="Q1628" i="1" s="1"/>
  <c r="L983" i="1"/>
  <c r="L986" i="1" s="1"/>
  <c r="H2214" i="1" l="1"/>
  <c r="G2214" i="1"/>
  <c r="G2217" i="1" s="1"/>
  <c r="N833" i="1" l="1"/>
  <c r="N213" i="1"/>
  <c r="H1703" i="1" l="1"/>
  <c r="I1703" i="1"/>
  <c r="J202" i="1" l="1"/>
  <c r="N355" i="1"/>
  <c r="N359" i="1"/>
  <c r="I1653" i="1" l="1"/>
  <c r="M1655" i="1"/>
  <c r="M2041" i="1"/>
  <c r="M2044" i="1" s="1"/>
  <c r="L741" i="1" l="1"/>
  <c r="K741" i="1"/>
  <c r="M741" i="1"/>
  <c r="K939" i="1"/>
  <c r="K942" i="1" s="1"/>
  <c r="L961" i="1" l="1"/>
  <c r="L964" i="1" s="1"/>
  <c r="M730" i="1"/>
  <c r="L730" i="1"/>
  <c r="K730" i="1"/>
  <c r="J730" i="1"/>
  <c r="I12" i="1"/>
  <c r="J12" i="1"/>
  <c r="E793" i="1" l="1"/>
  <c r="D793" i="1"/>
  <c r="K243" i="1" l="1"/>
  <c r="M243" i="1"/>
  <c r="M246" i="1" s="1"/>
  <c r="M213" i="1"/>
  <c r="E768" i="1"/>
  <c r="F765" i="1" s="1"/>
  <c r="I1757" i="1" l="1"/>
  <c r="F2099" i="1" l="1"/>
  <c r="F2102" i="1" s="1"/>
  <c r="K2064" i="1" l="1"/>
  <c r="L2061" i="1" s="1"/>
  <c r="L2064" i="1" s="1"/>
  <c r="L2028" i="1" l="1"/>
  <c r="E2115" i="1"/>
  <c r="B1348" i="1"/>
  <c r="D1775" i="1" l="1"/>
  <c r="C1775" i="1"/>
  <c r="B1775" i="1"/>
  <c r="H1772" i="1"/>
  <c r="L1384" i="1" l="1"/>
  <c r="M900" i="1"/>
  <c r="M903" i="1" s="1"/>
  <c r="L900" i="1"/>
  <c r="Q1248" i="1"/>
  <c r="Q1251" i="1" s="1"/>
  <c r="O1248" i="1"/>
  <c r="F778" i="1" l="1"/>
  <c r="F781" i="1" s="1"/>
  <c r="G778" i="1" s="1"/>
  <c r="G781" i="1" s="1"/>
  <c r="H778" i="1" s="1"/>
  <c r="K2343" i="1" l="1"/>
  <c r="K2346" i="1" s="1"/>
  <c r="K2276" i="1" l="1"/>
  <c r="K2279" i="1" s="1"/>
  <c r="K2256" i="1"/>
  <c r="K2259" i="1" s="1"/>
  <c r="G2199" i="1"/>
  <c r="G2202" i="1" s="1"/>
  <c r="D2115" i="1" l="1"/>
  <c r="K2013" i="1" l="1"/>
  <c r="K1994" i="1" l="1"/>
  <c r="K1997" i="1" s="1"/>
  <c r="B1964" i="1" l="1"/>
  <c r="C1961" i="1" s="1"/>
  <c r="C1964" i="1" s="1"/>
  <c r="D1961" i="1" s="1"/>
  <c r="L1809" i="1" l="1"/>
  <c r="L1812" i="1" s="1"/>
  <c r="B1743" i="1" l="1"/>
  <c r="C1740" i="1" s="1"/>
  <c r="C1743" i="1" s="1"/>
  <c r="D1740" i="1" s="1"/>
  <c r="M1676" i="1"/>
  <c r="L1655" i="1"/>
  <c r="N1614" i="1"/>
  <c r="N1617" i="1" s="1"/>
  <c r="M1617" i="1"/>
  <c r="K1531" i="1" l="1"/>
  <c r="L1455" i="1"/>
  <c r="N1404" i="1"/>
  <c r="N1407" i="1" s="1"/>
  <c r="M1404" i="1"/>
  <c r="M1407" i="1" s="1"/>
  <c r="M1392" i="1"/>
  <c r="M1395" i="1" s="1"/>
  <c r="L1395" i="1"/>
  <c r="N1381" i="1"/>
  <c r="M1371" i="1"/>
  <c r="M1374" i="1" s="1"/>
  <c r="C1359" i="1" l="1"/>
  <c r="Q1304" i="1"/>
  <c r="R1304" i="1"/>
  <c r="L917" i="1" l="1"/>
  <c r="L903" i="1"/>
  <c r="L836" i="1"/>
  <c r="G808" i="1"/>
  <c r="H808" i="1"/>
  <c r="K638" i="1" l="1"/>
  <c r="K623" i="1"/>
  <c r="K586" i="1"/>
  <c r="J586" i="1"/>
  <c r="J544" i="1"/>
  <c r="P488" i="1" l="1"/>
  <c r="P472" i="1"/>
  <c r="Q431" i="1"/>
  <c r="Q434" i="1" s="1"/>
  <c r="G254" i="1" l="1"/>
  <c r="N230" i="1"/>
  <c r="M230" i="1"/>
  <c r="M233" i="1" s="1"/>
  <c r="M202" i="1"/>
  <c r="J121" i="1" l="1"/>
  <c r="J124" i="1" s="1"/>
  <c r="I121" i="1" l="1"/>
  <c r="I124" i="1" s="1"/>
  <c r="H69" i="1" l="1"/>
  <c r="H47" i="1"/>
  <c r="H50" i="1" s="1"/>
  <c r="F2100" i="1" l="1"/>
  <c r="L1371" i="1" l="1"/>
  <c r="L1374" i="1" s="1"/>
  <c r="C36" i="1" l="1"/>
  <c r="F23" i="1" l="1"/>
  <c r="K1604" i="1"/>
  <c r="K1607" i="1" s="1"/>
  <c r="H620" i="1" l="1"/>
  <c r="J623" i="1"/>
  <c r="O472" i="1"/>
  <c r="E715" i="1"/>
  <c r="Q378" i="1"/>
  <c r="Q381" i="1" s="1"/>
  <c r="R378" i="1"/>
  <c r="L143" i="1"/>
  <c r="L146" i="1" s="1"/>
  <c r="K143" i="1"/>
  <c r="K146" i="1" s="1"/>
  <c r="L2231" i="1" l="1"/>
  <c r="L2234" i="1" s="1"/>
  <c r="K2231" i="1"/>
  <c r="K2234" i="1" s="1"/>
  <c r="I47" i="1" l="1"/>
  <c r="I50" i="1" s="1"/>
  <c r="L502" i="1" l="1"/>
  <c r="L505" i="1" s="1"/>
  <c r="N243" i="1" l="1"/>
  <c r="L243" i="1"/>
  <c r="L246" i="1" s="1"/>
  <c r="L230" i="1"/>
  <c r="L233" i="1" s="1"/>
  <c r="K230" i="1"/>
  <c r="K233" i="1" s="1"/>
  <c r="M833" i="1" l="1"/>
  <c r="M836" i="1" s="1"/>
  <c r="D715" i="1"/>
  <c r="D718" i="1" s="1"/>
  <c r="F2214" i="1"/>
  <c r="F2217" i="1" s="1"/>
  <c r="B1836" i="1" l="1"/>
  <c r="C1833" i="1" s="1"/>
  <c r="C1836" i="1" s="1"/>
  <c r="D1833" i="1" s="1"/>
  <c r="D1836" i="1" s="1"/>
  <c r="E1833" i="1" s="1"/>
  <c r="E1836" i="1" s="1"/>
  <c r="B1359" i="1"/>
  <c r="G1325" i="1"/>
  <c r="G1328" i="1" s="1"/>
  <c r="R1172" i="1"/>
  <c r="R1175" i="1" s="1"/>
  <c r="F2199" i="1"/>
  <c r="F2202" i="1" s="1"/>
  <c r="F2185" i="1"/>
  <c r="F2188" i="1" s="1"/>
  <c r="F2171" i="1"/>
  <c r="F2174" i="1" s="1"/>
  <c r="G2171" i="1"/>
  <c r="G2174" i="1" s="1"/>
  <c r="E2171" i="1"/>
  <c r="E2174" i="1" s="1"/>
  <c r="G2155" i="1"/>
  <c r="G2158" i="1" s="1"/>
  <c r="G2141" i="1"/>
  <c r="G2144" i="1" s="1"/>
  <c r="G2124" i="1"/>
  <c r="G2127" i="1" s="1"/>
  <c r="F1833" i="1" l="1"/>
  <c r="F1836" i="1" s="1"/>
  <c r="G1833" i="1" s="1"/>
  <c r="G1836" i="1" s="1"/>
  <c r="H1833" i="1" s="1"/>
  <c r="H1836" i="1" s="1"/>
  <c r="C2115" i="1"/>
  <c r="I2082" i="1"/>
  <c r="I1833" i="1" l="1"/>
  <c r="I1836" i="1" s="1"/>
  <c r="J1833" i="1" s="1"/>
  <c r="J1836" i="1" s="1"/>
  <c r="K1833" i="1" s="1"/>
  <c r="K1836" i="1" s="1"/>
  <c r="L1833" i="1" s="1"/>
  <c r="L2026" i="1"/>
  <c r="K2028" i="1"/>
  <c r="L2041" i="1"/>
  <c r="L2044" i="1" s="1"/>
  <c r="E1821" i="1" l="1"/>
  <c r="E1824" i="1" s="1"/>
  <c r="K1809" i="1" l="1"/>
  <c r="K1812" i="1" s="1"/>
  <c r="I1994" i="1" l="1"/>
  <c r="H1994" i="1"/>
  <c r="J1994" i="1"/>
  <c r="J1997" i="1" s="1"/>
  <c r="K1974" i="1"/>
  <c r="J1974" i="1"/>
  <c r="J1977" i="1" s="1"/>
  <c r="J213" i="1"/>
  <c r="I1917" i="1" l="1"/>
  <c r="I1916" i="1" s="1"/>
  <c r="I1919" i="1" s="1"/>
  <c r="I1899" i="1"/>
  <c r="D1743" i="1" l="1"/>
  <c r="E1740" i="1" s="1"/>
  <c r="E1743" i="1" s="1"/>
  <c r="K1706" i="1"/>
  <c r="D1695" i="1"/>
  <c r="L1692" i="1"/>
  <c r="L1695" i="1" s="1"/>
  <c r="J1692" i="1"/>
  <c r="J1695" i="1" s="1"/>
  <c r="I1692" i="1"/>
  <c r="I1695" i="1" s="1"/>
  <c r="K1692" i="1" s="1"/>
  <c r="K1695" i="1" s="1"/>
  <c r="H1692" i="1"/>
  <c r="H1695" i="1" s="1"/>
  <c r="G1692" i="1"/>
  <c r="G1695" i="1" s="1"/>
  <c r="F1692" i="1"/>
  <c r="F1695" i="1" s="1"/>
  <c r="E1692" i="1"/>
  <c r="E1695" i="1" s="1"/>
  <c r="C1692" i="1"/>
  <c r="C1695" i="1" s="1"/>
  <c r="L1676" i="1"/>
  <c r="L1617" i="1"/>
  <c r="J1604" i="1"/>
  <c r="J1607" i="1" s="1"/>
  <c r="K1455" i="1" l="1"/>
  <c r="K1407" i="1"/>
  <c r="K1395" i="1"/>
  <c r="L1433" i="1" l="1"/>
  <c r="L1436" i="1" s="1"/>
  <c r="F1325" i="1" l="1"/>
  <c r="F1328" i="1" s="1"/>
  <c r="E1328" i="1"/>
  <c r="Q1281" i="1"/>
  <c r="Q1172" i="1"/>
  <c r="Q1175" i="1" s="1"/>
  <c r="L202" i="1" l="1"/>
  <c r="L205" i="1" s="1"/>
  <c r="L213" i="1" l="1"/>
  <c r="L216" i="1" s="1"/>
  <c r="K213" i="1"/>
  <c r="K216" i="1" s="1"/>
  <c r="C1480" i="1" l="1"/>
  <c r="J2256" i="1" l="1"/>
  <c r="K2296" i="1"/>
  <c r="J2276" i="1"/>
  <c r="I2359" i="1"/>
  <c r="J2356" i="1" s="1"/>
  <c r="J2359" i="1" s="1"/>
  <c r="K2356" i="1" s="1"/>
  <c r="K2359" i="1" s="1"/>
  <c r="J2343" i="1" l="1"/>
  <c r="J2346" i="1" s="1"/>
  <c r="D1477" i="1"/>
  <c r="D1480" i="1" s="1"/>
  <c r="E1477" i="1" s="1"/>
  <c r="E1480" i="1" s="1"/>
  <c r="F1477" i="1" s="1"/>
  <c r="F1480" i="1" s="1"/>
  <c r="G1477" i="1" s="1"/>
  <c r="G1480" i="1" l="1"/>
  <c r="H1477" i="1" s="1"/>
  <c r="H1480" i="1" l="1"/>
  <c r="I1477" i="1" s="1"/>
  <c r="I1480" i="1" s="1"/>
  <c r="D768" i="1"/>
  <c r="E765" i="1" s="1"/>
  <c r="C768" i="1"/>
  <c r="K917" i="1"/>
  <c r="F882" i="1"/>
  <c r="F885" i="1" s="1"/>
  <c r="L868" i="1"/>
  <c r="L871" i="1" s="1"/>
  <c r="N868" i="1" s="1"/>
  <c r="L849" i="1"/>
  <c r="L852" i="1" s="1"/>
  <c r="J1477" i="1" l="1"/>
  <c r="J655" i="1"/>
  <c r="P450" i="1"/>
  <c r="P453" i="1" s="1"/>
  <c r="O488" i="1"/>
  <c r="J1480" i="1" l="1"/>
  <c r="K1477" i="1" s="1"/>
  <c r="K1480" i="1" s="1"/>
  <c r="L1477" i="1" s="1"/>
  <c r="P431" i="1"/>
  <c r="P434" i="1" s="1"/>
  <c r="P411" i="1"/>
  <c r="P414" i="1" s="1"/>
  <c r="K523" i="1" l="1"/>
  <c r="K526" i="1" s="1"/>
  <c r="K181" i="1" l="1"/>
  <c r="K184" i="1" s="1"/>
  <c r="J181" i="1"/>
  <c r="J184" i="1" s="1"/>
  <c r="I181" i="1"/>
  <c r="I184" i="1" s="1"/>
  <c r="G69" i="1" l="1"/>
  <c r="D33" i="1" l="1"/>
  <c r="D36" i="1" s="1"/>
  <c r="E47" i="1"/>
  <c r="E50" i="1" s="1"/>
  <c r="F47" i="1"/>
  <c r="F50" i="1" s="1"/>
  <c r="G47" i="1"/>
  <c r="G50" i="1" s="1"/>
  <c r="C50" i="1"/>
  <c r="D50" i="1"/>
  <c r="E23" i="1" l="1"/>
  <c r="J1008" i="1" l="1"/>
  <c r="K315" i="1" l="1"/>
  <c r="K318" i="1" s="1"/>
  <c r="K961" i="1" l="1"/>
  <c r="K964" i="1" s="1"/>
  <c r="J638" i="1" l="1"/>
  <c r="K604" i="1"/>
  <c r="K562" i="1"/>
  <c r="K565" i="1" s="1"/>
  <c r="K541" i="1"/>
  <c r="K544" i="1" s="1"/>
  <c r="K502" i="1"/>
  <c r="K505" i="1" s="1"/>
  <c r="E335" i="1" l="1"/>
  <c r="C335" i="1"/>
  <c r="C338" i="1" l="1"/>
  <c r="D335" i="1" s="1"/>
  <c r="H1589" i="1" l="1"/>
  <c r="I1586" i="1" s="1"/>
  <c r="I1589" i="1" s="1"/>
  <c r="J1586" i="1" s="1"/>
  <c r="J1589" i="1" s="1"/>
  <c r="H1569" i="1"/>
  <c r="J1531" i="1" l="1"/>
  <c r="J1534" i="1" s="1"/>
  <c r="E2099" i="1" l="1"/>
  <c r="E2100" i="1" l="1"/>
  <c r="H2079" i="1" l="1"/>
  <c r="E882" i="1"/>
  <c r="E885" i="1" s="1"/>
  <c r="B1031" i="1" l="1"/>
  <c r="C1028" i="1" s="1"/>
  <c r="C1031" i="1" s="1"/>
  <c r="D1028" i="1" s="1"/>
  <c r="D1031" i="1" s="1"/>
  <c r="E1028" i="1" s="1"/>
  <c r="E1031" i="1" s="1"/>
  <c r="F1028" i="1" s="1"/>
  <c r="F1031" i="1" s="1"/>
  <c r="G1028" i="1" s="1"/>
  <c r="G1031" i="1" s="1"/>
  <c r="B1069" i="1"/>
  <c r="C1066" i="1" s="1"/>
  <c r="C1069" i="1" s="1"/>
  <c r="D1066" i="1" s="1"/>
  <c r="D1069" i="1" s="1"/>
  <c r="E1066" i="1" s="1"/>
  <c r="E1069" i="1" s="1"/>
  <c r="F1066" i="1" s="1"/>
  <c r="F1069" i="1" s="1"/>
  <c r="G1066" i="1" s="1"/>
  <c r="G1069" i="1" s="1"/>
  <c r="H1066" i="1" s="1"/>
  <c r="H1069" i="1" s="1"/>
  <c r="B1050" i="1"/>
  <c r="C1047" i="1" s="1"/>
  <c r="C1050" i="1" s="1"/>
  <c r="D1047" i="1" s="1"/>
  <c r="D1050" i="1" s="1"/>
  <c r="G257" i="1"/>
  <c r="F2141" i="1"/>
  <c r="F2144" i="1" s="1"/>
  <c r="D1821" i="1"/>
  <c r="D1824" i="1" s="1"/>
  <c r="C715" i="1"/>
  <c r="C718" i="1" s="1"/>
  <c r="P378" i="1"/>
  <c r="P381" i="1" s="1"/>
  <c r="J143" i="1"/>
  <c r="J146" i="1" s="1"/>
  <c r="I1066" i="1" l="1"/>
  <c r="I1069" i="1" s="1"/>
  <c r="J1066" i="1" s="1"/>
  <c r="J1069" i="1" s="1"/>
  <c r="H1028" i="1"/>
  <c r="H1031" i="1" s="1"/>
  <c r="I1028" i="1" s="1"/>
  <c r="I1031" i="1" s="1"/>
  <c r="J1028" i="1" s="1"/>
  <c r="E1047" i="1"/>
  <c r="E1050" i="1" s="1"/>
  <c r="K1066" i="1" l="1"/>
  <c r="K1069" i="1" s="1"/>
  <c r="L1066" i="1" s="1"/>
  <c r="J1031" i="1"/>
  <c r="K1028" i="1" s="1"/>
  <c r="K1031" i="1" s="1"/>
  <c r="L1028" i="1" s="1"/>
  <c r="F1047" i="1"/>
  <c r="F1050" i="1" s="1"/>
  <c r="C101" i="1"/>
  <c r="B101" i="1"/>
  <c r="F98" i="1"/>
  <c r="F101" i="1" s="1"/>
  <c r="H98" i="1" s="1"/>
  <c r="H101" i="1" s="1"/>
  <c r="J98" i="1" s="1"/>
  <c r="J101" i="1" s="1"/>
  <c r="L98" i="1" s="1"/>
  <c r="L101" i="1" s="1"/>
  <c r="N98" i="1" s="1"/>
  <c r="E98" i="1"/>
  <c r="E101" i="1" s="1"/>
  <c r="G98" i="1" s="1"/>
  <c r="G101" i="1" s="1"/>
  <c r="I98" i="1" s="1"/>
  <c r="I101" i="1" s="1"/>
  <c r="K98" i="1" s="1"/>
  <c r="K101" i="1" s="1"/>
  <c r="M98" i="1" s="1"/>
  <c r="M101" i="1" s="1"/>
  <c r="O98" i="1" s="1"/>
  <c r="D98" i="1"/>
  <c r="D101" i="1" s="1"/>
  <c r="C80" i="1"/>
  <c r="E77" i="1" s="1"/>
  <c r="E80" i="1" s="1"/>
  <c r="G77" i="1" s="1"/>
  <c r="G80" i="1" s="1"/>
  <c r="I77" i="1" s="1"/>
  <c r="I80" i="1" s="1"/>
  <c r="K77" i="1" s="1"/>
  <c r="K80" i="1" s="1"/>
  <c r="M77" i="1" s="1"/>
  <c r="M80" i="1" s="1"/>
  <c r="O77" i="1" s="1"/>
  <c r="B80" i="1"/>
  <c r="D77" i="1" s="1"/>
  <c r="D80" i="1" s="1"/>
  <c r="F77" i="1" s="1"/>
  <c r="F80" i="1" s="1"/>
  <c r="H77" i="1" s="1"/>
  <c r="H80" i="1" s="1"/>
  <c r="J77" i="1" s="1"/>
  <c r="J80" i="1" s="1"/>
  <c r="L77" i="1" s="1"/>
  <c r="L80" i="1" s="1"/>
  <c r="N77" i="1" s="1"/>
  <c r="G1047" i="1" l="1"/>
  <c r="G1050" i="1" s="1"/>
  <c r="H1047" i="1" s="1"/>
  <c r="H1050" i="1" s="1"/>
  <c r="I1047" i="1" l="1"/>
  <c r="I1050" i="1" s="1"/>
  <c r="J1047" i="1" s="1"/>
  <c r="J1050" i="1" s="1"/>
  <c r="D2214" i="1"/>
  <c r="K1047" i="1" l="1"/>
  <c r="K1050" i="1" s="1"/>
  <c r="G1878" i="1"/>
  <c r="F1875" i="1"/>
  <c r="C1875" i="1"/>
  <c r="B1878" i="1"/>
  <c r="E1875" i="1"/>
  <c r="E1878" i="1" s="1"/>
  <c r="D1875" i="1"/>
  <c r="D1878" i="1" s="1"/>
  <c r="L1047" i="1" l="1"/>
  <c r="L1050" i="1" s="1"/>
  <c r="C1878" i="1"/>
  <c r="F1878" i="1"/>
  <c r="H1875" i="1" l="1"/>
  <c r="H1878" i="1" s="1"/>
  <c r="I1875" i="1" s="1"/>
  <c r="I1878" i="1" s="1"/>
  <c r="J1875" i="1" s="1"/>
  <c r="J1878" i="1" s="1"/>
  <c r="K1875" i="1" s="1"/>
  <c r="K1878" i="1" s="1"/>
  <c r="L1875" i="1" s="1"/>
  <c r="D1855" i="1"/>
  <c r="E1855" i="1"/>
  <c r="B1858" i="1"/>
  <c r="C1855" i="1" s="1"/>
  <c r="B1723" i="1"/>
  <c r="C1720" i="1" s="1"/>
  <c r="C1723" i="1" s="1"/>
  <c r="D1720" i="1" s="1"/>
  <c r="D1723" i="1" s="1"/>
  <c r="E1720" i="1" s="1"/>
  <c r="E1723" i="1" s="1"/>
  <c r="F1720" i="1" s="1"/>
  <c r="F1723" i="1" s="1"/>
  <c r="G1720" i="1" s="1"/>
  <c r="G1723" i="1" s="1"/>
  <c r="H1720" i="1" s="1"/>
  <c r="H1723" i="1" s="1"/>
  <c r="I1720" i="1" s="1"/>
  <c r="I1723" i="1" s="1"/>
  <c r="J1720" i="1" s="1"/>
  <c r="J1723" i="1" s="1"/>
  <c r="K1720" i="1" s="1"/>
  <c r="K1723" i="1" l="1"/>
  <c r="L1720" i="1" s="1"/>
  <c r="C1858" i="1"/>
  <c r="D1858" i="1" s="1"/>
  <c r="E1858" i="1" s="1"/>
  <c r="F1855" i="1" l="1"/>
  <c r="F1858" i="1" s="1"/>
  <c r="G1855" i="1" l="1"/>
  <c r="G1858" i="1" s="1"/>
  <c r="H1855" i="1" l="1"/>
  <c r="H1858" i="1" s="1"/>
  <c r="I1855" i="1" s="1"/>
  <c r="I1858" i="1" s="1"/>
  <c r="J1855" i="1" s="1"/>
  <c r="J1858" i="1" s="1"/>
  <c r="K1855" i="1" s="1"/>
  <c r="K1858" i="1" s="1"/>
  <c r="L1855" i="1" s="1"/>
  <c r="C755" i="1" l="1"/>
  <c r="D752" i="1" s="1"/>
  <c r="D755" i="1" s="1"/>
  <c r="E752" i="1" s="1"/>
  <c r="E755" i="1" s="1"/>
  <c r="F752" i="1" s="1"/>
  <c r="F755" i="1" s="1"/>
  <c r="G752" i="1" s="1"/>
  <c r="G755" i="1" s="1"/>
  <c r="B755" i="1"/>
  <c r="P752" i="1"/>
  <c r="O752" i="1"/>
  <c r="N752" i="1"/>
  <c r="M752" i="1"/>
  <c r="L752" i="1"/>
  <c r="K752" i="1"/>
  <c r="K755" i="1" s="1"/>
  <c r="J752" i="1"/>
  <c r="J755" i="1" s="1"/>
  <c r="I752" i="1"/>
  <c r="I755" i="1" s="1"/>
  <c r="H752" i="1"/>
  <c r="H755" i="1" s="1"/>
  <c r="B696" i="1"/>
  <c r="C693" i="1" s="1"/>
  <c r="C696" i="1" s="1"/>
  <c r="D693" i="1" s="1"/>
  <c r="D696" i="1" s="1"/>
  <c r="E693" i="1" s="1"/>
  <c r="E696" i="1" s="1"/>
  <c r="F693" i="1" s="1"/>
  <c r="F696" i="1" s="1"/>
  <c r="G693" i="1" l="1"/>
  <c r="G696" i="1" s="1"/>
  <c r="H693" i="1" l="1"/>
  <c r="H696" i="1" s="1"/>
  <c r="C1821" i="1"/>
  <c r="C1824" i="1" s="1"/>
  <c r="B1821" i="1"/>
  <c r="B1824" i="1" s="1"/>
  <c r="I693" i="1" l="1"/>
  <c r="I696" i="1" s="1"/>
  <c r="J693" i="1" s="1"/>
  <c r="J696" i="1" s="1"/>
  <c r="K693" i="1" s="1"/>
  <c r="K696" i="1" s="1"/>
  <c r="L693" i="1" s="1"/>
  <c r="J964" i="1"/>
  <c r="K849" i="1"/>
  <c r="K852" i="1" s="1"/>
  <c r="N1112" i="1"/>
  <c r="I741" i="1" l="1"/>
  <c r="J741" i="1"/>
  <c r="I730" i="1"/>
  <c r="J929" i="1"/>
  <c r="J917" i="1"/>
  <c r="K868" i="1"/>
  <c r="K871" i="1" s="1"/>
  <c r="M868" i="1" s="1"/>
  <c r="M871" i="1" s="1"/>
  <c r="K900" i="1" l="1"/>
  <c r="K903" i="1" s="1"/>
  <c r="B885" i="1"/>
  <c r="C882" i="1" s="1"/>
  <c r="J523" i="1" l="1"/>
  <c r="J526" i="1" s="1"/>
  <c r="L523" i="1" s="1"/>
  <c r="L526" i="1" s="1"/>
  <c r="I2296" i="1" l="1"/>
  <c r="I2299" i="1" s="1"/>
  <c r="J2296" i="1" s="1"/>
  <c r="H2279" i="1"/>
  <c r="I2276" i="1" s="1"/>
  <c r="H2259" i="1"/>
  <c r="J2231" i="1"/>
  <c r="J2234" i="1" s="1"/>
  <c r="D2100" i="1"/>
  <c r="C2102" i="1"/>
  <c r="D2099" i="1" s="1"/>
  <c r="D2101" i="1" s="1"/>
  <c r="E2199" i="1"/>
  <c r="E2202" i="1" s="1"/>
  <c r="E2185" i="1"/>
  <c r="E2188" i="1" s="1"/>
  <c r="D2174" i="1"/>
  <c r="F2155" i="1"/>
  <c r="F2158" i="1" s="1"/>
  <c r="E2155" i="1"/>
  <c r="E2158" i="1" s="1"/>
  <c r="D2158" i="1"/>
  <c r="D2144" i="1"/>
  <c r="F2124" i="1"/>
  <c r="F2127" i="1" s="1"/>
  <c r="H2359" i="1" l="1"/>
  <c r="I2343" i="1"/>
  <c r="I2346" i="1" s="1"/>
  <c r="H2082" i="1" l="1"/>
  <c r="K2041" i="1" l="1"/>
  <c r="K2044" i="1" s="1"/>
  <c r="J2028" i="1"/>
  <c r="K1946" i="1" l="1"/>
  <c r="L1946" i="1"/>
  <c r="M1946" i="1"/>
  <c r="N1946" i="1"/>
  <c r="O1946" i="1"/>
  <c r="F1949" i="1"/>
  <c r="H1946" i="1" s="1"/>
  <c r="E1949" i="1"/>
  <c r="G1946" i="1" s="1"/>
  <c r="G1949" i="1" s="1"/>
  <c r="I1946" i="1" s="1"/>
  <c r="I1949" i="1" s="1"/>
  <c r="H1917" i="1"/>
  <c r="H1916" i="1" s="1"/>
  <c r="H1919" i="1" s="1"/>
  <c r="G1919" i="1"/>
  <c r="H1896" i="1"/>
  <c r="H1899" i="1" s="1"/>
  <c r="H1949" i="1" l="1"/>
  <c r="D1786" i="1"/>
  <c r="J1706" i="1" l="1"/>
  <c r="I1706" i="1"/>
  <c r="J1455" i="1"/>
  <c r="K1433" i="1"/>
  <c r="K1436" i="1" s="1"/>
  <c r="J1395" i="1"/>
  <c r="K1371" i="1"/>
  <c r="K1374" i="1" s="1"/>
  <c r="E2214" i="1" l="1"/>
  <c r="E2217" i="1" s="1"/>
  <c r="D2217" i="1"/>
  <c r="D1328" i="1" l="1"/>
  <c r="P1304" i="1"/>
  <c r="P1281" i="1"/>
  <c r="R1278" i="1" s="1"/>
  <c r="R1281" i="1" s="1"/>
  <c r="P1248" i="1"/>
  <c r="P1251" i="1" s="1"/>
  <c r="R1248" i="1" s="1"/>
  <c r="R1251" i="1" s="1"/>
  <c r="P1172" i="1"/>
  <c r="P1175" i="1" s="1"/>
  <c r="O1115" i="1" l="1"/>
  <c r="Q1112" i="1" s="1"/>
  <c r="O1090" i="1"/>
  <c r="K1676" i="1" l="1"/>
  <c r="K1655" i="1"/>
  <c r="K1617" i="1"/>
  <c r="I1604" i="1"/>
  <c r="I1607" i="1" s="1"/>
  <c r="G939" i="1" l="1"/>
  <c r="H939" i="1"/>
  <c r="H942" i="1" s="1"/>
  <c r="I939" i="1"/>
  <c r="I942" i="1" s="1"/>
  <c r="J939" i="1"/>
  <c r="J942" i="1" s="1"/>
  <c r="F939" i="1"/>
  <c r="K246" i="1"/>
  <c r="J216" i="1"/>
  <c r="K202" i="1"/>
  <c r="K205" i="1" s="1"/>
  <c r="J1809" i="1" l="1"/>
  <c r="J1812" i="1" s="1"/>
  <c r="F808" i="1" l="1"/>
  <c r="E778" i="1" l="1"/>
  <c r="E781" i="1" s="1"/>
  <c r="I652" i="1" l="1"/>
  <c r="I655" i="1" s="1"/>
  <c r="I638" i="1"/>
  <c r="I623" i="1"/>
  <c r="J604" i="1"/>
  <c r="J562" i="1"/>
  <c r="J565" i="1" s="1"/>
  <c r="J502" i="1"/>
  <c r="J505" i="1" s="1"/>
  <c r="N488" i="1" l="1"/>
  <c r="N472" i="1"/>
  <c r="O450" i="1"/>
  <c r="O453" i="1" s="1"/>
  <c r="O431" i="1"/>
  <c r="O434" i="1" s="1"/>
  <c r="O411" i="1"/>
  <c r="O414" i="1" s="1"/>
  <c r="J315" i="1" l="1"/>
  <c r="J318" i="1" s="1"/>
  <c r="J162" i="1" l="1"/>
  <c r="J165" i="1" s="1"/>
  <c r="F69" i="1" l="1"/>
  <c r="D20" i="1" l="1"/>
  <c r="D23" i="1" s="1"/>
  <c r="C23" i="1"/>
  <c r="H1754" i="1"/>
  <c r="H1757" i="1" s="1"/>
  <c r="G1754" i="1"/>
  <c r="G1757" i="1" s="1"/>
  <c r="I1531" i="1"/>
  <c r="I1534" i="1" s="1"/>
  <c r="I1005" i="1" l="1"/>
  <c r="I1008" i="1" s="1"/>
  <c r="E2141" i="1" l="1"/>
  <c r="E2144" i="1" s="1"/>
  <c r="O378" i="1"/>
  <c r="O381" i="1" s="1"/>
  <c r="D338" i="1"/>
  <c r="E338" i="1" s="1"/>
  <c r="G335" i="1"/>
  <c r="G338" i="1" s="1"/>
  <c r="H335" i="1" s="1"/>
  <c r="H338" i="1" s="1"/>
  <c r="I335" i="1" s="1"/>
  <c r="F335" i="1"/>
  <c r="F338" i="1" s="1"/>
  <c r="F1626" i="1"/>
  <c r="F1625" i="1" s="1"/>
  <c r="F1628" i="1" s="1"/>
  <c r="G1626" i="1" s="1"/>
  <c r="G1625" i="1" s="1"/>
  <c r="G1628" i="1" s="1"/>
  <c r="H1626" i="1" s="1"/>
  <c r="H1625" i="1" s="1"/>
  <c r="H1628" i="1" s="1"/>
  <c r="I1626" i="1" s="1"/>
  <c r="I1625" i="1" s="1"/>
  <c r="I1628" i="1" s="1"/>
  <c r="J1626" i="1" s="1"/>
  <c r="J1625" i="1" s="1"/>
  <c r="J1628" i="1" s="1"/>
  <c r="K1626" i="1" s="1"/>
  <c r="K1625" i="1" s="1"/>
  <c r="K1628" i="1" s="1"/>
  <c r="L1626" i="1" s="1"/>
  <c r="L1625" i="1" s="1"/>
  <c r="L1628" i="1" s="1"/>
  <c r="M1626" i="1" s="1"/>
  <c r="M1625" i="1" s="1"/>
  <c r="M1628" i="1" s="1"/>
  <c r="N1626" i="1" s="1"/>
  <c r="N1625" i="1" s="1"/>
  <c r="N1628" i="1" s="1"/>
  <c r="D1626" i="1"/>
  <c r="D1625" i="1" s="1"/>
  <c r="D1628" i="1" s="1"/>
  <c r="E1626" i="1" s="1"/>
  <c r="E1625" i="1" s="1"/>
  <c r="E1628" i="1" s="1"/>
  <c r="B1626" i="1"/>
  <c r="B1625" i="1" s="1"/>
  <c r="B1628" i="1" s="1"/>
  <c r="C1626" i="1" s="1"/>
  <c r="C1625" i="1" s="1"/>
  <c r="C1628" i="1" s="1"/>
  <c r="D257" i="1"/>
  <c r="F254" i="1" s="1"/>
  <c r="F257" i="1" s="1"/>
  <c r="I143" i="1"/>
  <c r="I146" i="1" s="1"/>
  <c r="K833" i="1"/>
  <c r="K836" i="1" s="1"/>
  <c r="C1949" i="1"/>
  <c r="C2158" i="1"/>
  <c r="F1919" i="1"/>
  <c r="G1897" i="1"/>
  <c r="G1896" i="1" s="1"/>
  <c r="G1899" i="1" s="1"/>
  <c r="H1809" i="1"/>
  <c r="H1812" i="1" s="1"/>
  <c r="G1812" i="1"/>
  <c r="I1809" i="1" s="1"/>
  <c r="I1812" i="1" s="1"/>
  <c r="C1786" i="1"/>
  <c r="B2372" i="1"/>
  <c r="C2369" i="1" s="1"/>
  <c r="C2372" i="1" s="1"/>
  <c r="D2369" i="1" s="1"/>
  <c r="D2372" i="1" s="1"/>
  <c r="E2369" i="1" s="1"/>
  <c r="E2372" i="1" s="1"/>
  <c r="F2369" i="1" s="1"/>
  <c r="F2372" i="1" s="1"/>
  <c r="G2369" i="1" s="1"/>
  <c r="G2372" i="1" s="1"/>
  <c r="H2343" i="1"/>
  <c r="H2346" i="1" s="1"/>
  <c r="J1655" i="1"/>
  <c r="J1617" i="1"/>
  <c r="H1604" i="1"/>
  <c r="H1607" i="1" s="1"/>
  <c r="H230" i="1"/>
  <c r="H233" i="1" s="1"/>
  <c r="I230" i="1"/>
  <c r="I233" i="1" s="1"/>
  <c r="J230" i="1"/>
  <c r="J233" i="1" s="1"/>
  <c r="D2199" i="1"/>
  <c r="D2202" i="1" s="1"/>
  <c r="C2202" i="1"/>
  <c r="D2185" i="1"/>
  <c r="D2188" i="1" s="1"/>
  <c r="C2188" i="1"/>
  <c r="C2144" i="1"/>
  <c r="D2124" i="1"/>
  <c r="D2127" i="1" s="1"/>
  <c r="C2123" i="1"/>
  <c r="E2124" i="1" s="1"/>
  <c r="E2127" i="1" s="1"/>
  <c r="H822" i="1"/>
  <c r="J819" i="1" s="1"/>
  <c r="J822" i="1" s="1"/>
  <c r="L819" i="1" s="1"/>
  <c r="L822" i="1" s="1"/>
  <c r="N819" i="1" s="1"/>
  <c r="I1455" i="1"/>
  <c r="I1433" i="1"/>
  <c r="I1436" i="1" s="1"/>
  <c r="J1433" i="1"/>
  <c r="J1436" i="1" s="1"/>
  <c r="J1416" i="1"/>
  <c r="J1419" i="1" s="1"/>
  <c r="K1416" i="1" s="1"/>
  <c r="K1419" i="1" s="1"/>
  <c r="H1419" i="1"/>
  <c r="I1416" i="1" s="1"/>
  <c r="I1419" i="1" s="1"/>
  <c r="I1404" i="1"/>
  <c r="I1407" i="1" s="1"/>
  <c r="J1404" i="1"/>
  <c r="J1407" i="1" s="1"/>
  <c r="I1395" i="1"/>
  <c r="I1384" i="1"/>
  <c r="K1381" i="1" s="1"/>
  <c r="K1384" i="1" s="1"/>
  <c r="I1371" i="1"/>
  <c r="I1374" i="1" s="1"/>
  <c r="G181" i="1"/>
  <c r="G184" i="1" s="1"/>
  <c r="H181" i="1"/>
  <c r="H184" i="1" s="1"/>
  <c r="G162" i="1"/>
  <c r="G165" i="1" s="1"/>
  <c r="I162" i="1"/>
  <c r="I165" i="1" s="1"/>
  <c r="G143" i="1"/>
  <c r="G146" i="1" s="1"/>
  <c r="G121" i="1"/>
  <c r="G124" i="1" s="1"/>
  <c r="F124" i="1"/>
  <c r="H2299" i="1"/>
  <c r="H1706" i="1"/>
  <c r="H2276" i="1"/>
  <c r="G2259" i="1"/>
  <c r="I2231" i="1"/>
  <c r="I2234" i="1" s="1"/>
  <c r="H2231" i="1"/>
  <c r="H2234" i="1" s="1"/>
  <c r="G2064" i="1"/>
  <c r="H2061" i="1" s="1"/>
  <c r="H2064" i="1" s="1"/>
  <c r="I2061" i="1" s="1"/>
  <c r="I2064" i="1" s="1"/>
  <c r="J2061" i="1" s="1"/>
  <c r="J2064" i="1" s="1"/>
  <c r="J2041" i="1"/>
  <c r="J2044" i="1" s="1"/>
  <c r="G2044" i="1"/>
  <c r="H2041" i="1" s="1"/>
  <c r="H2044" i="1" s="1"/>
  <c r="I2041" i="1" s="1"/>
  <c r="I2044" i="1" s="1"/>
  <c r="I2028" i="1"/>
  <c r="I1997" i="1"/>
  <c r="H1997" i="1"/>
  <c r="E1974" i="1"/>
  <c r="E1977" i="1" s="1"/>
  <c r="G1974" i="1" s="1"/>
  <c r="G1977" i="1" s="1"/>
  <c r="I1974" i="1" s="1"/>
  <c r="I1977" i="1" s="1"/>
  <c r="D778" i="1"/>
  <c r="D781" i="1" s="1"/>
  <c r="C781" i="1"/>
  <c r="D638" i="1"/>
  <c r="E638" i="1"/>
  <c r="F638" i="1"/>
  <c r="C638" i="1"/>
  <c r="I604" i="1"/>
  <c r="I583" i="1"/>
  <c r="I586" i="1" s="1"/>
  <c r="I563" i="1"/>
  <c r="H565" i="1"/>
  <c r="I562" i="1" s="1"/>
  <c r="I565" i="1" s="1"/>
  <c r="I541" i="1"/>
  <c r="I544" i="1" s="1"/>
  <c r="J243" i="1"/>
  <c r="J246" i="1" s="1"/>
  <c r="I243" i="1"/>
  <c r="I246" i="1" s="1"/>
  <c r="I213" i="1"/>
  <c r="I216" i="1" s="1"/>
  <c r="J205" i="1"/>
  <c r="I202" i="1"/>
  <c r="I205" i="1" s="1"/>
  <c r="E69" i="1"/>
  <c r="C1328" i="1"/>
  <c r="O1304" i="1"/>
  <c r="O1281" i="1"/>
  <c r="O1251" i="1"/>
  <c r="N1228" i="1"/>
  <c r="O1225" i="1" s="1"/>
  <c r="O1228" i="1" s="1"/>
  <c r="P1225" i="1" s="1"/>
  <c r="O1172" i="1"/>
  <c r="O1175" i="1" s="1"/>
  <c r="N1175" i="1"/>
  <c r="N1115" i="1"/>
  <c r="P1112" i="1" s="1"/>
  <c r="P1115" i="1" s="1"/>
  <c r="R1112" i="1" s="1"/>
  <c r="R1115" i="1" s="1"/>
  <c r="N1090" i="1"/>
  <c r="I929" i="1"/>
  <c r="J849" i="1"/>
  <c r="J852" i="1" s="1"/>
  <c r="I849" i="1"/>
  <c r="I852" i="1" s="1"/>
  <c r="B676" i="1"/>
  <c r="C673" i="1" s="1"/>
  <c r="C676" i="1" s="1"/>
  <c r="D673" i="1" s="1"/>
  <c r="D676" i="1" s="1"/>
  <c r="E673" i="1" s="1"/>
  <c r="E676" i="1" s="1"/>
  <c r="F673" i="1" s="1"/>
  <c r="F676" i="1" s="1"/>
  <c r="G673" i="1" s="1"/>
  <c r="G676" i="1" s="1"/>
  <c r="H673" i="1" s="1"/>
  <c r="H676" i="1" s="1"/>
  <c r="I673" i="1" s="1"/>
  <c r="I676" i="1" s="1"/>
  <c r="J673" i="1" s="1"/>
  <c r="H652" i="1"/>
  <c r="H655" i="1" s="1"/>
  <c r="G652" i="1"/>
  <c r="G655" i="1" s="1"/>
  <c r="F652" i="1"/>
  <c r="F655" i="1" s="1"/>
  <c r="E652" i="1"/>
  <c r="E655" i="1" s="1"/>
  <c r="D652" i="1"/>
  <c r="D655" i="1" s="1"/>
  <c r="C652" i="1"/>
  <c r="C655" i="1" s="1"/>
  <c r="B652" i="1"/>
  <c r="B655" i="1" s="1"/>
  <c r="N450" i="1"/>
  <c r="N453" i="1" s="1"/>
  <c r="N431" i="1"/>
  <c r="N434" i="1" s="1"/>
  <c r="N362" i="1"/>
  <c r="I315" i="1"/>
  <c r="I318" i="1" s="1"/>
  <c r="C1005" i="1"/>
  <c r="C1008" i="1" s="1"/>
  <c r="B1008" i="1"/>
  <c r="H1005" i="1"/>
  <c r="H1008" i="1" s="1"/>
  <c r="E1005" i="1"/>
  <c r="E1008" i="1" s="1"/>
  <c r="G1005" i="1" s="1"/>
  <c r="G1008" i="1" s="1"/>
  <c r="E808" i="1"/>
  <c r="D808" i="1"/>
  <c r="I961" i="1"/>
  <c r="I964" i="1" s="1"/>
  <c r="F1572" i="1"/>
  <c r="G1569" i="1" s="1"/>
  <c r="G1572" i="1" s="1"/>
  <c r="H1572" i="1" s="1"/>
  <c r="I1569" i="1" s="1"/>
  <c r="I1572" i="1" s="1"/>
  <c r="J1569" i="1" s="1"/>
  <c r="H1549" i="1"/>
  <c r="H1552" i="1" s="1"/>
  <c r="J1549" i="1" s="1"/>
  <c r="J1552" i="1" s="1"/>
  <c r="F1552" i="1"/>
  <c r="H1531" i="1"/>
  <c r="H1534" i="1" s="1"/>
  <c r="G2079" i="1"/>
  <c r="G2082" i="1" s="1"/>
  <c r="F2082" i="1"/>
  <c r="E2082" i="1"/>
  <c r="N1248" i="1"/>
  <c r="N1251" i="1" s="1"/>
  <c r="I502" i="1"/>
  <c r="I505" i="1" s="1"/>
  <c r="J900" i="1"/>
  <c r="J903" i="1" s="1"/>
  <c r="N378" i="1"/>
  <c r="N381" i="1" s="1"/>
  <c r="J1371" i="1"/>
  <c r="J1374" i="1" s="1"/>
  <c r="H162" i="1"/>
  <c r="H165" i="1" s="1"/>
  <c r="H143" i="1"/>
  <c r="H146" i="1" s="1"/>
  <c r="H121" i="1"/>
  <c r="H124" i="1" s="1"/>
  <c r="G1604" i="1"/>
  <c r="G1607" i="1" s="1"/>
  <c r="F1604" i="1"/>
  <c r="F1607" i="1" s="1"/>
  <c r="E1604" i="1"/>
  <c r="E1607" i="1" s="1"/>
  <c r="D1604" i="1"/>
  <c r="D1607" i="1" s="1"/>
  <c r="C1604" i="1"/>
  <c r="C1607" i="1" s="1"/>
  <c r="B1604" i="1"/>
  <c r="B1607" i="1" s="1"/>
  <c r="E1552" i="1"/>
  <c r="G1549" i="1" s="1"/>
  <c r="G1552" i="1" s="1"/>
  <c r="I1549" i="1" s="1"/>
  <c r="I1552" i="1" s="1"/>
  <c r="D1552" i="1"/>
  <c r="C1552" i="1"/>
  <c r="B1552" i="1"/>
  <c r="G1374" i="1"/>
  <c r="H1374" i="1"/>
  <c r="N1304" i="1"/>
  <c r="N1281" i="1"/>
  <c r="M1251" i="1"/>
  <c r="M1175" i="1"/>
  <c r="D544" i="1"/>
  <c r="C544" i="1"/>
  <c r="C257" i="1"/>
  <c r="E254" i="1" s="1"/>
  <c r="E257" i="1" s="1"/>
  <c r="C2356" i="1"/>
  <c r="C2359" i="1" s="1"/>
  <c r="D2356" i="1" s="1"/>
  <c r="D2359" i="1" s="1"/>
  <c r="E2359" i="1"/>
  <c r="F2356" i="1"/>
  <c r="F2359" i="1" s="1"/>
  <c r="G2356" i="1"/>
  <c r="G2359" i="1" s="1"/>
  <c r="B2356" i="1"/>
  <c r="B2359" i="1" s="1"/>
  <c r="G2343" i="1"/>
  <c r="G2346" i="1" s="1"/>
  <c r="F2343" i="1"/>
  <c r="F2346" i="1" s="1"/>
  <c r="E2343" i="1"/>
  <c r="E2346" i="1" s="1"/>
  <c r="D2343" i="1"/>
  <c r="D2346" i="1" s="1"/>
  <c r="C2343" i="1"/>
  <c r="C2346" i="1" s="1"/>
  <c r="B2343" i="1"/>
  <c r="B2346" i="1" s="1"/>
  <c r="B2326" i="1"/>
  <c r="C2323" i="1" s="1"/>
  <c r="C2326" i="1" s="1"/>
  <c r="D2323" i="1" s="1"/>
  <c r="D2326" i="1" s="1"/>
  <c r="E2323" i="1" s="1"/>
  <c r="E2326" i="1" s="1"/>
  <c r="F2323" i="1" s="1"/>
  <c r="F2326" i="1" s="1"/>
  <c r="G2323" i="1" s="1"/>
  <c r="G2326" i="1" s="1"/>
  <c r="H2323" i="1" s="1"/>
  <c r="H2326" i="1" s="1"/>
  <c r="I2323" i="1" s="1"/>
  <c r="I2326" i="1" s="1"/>
  <c r="J2323" i="1" s="1"/>
  <c r="J2326" i="1" s="1"/>
  <c r="G2299" i="1"/>
  <c r="E2259" i="1"/>
  <c r="F2259" i="1"/>
  <c r="G2234" i="1"/>
  <c r="H2025" i="1"/>
  <c r="H849" i="1"/>
  <c r="H852" i="1" s="1"/>
  <c r="F1897" i="1"/>
  <c r="F1896" i="1" s="1"/>
  <c r="F1899" i="1" s="1"/>
  <c r="G315" i="1"/>
  <c r="G318" i="1" s="1"/>
  <c r="F1754" i="1"/>
  <c r="F1757" i="1" s="1"/>
  <c r="G1531" i="1"/>
  <c r="G1534" i="1" s="1"/>
  <c r="F1531" i="1"/>
  <c r="F1534" i="1" s="1"/>
  <c r="H1467" i="1"/>
  <c r="G1467" i="1"/>
  <c r="H1455" i="1"/>
  <c r="H1433" i="1"/>
  <c r="H1436" i="1" s="1"/>
  <c r="H1395" i="1"/>
  <c r="H1384" i="1"/>
  <c r="J1381" i="1" s="1"/>
  <c r="J1384" i="1" s="1"/>
  <c r="G942" i="1"/>
  <c r="G964" i="1"/>
  <c r="C885" i="1"/>
  <c r="D882" i="1" s="1"/>
  <c r="D885" i="1" s="1"/>
  <c r="H929" i="1"/>
  <c r="I914" i="1"/>
  <c r="I917" i="1" s="1"/>
  <c r="H917" i="1"/>
  <c r="J868" i="1"/>
  <c r="J871" i="1" s="1"/>
  <c r="I868" i="1"/>
  <c r="I871" i="1" s="1"/>
  <c r="H836" i="1"/>
  <c r="J833" i="1"/>
  <c r="J836" i="1" s="1"/>
  <c r="F1994" i="1"/>
  <c r="F1997" i="1" s="1"/>
  <c r="G1994" i="1"/>
  <c r="G1997" i="1" s="1"/>
  <c r="E1994" i="1"/>
  <c r="E1997" i="1" s="1"/>
  <c r="D1994" i="1"/>
  <c r="D1997" i="1" s="1"/>
  <c r="C1994" i="1"/>
  <c r="C1997" i="1" s="1"/>
  <c r="N1199" i="1"/>
  <c r="N1202" i="1" s="1"/>
  <c r="O1199" i="1" s="1"/>
  <c r="O1202" i="1" s="1"/>
  <c r="P1199" i="1" s="1"/>
  <c r="P1202" i="1" s="1"/>
  <c r="F1703" i="1"/>
  <c r="F1706" i="1" s="1"/>
  <c r="G1703" i="1"/>
  <c r="G1706" i="1" s="1"/>
  <c r="E1703" i="1"/>
  <c r="E1706" i="1" s="1"/>
  <c r="D1703" i="1"/>
  <c r="D1706" i="1" s="1"/>
  <c r="C1703" i="1"/>
  <c r="C1706" i="1" s="1"/>
  <c r="H604" i="1"/>
  <c r="G565" i="1"/>
  <c r="G505" i="1"/>
  <c r="H502" i="1"/>
  <c r="H505" i="1" s="1"/>
  <c r="H635" i="1"/>
  <c r="H638" i="1" s="1"/>
  <c r="H623" i="1"/>
  <c r="H583" i="1"/>
  <c r="H586" i="1" s="1"/>
  <c r="H541" i="1"/>
  <c r="H544" i="1" s="1"/>
  <c r="L485" i="1"/>
  <c r="L488" i="1" s="1"/>
  <c r="L469" i="1"/>
  <c r="L472" i="1" s="1"/>
  <c r="L450" i="1"/>
  <c r="L453" i="1" s="1"/>
  <c r="M450" i="1"/>
  <c r="M453" i="1" s="1"/>
  <c r="M431" i="1"/>
  <c r="M434" i="1" s="1"/>
  <c r="L434" i="1"/>
  <c r="L414" i="1"/>
  <c r="N411" i="1" s="1"/>
  <c r="N414" i="1" s="1"/>
  <c r="L381" i="1"/>
  <c r="M359" i="1"/>
  <c r="M362" i="1" s="1"/>
  <c r="O359" i="1" s="1"/>
  <c r="O362" i="1" s="1"/>
  <c r="Q359" i="1" s="1"/>
  <c r="Q362" i="1" s="1"/>
  <c r="L362" i="1"/>
  <c r="H315" i="1"/>
  <c r="H318" i="1" s="1"/>
  <c r="H243" i="1"/>
  <c r="H246" i="1" s="1"/>
  <c r="H213" i="1"/>
  <c r="H216" i="1" s="1"/>
  <c r="H202" i="1"/>
  <c r="H205" i="1" s="1"/>
  <c r="D69" i="1"/>
  <c r="G2013" i="1"/>
  <c r="J1674" i="1"/>
  <c r="J1673" i="1" s="1"/>
  <c r="J1676" i="1" s="1"/>
  <c r="I1674" i="1"/>
  <c r="I1673" i="1" s="1"/>
  <c r="I1676" i="1" s="1"/>
  <c r="I1655" i="1"/>
  <c r="I1617" i="1"/>
  <c r="B1492" i="1"/>
  <c r="C1489" i="1" s="1"/>
  <c r="C1492" i="1" s="1"/>
  <c r="D1489" i="1" s="1"/>
  <c r="D1492" i="1" s="1"/>
  <c r="E1489" i="1" s="1"/>
  <c r="E1492" i="1" s="1"/>
  <c r="F1489" i="1" s="1"/>
  <c r="F1492" i="1" s="1"/>
  <c r="G1489" i="1" s="1"/>
  <c r="G1492" i="1" s="1"/>
  <c r="K1141" i="1"/>
  <c r="K1144" i="1" s="1"/>
  <c r="L1141" i="1" s="1"/>
  <c r="L1144" i="1" s="1"/>
  <c r="M1141" i="1" s="1"/>
  <c r="M1144" i="1" s="1"/>
  <c r="N1141" i="1" s="1"/>
  <c r="N1144" i="1" s="1"/>
  <c r="O1141" i="1" s="1"/>
  <c r="O1144" i="1" s="1"/>
  <c r="H1141" i="1"/>
  <c r="H1144" i="1" s="1"/>
  <c r="I1141" i="1" s="1"/>
  <c r="I1144" i="1" s="1"/>
  <c r="J1141" i="1" s="1"/>
  <c r="J1144" i="1" s="1"/>
  <c r="D1809" i="1"/>
  <c r="D1812" i="1" s="1"/>
  <c r="C1809" i="1"/>
  <c r="C1812" i="1" s="1"/>
  <c r="E1809" i="1" s="1"/>
  <c r="E1812" i="1" s="1"/>
  <c r="G202" i="1"/>
  <c r="G205" i="1" s="1"/>
  <c r="F983" i="1"/>
  <c r="F986" i="1" s="1"/>
  <c r="G983" i="1" s="1"/>
  <c r="G986" i="1" s="1"/>
  <c r="H983" i="1" s="1"/>
  <c r="H986" i="1" s="1"/>
  <c r="I983" i="1" s="1"/>
  <c r="I986" i="1" s="1"/>
  <c r="J983" i="1" s="1"/>
  <c r="J986" i="1" s="1"/>
  <c r="K983" i="1" s="1"/>
  <c r="K986" i="1" s="1"/>
  <c r="F964" i="1"/>
  <c r="E964" i="1"/>
  <c r="D964" i="1"/>
  <c r="C961" i="1"/>
  <c r="C964" i="1" s="1"/>
  <c r="B961" i="1"/>
  <c r="B964" i="1" s="1"/>
  <c r="F942" i="1"/>
  <c r="E939" i="1"/>
  <c r="D939" i="1"/>
  <c r="D942" i="1" s="1"/>
  <c r="C939" i="1"/>
  <c r="C942" i="1" s="1"/>
  <c r="B939" i="1"/>
  <c r="B942" i="1" s="1"/>
  <c r="B1674" i="1"/>
  <c r="B1673" i="1" s="1"/>
  <c r="B1653" i="1"/>
  <c r="B1652" i="1" s="1"/>
  <c r="B381" i="1"/>
  <c r="B216" i="1"/>
  <c r="B69" i="1"/>
  <c r="H1404" i="1"/>
  <c r="H1407" i="1" s="1"/>
  <c r="G635" i="1"/>
  <c r="G638" i="1" s="1"/>
  <c r="G620" i="1"/>
  <c r="G623" i="1" s="1"/>
  <c r="F623" i="1"/>
  <c r="F604" i="1"/>
  <c r="G601" i="1"/>
  <c r="G604" i="1" s="1"/>
  <c r="F586" i="1"/>
  <c r="G583" i="1"/>
  <c r="G586" i="1" s="1"/>
  <c r="F544" i="1"/>
  <c r="G541" i="1"/>
  <c r="G544" i="1" s="1"/>
  <c r="G523" i="1"/>
  <c r="G526" i="1" s="1"/>
  <c r="I523" i="1" s="1"/>
  <c r="I526" i="1" s="1"/>
  <c r="F523" i="1"/>
  <c r="F526" i="1" s="1"/>
  <c r="H523" i="1" s="1"/>
  <c r="K488" i="1"/>
  <c r="M485" i="1"/>
  <c r="M488" i="1" s="1"/>
  <c r="K472" i="1"/>
  <c r="K453" i="1"/>
  <c r="K434" i="1"/>
  <c r="K411" i="1"/>
  <c r="K414" i="1" s="1"/>
  <c r="M411" i="1" s="1"/>
  <c r="M414" i="1" s="1"/>
  <c r="M378" i="1"/>
  <c r="M381" i="1" s="1"/>
  <c r="J381" i="1"/>
  <c r="C381" i="1"/>
  <c r="D381" i="1"/>
  <c r="E381" i="1"/>
  <c r="F381" i="1"/>
  <c r="G381" i="1"/>
  <c r="I378" i="1" s="1"/>
  <c r="I381" i="1" s="1"/>
  <c r="K378" i="1" s="1"/>
  <c r="K381" i="1" s="1"/>
  <c r="H381" i="1"/>
  <c r="G738" i="1"/>
  <c r="G741" i="1" s="1"/>
  <c r="H738" i="1"/>
  <c r="H741" i="1" s="1"/>
  <c r="F738" i="1"/>
  <c r="F741" i="1" s="1"/>
  <c r="E738" i="1"/>
  <c r="E741" i="1" s="1"/>
  <c r="D738" i="1"/>
  <c r="D741" i="1" s="1"/>
  <c r="C738" i="1"/>
  <c r="C741" i="1" s="1"/>
  <c r="G730" i="1"/>
  <c r="F1974" i="1"/>
  <c r="F1977" i="1" s="1"/>
  <c r="H1974" i="1" s="1"/>
  <c r="H1977" i="1" s="1"/>
  <c r="D1977" i="1"/>
  <c r="G243" i="1"/>
  <c r="G246" i="1" s="1"/>
  <c r="C243" i="1"/>
  <c r="C246" i="1" s="1"/>
  <c r="D243" i="1"/>
  <c r="D246" i="1" s="1"/>
  <c r="E243" i="1"/>
  <c r="E246" i="1" s="1"/>
  <c r="B243" i="1"/>
  <c r="B246" i="1" s="1"/>
  <c r="F243" i="1"/>
  <c r="F246" i="1" s="1"/>
  <c r="C233" i="1"/>
  <c r="D233" i="1"/>
  <c r="B233" i="1"/>
  <c r="G230" i="1"/>
  <c r="G233" i="1" s="1"/>
  <c r="F230" i="1"/>
  <c r="F233" i="1" s="1"/>
  <c r="E230" i="1"/>
  <c r="E233" i="1" s="1"/>
  <c r="G216" i="1"/>
  <c r="F216" i="1"/>
  <c r="E216" i="1"/>
  <c r="D216" i="1"/>
  <c r="C216" i="1"/>
  <c r="D1919" i="1"/>
  <c r="E1917" i="1"/>
  <c r="E1916" i="1" s="1"/>
  <c r="E1919" i="1" s="1"/>
  <c r="E1897" i="1"/>
  <c r="E1896" i="1" s="1"/>
  <c r="E1899" i="1" s="1"/>
  <c r="H1674" i="1"/>
  <c r="H1617" i="1"/>
  <c r="F2299" i="1"/>
  <c r="E2299" i="1"/>
  <c r="D2299" i="1"/>
  <c r="C2299" i="1"/>
  <c r="D2259" i="1"/>
  <c r="F2234" i="1"/>
  <c r="E2234" i="1"/>
  <c r="C69" i="1"/>
  <c r="G1455" i="1"/>
  <c r="G1436" i="1"/>
  <c r="G1407" i="1"/>
  <c r="F1407" i="1"/>
  <c r="G1395" i="1"/>
  <c r="G1384" i="1"/>
  <c r="G929" i="1"/>
  <c r="F929" i="1"/>
  <c r="E929" i="1"/>
  <c r="D917" i="1"/>
  <c r="G917" i="1"/>
  <c r="E917" i="1"/>
  <c r="H900" i="1"/>
  <c r="H903" i="1" s="1"/>
  <c r="G903" i="1"/>
  <c r="I900" i="1" s="1"/>
  <c r="I903" i="1" s="1"/>
  <c r="G836" i="1"/>
  <c r="I833" i="1"/>
  <c r="I836" i="1" s="1"/>
  <c r="G822" i="1"/>
  <c r="I819" i="1" s="1"/>
  <c r="I822" i="1" s="1"/>
  <c r="K819" i="1" s="1"/>
  <c r="K822" i="1" s="1"/>
  <c r="M819" i="1" s="1"/>
  <c r="M822" i="1" s="1"/>
  <c r="D1757" i="1"/>
  <c r="E1754" i="1"/>
  <c r="E1757" i="1" s="1"/>
  <c r="G2028" i="1"/>
  <c r="G2026" i="1"/>
  <c r="F2028" i="1"/>
  <c r="F2026" i="1"/>
  <c r="F2013" i="1"/>
  <c r="F181" i="1"/>
  <c r="F184" i="1" s="1"/>
  <c r="E181" i="1"/>
  <c r="E184" i="1" s="1"/>
  <c r="D184" i="1"/>
  <c r="C184" i="1"/>
  <c r="F162" i="1"/>
  <c r="F165" i="1" s="1"/>
  <c r="E162" i="1"/>
  <c r="E165" i="1" s="1"/>
  <c r="D165" i="1"/>
  <c r="C165" i="1"/>
  <c r="D146" i="1"/>
  <c r="F143" i="1" s="1"/>
  <c r="F146" i="1" s="1"/>
  <c r="E146" i="1"/>
  <c r="C146" i="1"/>
  <c r="D124" i="1"/>
  <c r="C124" i="1"/>
  <c r="E121" i="1" s="1"/>
  <c r="E124" i="1" s="1"/>
  <c r="G1617" i="1"/>
  <c r="F1617" i="1"/>
  <c r="E1617" i="1"/>
  <c r="D1617" i="1"/>
  <c r="F730" i="1"/>
  <c r="H727" i="1" s="1"/>
  <c r="H730" i="1" s="1"/>
  <c r="E730" i="1"/>
  <c r="D730" i="1"/>
  <c r="D1674" i="1"/>
  <c r="D1673" i="1" s="1"/>
  <c r="D1676" i="1" s="1"/>
  <c r="E1674" i="1" s="1"/>
  <c r="E1673" i="1" s="1"/>
  <c r="E1676" i="1" s="1"/>
  <c r="H1673" i="1"/>
  <c r="H1676" i="1" s="1"/>
  <c r="F1673" i="1"/>
  <c r="F1676" i="1" s="1"/>
  <c r="D1655" i="1"/>
  <c r="C1653" i="1"/>
  <c r="C1652" i="1" s="1"/>
  <c r="D601" i="1"/>
  <c r="C1615" i="1"/>
  <c r="C1614" i="1" s="1"/>
  <c r="C1617" i="1" s="1"/>
  <c r="B1615" i="1"/>
  <c r="B1614" i="1" s="1"/>
  <c r="B1617" i="1" s="1"/>
  <c r="C2013" i="1"/>
  <c r="D2013" i="1"/>
  <c r="E2013" i="1"/>
  <c r="J676" i="1" l="1"/>
  <c r="K673" i="1" s="1"/>
  <c r="K676" i="1" s="1"/>
  <c r="I338" i="1"/>
  <c r="J335" i="1" s="1"/>
  <c r="J338" i="1" s="1"/>
  <c r="K335" i="1" s="1"/>
  <c r="K338" i="1" s="1"/>
  <c r="L335" i="1" s="1"/>
  <c r="L338" i="1" s="1"/>
  <c r="M335" i="1" s="1"/>
  <c r="M338" i="1" s="1"/>
  <c r="N335" i="1" s="1"/>
  <c r="P359" i="1"/>
  <c r="P362" i="1" s="1"/>
  <c r="M469" i="1"/>
  <c r="M472" i="1" s="1"/>
  <c r="P1141" i="1"/>
  <c r="P1144" i="1" s="1"/>
  <c r="Q1141" i="1" s="1"/>
  <c r="Q1144" i="1" s="1"/>
  <c r="R1141" i="1" s="1"/>
  <c r="R1144" i="1" s="1"/>
  <c r="H2369" i="1"/>
  <c r="H2372" i="1" s="1"/>
  <c r="I2369" i="1" s="1"/>
  <c r="I2372" i="1" s="1"/>
  <c r="J2369" i="1" s="1"/>
  <c r="J2372" i="1" s="1"/>
  <c r="K2369" i="1" s="1"/>
  <c r="K2372" i="1" s="1"/>
  <c r="L2369" i="1" s="1"/>
  <c r="H1489" i="1"/>
  <c r="H1492" i="1" s="1"/>
  <c r="I1489" i="1" s="1"/>
  <c r="I1492" i="1" s="1"/>
  <c r="J1489" i="1" s="1"/>
  <c r="J1492" i="1" s="1"/>
  <c r="O1626" i="1"/>
  <c r="O1625" i="1" s="1"/>
  <c r="O1628" i="1" s="1"/>
  <c r="P1626" i="1" s="1"/>
  <c r="C2124" i="1"/>
  <c r="C2127" i="1" s="1"/>
  <c r="C1655" i="1"/>
  <c r="E1653" i="1" s="1"/>
  <c r="E1652" i="1" s="1"/>
  <c r="E1655" i="1" s="1"/>
  <c r="F1653" i="1" s="1"/>
  <c r="F1652" i="1" s="1"/>
  <c r="F1655" i="1" s="1"/>
  <c r="G1653" i="1" s="1"/>
  <c r="G1652" i="1" s="1"/>
  <c r="G1655" i="1" s="1"/>
  <c r="B1655" i="1"/>
  <c r="D1653" i="1" s="1"/>
  <c r="D1005" i="1"/>
  <c r="D1008" i="1" s="1"/>
  <c r="F1005" i="1" s="1"/>
  <c r="F1008" i="1" s="1"/>
  <c r="K1489" i="1" l="1"/>
  <c r="K1492" i="1" s="1"/>
  <c r="L1489" i="1" s="1"/>
  <c r="H1653" i="1"/>
  <c r="H1652" i="1" s="1"/>
  <c r="H1655" i="1" s="1"/>
  <c r="P1625" i="1"/>
  <c r="P1628" i="1" s="1"/>
</calcChain>
</file>

<file path=xl/sharedStrings.xml><?xml version="1.0" encoding="utf-8"?>
<sst xmlns="http://schemas.openxmlformats.org/spreadsheetml/2006/main" count="3297" uniqueCount="1378">
  <si>
    <t>MAROC</t>
  </si>
  <si>
    <t>Stock :</t>
  </si>
  <si>
    <t>Unités: t</t>
  </si>
  <si>
    <t>Année</t>
  </si>
  <si>
    <t>Limite</t>
  </si>
  <si>
    <t>Limite ajustée (A)</t>
  </si>
  <si>
    <t>Formule *</t>
  </si>
  <si>
    <t>Prise (B)</t>
  </si>
  <si>
    <t>Solde (A-B)</t>
  </si>
  <si>
    <t>Année d'ajustement**</t>
  </si>
  <si>
    <t>Décrire la raison utilisée dans l'application de la sur/sous-consommation</t>
  </si>
  <si>
    <t>Pavillon :</t>
  </si>
  <si>
    <t>Flag:</t>
  </si>
  <si>
    <t>SYRIA</t>
  </si>
  <si>
    <t>Stock:</t>
  </si>
  <si>
    <t>Units: t</t>
  </si>
  <si>
    <t>Year</t>
  </si>
  <si>
    <t>Limit</t>
  </si>
  <si>
    <t>Adjusted limit (A)</t>
  </si>
  <si>
    <t>Formula *</t>
  </si>
  <si>
    <t>Catch (B)</t>
  </si>
  <si>
    <t>Balance (A-B)</t>
  </si>
  <si>
    <t>Adjustment year**</t>
  </si>
  <si>
    <t>Describe the rationale used in the application of overage / underage:</t>
  </si>
  <si>
    <t>Pabellón:</t>
  </si>
  <si>
    <t>MEXICO</t>
  </si>
  <si>
    <t>Unidades: t</t>
  </si>
  <si>
    <t>Año</t>
  </si>
  <si>
    <t>Límite</t>
  </si>
  <si>
    <t>Límite ajustado (A)</t>
  </si>
  <si>
    <t>Fórmula *</t>
  </si>
  <si>
    <t>Captura (B)</t>
  </si>
  <si>
    <t>Saldo (A-B)</t>
  </si>
  <si>
    <t>Año de ajuste**</t>
  </si>
  <si>
    <t>Describir la lógica utilizada en la aplicación de los excesos/remanentes:</t>
  </si>
  <si>
    <t>2010=95t+47.5t-(86.5t to Canada for 2011) por Rec. 08-04</t>
  </si>
  <si>
    <t xml:space="preserve">Desembarque </t>
  </si>
  <si>
    <t>Saldo</t>
  </si>
  <si>
    <t>TUNISIE</t>
  </si>
  <si>
    <t>EUROPEAN UNION</t>
  </si>
  <si>
    <t>Limit+Balance 2012-20</t>
  </si>
  <si>
    <t>Limit*1.25</t>
  </si>
  <si>
    <t>Limit+2014 balance</t>
  </si>
  <si>
    <t>Limit 2017 + 25%  2015 limit</t>
  </si>
  <si>
    <t>Limit 2018 +  2016 balance</t>
  </si>
  <si>
    <t>Limit 2019 +   2017 balance</t>
  </si>
  <si>
    <t>Limit 2020 +   2018 balance</t>
  </si>
  <si>
    <t>NA</t>
  </si>
  <si>
    <t>1470+249</t>
  </si>
  <si>
    <t>Limit 2016 + 25%  2014 limit</t>
  </si>
  <si>
    <t>Limit 2018 + 25%  2016 limit</t>
  </si>
  <si>
    <t>Limit 2019 + 25%  2017 limit</t>
  </si>
  <si>
    <t>Limit 2020 + 25%  2018 limit</t>
  </si>
  <si>
    <t>(Limit*1.25)-470-40</t>
  </si>
  <si>
    <t>(Limit*1.25)-450-50</t>
  </si>
  <si>
    <t>(Limit*1.15)-40-295</t>
  </si>
  <si>
    <t>(2017 limit + 0,15*2015 limit)-300</t>
  </si>
  <si>
    <t>(2018 limit + 0,15*2016 limit)-40-300</t>
  </si>
  <si>
    <t>(2019 limit + 0,15*2017 limit)-40-300</t>
  </si>
  <si>
    <t>Limit +2012 balance</t>
  </si>
  <si>
    <t>Limit + 2013 balance</t>
  </si>
  <si>
    <t>Limit + 2014 balance</t>
  </si>
  <si>
    <t>Limit 2017 +  2015 balance</t>
  </si>
  <si>
    <t xml:space="preserve">Limit 2018 + 2016 balance </t>
  </si>
  <si>
    <t xml:space="preserve">Limit 2019 + 2017 balance </t>
  </si>
  <si>
    <t xml:space="preserve">Limit 2020 +  2018 balance </t>
  </si>
  <si>
    <t>BET</t>
  </si>
  <si>
    <t>Limit*1.3</t>
  </si>
  <si>
    <t>Limit 2016+Limit 2014*0.3</t>
  </si>
  <si>
    <t>Limit 2017+Limit 2015*0.15</t>
  </si>
  <si>
    <t>Limit 2018+Limit 2016*0.15</t>
  </si>
  <si>
    <t>Limit 2019 + 2017 balance</t>
  </si>
  <si>
    <t> 2020</t>
  </si>
  <si>
    <t> 2021</t>
  </si>
  <si>
    <t>BUM</t>
  </si>
  <si>
    <t>2016 Limit + Balance 2014</t>
  </si>
  <si>
    <t>2017 limit + 0.5*Balance 2015</t>
  </si>
  <si>
    <t>2018 limit + 0.5*Balance 2015 + 0,1*2016 limit</t>
  </si>
  <si>
    <t>2019 Limit + 0.1*2017 limit</t>
  </si>
  <si>
    <t>WHM</t>
  </si>
  <si>
    <t>2016 limit +0.5*Balance 2014</t>
  </si>
  <si>
    <t>2017 limit +0.5*Balance 2014</t>
  </si>
  <si>
    <t>2018 limit +0.33*Balance 2015</t>
  </si>
  <si>
    <t>2019 limit +0.33 Balance 2015</t>
  </si>
  <si>
    <t>2020 limit + 0,33*Balance 2015 +0.10*limit 2018</t>
  </si>
  <si>
    <t>CHINESE TAIPEI</t>
  </si>
  <si>
    <t>=3271.7*(1+25%)-100-200</t>
    <phoneticPr fontId="2" type="noConversion"/>
  </si>
  <si>
    <t>=3926+655.62-100-200</t>
    <phoneticPr fontId="2" type="noConversion"/>
  </si>
  <si>
    <t>Regarding Rec.17-04 amends para.4 of Rec.16-06, Chinese Taipei is allocated 3926 t as its 2019 initial catch quota.</t>
    <phoneticPr fontId="2" type="noConversion"/>
  </si>
  <si>
    <t>=9400+2106.75</t>
    <phoneticPr fontId="2" type="noConversion"/>
  </si>
  <si>
    <t>=9400+2350</t>
    <phoneticPr fontId="2" type="noConversion"/>
  </si>
  <si>
    <t>2019 adjusted quota is 11750.00 t (=9400+2350), which was approved by the Commission at the 21st Special Meeting.</t>
    <phoneticPr fontId="2" type="noConversion"/>
  </si>
  <si>
    <t>=270*(1+50%)-35</t>
    <phoneticPr fontId="2" type="noConversion"/>
  </si>
  <si>
    <t>=270*(1+40%)-35</t>
    <phoneticPr fontId="2" type="noConversion"/>
  </si>
  <si>
    <t>Regarding Rec.17-02 replacing Rec.16-03, Chinese Taipei may carryover to the maximum of 40% of its 2017 underage in 2019.</t>
    <phoneticPr fontId="2" type="noConversion"/>
  </si>
  <si>
    <t>=459+128.9</t>
    <phoneticPr fontId="2" type="noConversion"/>
  </si>
  <si>
    <t>=459+76.9</t>
    <phoneticPr fontId="2" type="noConversion"/>
  </si>
  <si>
    <t>=459+57.9</t>
    <phoneticPr fontId="2" type="noConversion"/>
  </si>
  <si>
    <t>Regarding Rec.17-03 replaceing Rec.16-04, Chinese Taipei may carryover to the maximum of 20% of its 2018 underage in 2019.</t>
    <phoneticPr fontId="2" type="noConversion"/>
  </si>
  <si>
    <t>=48.76-10</t>
    <phoneticPr fontId="2" type="noConversion"/>
  </si>
  <si>
    <t>=58.28-10</t>
    <phoneticPr fontId="2" type="noConversion"/>
  </si>
  <si>
    <t>=69.97-10</t>
    <phoneticPr fontId="2" type="noConversion"/>
  </si>
  <si>
    <t>=79-50</t>
    <phoneticPr fontId="2" type="noConversion"/>
  </si>
  <si>
    <t>=84-50</t>
    <phoneticPr fontId="2" type="noConversion"/>
  </si>
  <si>
    <t>2019 adjusted quota is 34 t (=84-50) due to a transfer of 50 t to Korea.</t>
    <phoneticPr fontId="2" type="noConversion"/>
  </si>
  <si>
    <t>=15583*(1+30%)-70</t>
    <phoneticPr fontId="2" type="noConversion"/>
  </si>
  <si>
    <t>=11679+(15583*30%)</t>
    <phoneticPr fontId="2" type="noConversion"/>
  </si>
  <si>
    <t>=11679+(15583*15%)</t>
    <phoneticPr fontId="2" type="noConversion"/>
  </si>
  <si>
    <t>=11679*(1+15%)+223</t>
    <phoneticPr fontId="2" type="noConversion"/>
  </si>
  <si>
    <t>2019 adjusted quota is 13653.85 t (=11679+11679*15%+223) due to the underage of 2017 exceeding 15% of 2019 initial catch limit and a transfer of 223 t from Korea.</t>
    <phoneticPr fontId="2" type="noConversion"/>
  </si>
  <si>
    <t>=150*(1+10%)</t>
    <phoneticPr fontId="2" type="noConversion"/>
  </si>
  <si>
    <t>2019 adjusted quota is 165t (=150+150*10%) due to the underage of 2017 exceeding 15% of 2019 initial catch limit.</t>
    <phoneticPr fontId="2" type="noConversion"/>
  </si>
  <si>
    <t>=50*(1+10%)</t>
    <phoneticPr fontId="2" type="noConversion"/>
  </si>
  <si>
    <t>2019 adjusted quota is 55t (=50+50*10%) due to the underage of 2017 exceeding 10% of 2019 initial catch limit.</t>
    <phoneticPr fontId="2" type="noConversion"/>
  </si>
  <si>
    <t>USA</t>
  </si>
  <si>
    <t>* Adjusted limit = initial limit + available balance (not to exceed 25% of initial quota)</t>
  </si>
  <si>
    <t>Adjusted limit for 2016 = 527 +131.75 = 658.75 t</t>
  </si>
  <si>
    <t>Adjusted limit for 2017 = 527 +131.75 = 658.75 t</t>
  </si>
  <si>
    <t>Adjusted limit for 2018 = 632.4 +131.75 = 764.15***</t>
  </si>
  <si>
    <t>Adjusted limit for 2019 = 632.4 +158.1 = 790.5</t>
  </si>
  <si>
    <t>* Adjusted limit = (initial limit) - (any transfers) + (underharvest from previous year (capped at 15% of baseline))</t>
  </si>
  <si>
    <t>Adjusted limit for 2017 = 3907.0 - (25 t to Mauritania) + (0.15)(3907) = 4468.05 t</t>
  </si>
  <si>
    <t>Adjusted limit for 2018 = 3907.0 + (0.15)(3907) = 4493.05 t</t>
  </si>
  <si>
    <t>Adjusted limit for 2019 = 3907.0 + (0.15)(3907) = 4493.05 t</t>
  </si>
  <si>
    <t>* Adjusted limit = (initial limit) - (any transfers) + (underharvest from previous year (capped at 100 t WW))</t>
  </si>
  <si>
    <t>Adjusted limit for 2017 = 100.0 - (100 t (Namibia (50 t), Cote d'Ivoire (25 t), Belize (25 t)) + 99.94</t>
  </si>
  <si>
    <t>Adjusted limit for 2018 = 100.0 - (100 t (Namibia (50 t), Cote d'Ivoire (25 t), Belize (25 t)) + 99.94</t>
  </si>
  <si>
    <t>Adjusted limit for 2019 = 100.0 - (100 t (Namibia (50 t), Cote d'Ivoire (25 t), Belize (25 t)) + 99.94</t>
  </si>
  <si>
    <t>Adjusted limit for 2016 = 1083.79 + (.1)(1083.79) = 1192.17 t</t>
  </si>
  <si>
    <t>Adjusted limit for 2017 = 1083.79 + (.1)(1083.79) = 1192.17 t</t>
  </si>
  <si>
    <t>Adjusted limit for 2018 = 1272.86 + (.1)(1083.79) = 1381.24 t***</t>
  </si>
  <si>
    <t>Adjusted limit for 2019 = 1272.86 + (.1)(1272.86) = 1400.15 t</t>
  </si>
  <si>
    <t>(200/4)+200</t>
  </si>
  <si>
    <t>(200-184.4)+200</t>
  </si>
  <si>
    <t>(200*0.25)+200</t>
  </si>
  <si>
    <t xml:space="preserve">Underage up to 25% of the initial catch quota has been carried over biennially. </t>
  </si>
  <si>
    <t>-</t>
  </si>
  <si>
    <t>(150*0.25)+140</t>
  </si>
  <si>
    <t>(140*0.25)+140</t>
  </si>
  <si>
    <t>50-4.4</t>
  </si>
  <si>
    <t>50+15.34</t>
  </si>
  <si>
    <t>50+(50*0.5)</t>
  </si>
  <si>
    <t>50+10.7</t>
  </si>
  <si>
    <t>50-2.63</t>
  </si>
  <si>
    <t>50+(50*0.3)</t>
  </si>
  <si>
    <t>(1983*0.3)+1983-20</t>
  </si>
  <si>
    <t>(1983*0.3)+1486</t>
  </si>
  <si>
    <t>(1486*0.15)+1486</t>
  </si>
  <si>
    <t xml:space="preserve">20 tons of Bigeye catch quota had been annually transferred to Ghana until 2015.  </t>
  </si>
  <si>
    <t>(35*0.2)+35</t>
  </si>
  <si>
    <t>Underage up to 20% of the initial catch quota has been carried over to following year.</t>
  </si>
  <si>
    <t>(20*0.2)+20</t>
  </si>
  <si>
    <t>Units : t</t>
  </si>
  <si>
    <t>CHINA</t>
  </si>
  <si>
    <t>Describe the rationale used in the application of over-underharvest:</t>
  </si>
  <si>
    <t>Adjusted Lmit=initial limt +available balance(not to exceed 25% of initial quota)</t>
  </si>
  <si>
    <t>Adjusted limit for 2019=initial quota(200)+200*25%(not exceeding the balance of 2017)=220.05</t>
    <phoneticPr fontId="2" type="noConversion"/>
  </si>
  <si>
    <t>NOTE:pay back plan for the over-harvest of 2015: pay back 12t in 2017, pay back 12t in 2018, pay back 12.726t in 2019</t>
    <phoneticPr fontId="2" type="noConversion"/>
  </si>
  <si>
    <t>Adjusted Lmit=initial limt +available balance(not to exceed 30%of initial quota)</t>
    <phoneticPr fontId="2" type="noConversion"/>
  </si>
  <si>
    <t>Adjusted Lmit=initial limt +available balance(not to exceed 15% of initial quota)</t>
    <phoneticPr fontId="2" type="noConversion"/>
  </si>
  <si>
    <t>Adjusted limite for 2019=initial quota(5376)+5376*15%+1000 ton transfer from japan=7182.4</t>
    <phoneticPr fontId="2" type="noConversion"/>
  </si>
  <si>
    <t>n.a.</t>
  </si>
  <si>
    <t>No adjustment for 2015</t>
  </si>
  <si>
    <t>Adjusted limit for 2019=initial quota(10)+10*20%=12</t>
  </si>
  <si>
    <t>Insuffisance d'activité lié au déploiement de l'armement</t>
  </si>
  <si>
    <t>BRAZIL</t>
  </si>
  <si>
    <t>BELIZE</t>
  </si>
  <si>
    <t>Limit + Underages + Transfer</t>
  </si>
  <si>
    <t xml:space="preserve">2016 = Initial allocation + transfers (from Senegal 125t, Japan 35t, Chinese Taipe 35t, and the EU 295t) + underage from 2014 (202.2t - max. carry forward) </t>
  </si>
  <si>
    <t xml:space="preserve">2017 = Initial allocation + transfers (from Senegal 150t, Japan 35t, Chinese Taipe 35t, and the EU 300t) + underage from 2015 (202.2t - max. carry forward) </t>
  </si>
  <si>
    <t>2018 = Initial allocation + transfers (from Senegal 150t, Japan 35t, Chinese Taipe 35t, and the EU 300t) + underage from 2016 (202.2t - max. carry forward)</t>
  </si>
  <si>
    <t>CANADA</t>
  </si>
  <si>
    <t>TRINIDAD&amp;TOBAGO</t>
  </si>
  <si>
    <t>JAPAN</t>
  </si>
  <si>
    <t xml:space="preserve">JAPAN-N-ALB:is to endeavour to limit North Albacore catches to no more than 4% of its total bigeye tuna catch. </t>
  </si>
  <si>
    <t>For reference</t>
  </si>
  <si>
    <t>% (N-ALB/BET)</t>
  </si>
  <si>
    <t>Year:</t>
  </si>
  <si>
    <t>Catch</t>
  </si>
  <si>
    <t>Describe the rationale used in the application of overage / underage</t>
  </si>
  <si>
    <t xml:space="preserve">JAPAN-S-ALB up to 2013: is to endeavour to limit its total South Albacore catches to no more than 4% of its total bigeye tuna catch in South of 5 degrees North. </t>
  </si>
  <si>
    <t xml:space="preserve">JAPAN-S-ALB: 2014 adjusted limit included 50t transferred from Namibia, 220t transferred from Uruguay and 100t transferred from  Brazil
. </t>
  </si>
  <si>
    <t xml:space="preserve">JAPAN-S-ALB: 2015 adjusted limit included 100t transferred from Brazil amd 100t transferred from South Africa.
. </t>
  </si>
  <si>
    <t>JAPAN-S-ALB: 2016 adjusted limit included 25% of the original limit as carry-over from 2014 underage[Rec.13-06]</t>
  </si>
  <si>
    <t>JAPAN-S-ALB: 2017 adjusted limit included 100t transferred from Brazil amd 100t transferred from Uruguay.[Rec.16-07]</t>
  </si>
  <si>
    <t>JAPAN-S-ALB: 2018 adjusted limit included 100t transferred from Brazil amd 100t transferred from Uruguay.[Rec.16-07]</t>
  </si>
  <si>
    <t>JAPAN-N-SWO: adjusted limit in 2011 excluded 50 t transfered to Morocco. [Rec. 10-02].</t>
  </si>
  <si>
    <t>JAPAN-N-SWO: adjusted limit in 2012 and 2013 excluded 50 t transfered to Morocco, and 35 transferred to Canada. [Rec. 11-02].</t>
  </si>
  <si>
    <t>JAPAN-N-SWO: adjusted limit in 2014, 2015 and 2016 excluded 50 t transfered to Morocco, and 35 transferred to Canada, and 25 transferred to Mauritania. [Rec. 13-02].</t>
  </si>
  <si>
    <t>JAPAN-N-SWO: adjusted limit in 2017 excluded 100 t transfered to Morocco, and 35 transferred to Canada, and 25 transferred to Mauritania. [Rec. 16-03].</t>
  </si>
  <si>
    <t>JAPAN-N-SWO: underage may be added to the subsequent years' catch limits. [Rec. 13-02][Rec. 16-03].</t>
  </si>
  <si>
    <t>JAPAN-N-SWO:400 t of its swordfish catch taken from the South Atlantic management area was counted against its uncaught catch limits in 2015.[Rec.13-02]</t>
  </si>
  <si>
    <t>JAPAN-E-BFT: adjusted quota in 2015 included 45t transferred from Korea.[Rec.14-04]</t>
  </si>
  <si>
    <t>JAPAN-E-BFT: adjusted quota in 2016 excluded 25 t transfered to Korea.[Rec.14-04]</t>
  </si>
  <si>
    <t>JAPAN-E-BFT: adjusted quota in 2017 excluded 20 t transfered to Korea.[Rec.14-04]</t>
  </si>
  <si>
    <t>JAPAN-E-BFT: Current catch for 2017 includes 5.3 t of dead discard as reported in Task I data.</t>
  </si>
  <si>
    <t xml:space="preserve">JAPAN-BIGEYE: adjusted limit of Japan in 2011excludes 3000 t transferred to China and 800 t transferred to Korea [Rec. 10-01].  </t>
  </si>
  <si>
    <t xml:space="preserve">JAPAN-BIGEYE: adjusted limit of Japan in 2012,2013, and 2014 excluded 3000 t transferred to China and 70 t transferred to Ghana [Rec. 11-01].  </t>
  </si>
  <si>
    <t>JAPAN-BUM: the 2015 adjusted limit included 10% of the initial limit as carry-over from 2013 underage[Rec.12-04]</t>
  </si>
  <si>
    <t>JAPAN-BUM: the 2016 adjusted limit included 10% of the initial limit as carry-over from 2014 underage[Rec.15-05].</t>
  </si>
  <si>
    <t xml:space="preserve">Figures up to 2012 are for only White Marlin[Rec.6-9 &amp; 11-07] </t>
  </si>
  <si>
    <t>Figures from 2013 are for both White Marlin and Spearfish[Rec.12-04]</t>
  </si>
  <si>
    <t>BARBADOS</t>
  </si>
  <si>
    <t xml:space="preserve">Stock: </t>
  </si>
  <si>
    <t xml:space="preserve">Flag: </t>
  </si>
  <si>
    <t>SOUTH AFRICA</t>
  </si>
  <si>
    <t>*Belize is carrying forward its underages of 1.56t of its unused catch limit in 2017 to be used in 2019</t>
  </si>
  <si>
    <t xml:space="preserve">*Belize is carrying forward 25% of its initial catch limit (62.5t) from its balance of 93.47t in 2017 to be used in 2019 </t>
  </si>
  <si>
    <t>*Belize is carrying forward 40% of its initial catch limit (65t) from its balance of 197.92t in 2017 to be used in 2019.</t>
  </si>
  <si>
    <t>*Belize is carrying forward 20% of its initial catch limit (25t) from its balance of 108.99t in 2017 to be used in 2019.</t>
  </si>
  <si>
    <t>JAPAN-W-BFT:The underharvest may be added to next year to 10% of the initial quota allocation[Rec.13-09、14-05、17-06]</t>
  </si>
  <si>
    <t>Japan's 2019 adjusted limit = 17,696(Limit)+2,654.4(2018 carry over(17696*15%)(Para8 of Rec16-01)-1000(transfer to China(Para7 of Rec.16-01))-70(transfer to Ghana(Para7 of Rec.16-01))</t>
  </si>
  <si>
    <t>JAPAN-WHM・SPF: the 2015 adjusted limit included 20% of the initial limit as carry-over from 2013 underage[Rec.12-04]</t>
  </si>
  <si>
    <t>JAPAN-WHM・SPF: the 2016 adjusted limit included 20% of the initial limit as carry-over from 2014 underage[Rec.12-04][Rec.15-05]</t>
  </si>
  <si>
    <t>JAPAN-WHM・SPF: the 2017 adjusted limit included 20% of the initial limit as carry-over from 2015 underage[Rec.12-04][Rec.15-05]</t>
  </si>
  <si>
    <t>(1486*0.15)+1486-223</t>
  </si>
  <si>
    <t>(1486*0.15)+1486 - 223</t>
  </si>
  <si>
    <t>SENEGAL</t>
  </si>
  <si>
    <t xml:space="preserve">Déficit de collecte au niveau des sites de débarquement de la pêche artisanale. </t>
  </si>
  <si>
    <t>le calcul du quota ajusté 2019 prend en compte le solde  MAX de 2018 (Limite 2018 * 0.2 = 417*0.2=83.4) auquel est ajouté la limite 2019 (417 t) ce qui donne (83.4+417=500.4) t</t>
  </si>
  <si>
    <t>Japan's 2018 adjusted limit = BET 2018 catch * 4%(Para6 of Rec16-06)</t>
    <phoneticPr fontId="9"/>
  </si>
  <si>
    <t>JAPAN-S-ALB: adjusted limit from 2019 to 2020 included 100t transferred from Brazil amd 100t transferred from South Africa [Rec.16-07].</t>
    <phoneticPr fontId="5" type="noConversion"/>
  </si>
  <si>
    <t>JAPAN-S-ALB: Japan's underage in 2016 was carried over to the 2018 initial limit [Rec.16-07]</t>
    <phoneticPr fontId="9"/>
  </si>
  <si>
    <t>JAPAN-S-ALB: Japan's overage in 2017 was deducted from the 2019 initial limit [Rec.16-07]</t>
    <phoneticPr fontId="9"/>
  </si>
  <si>
    <t>JAPAN-S-ALB: Japan's underage in 2018 was carried over to the 2020 initial limit [Rec.16-07]</t>
    <phoneticPr fontId="9"/>
  </si>
  <si>
    <t>Japan's 2019 adjusted limit = 1355t(Limit)-418.7t(2017 overage(Para5 of Rec16-07))+100t(transfer from Brasil (Para3 of Rec.16-07))+100t(transfer from S.Africa(Para3 of Rec.16-07))+800t(transfer from S.Africa(circular#888/2019))</t>
    <phoneticPr fontId="9"/>
  </si>
  <si>
    <t>JAPAN-N-SWO: As Mauritania did not submit its North Atlantic Swordfish development plan in 2018, the transfers provided for in Rec.17-02 are considered null.</t>
    <phoneticPr fontId="5" type="noConversion"/>
  </si>
  <si>
    <t>JAPAN-N-SWO: adjusted limit from 2019 to 2020 excluded 100t transfered to Morocco, and 35t transferred to Canada , and 25t transferred to Mauritania [Rec. 17-02].</t>
    <phoneticPr fontId="5" type="noConversion"/>
  </si>
  <si>
    <t>Japan's 2019 adjusted limit = 901t(Limit)+340.2t(2017 carry over(Para1(3) of Rec17-03)-50t(transfer to Namibia(Para5 of Rec.17-03))</t>
    <phoneticPr fontId="9"/>
  </si>
  <si>
    <t>Japan's 2020 adjusted limit  = 901t(Limit)+600t(2018 carry over(Para1(3) of Rec17-03))-50t(transfer to Namibia(Para5 of Rec.17-03))</t>
    <phoneticPr fontId="9"/>
  </si>
  <si>
    <t>JAPAN-E-BFT: current catch for 2018 includes 7.42 t of dead discard.</t>
    <phoneticPr fontId="5" type="noConversion"/>
  </si>
  <si>
    <t>Japan's 2019 adjusted limit = 2544.00t(Limit)(Para5 of Rec18-02)</t>
    <phoneticPr fontId="9"/>
  </si>
  <si>
    <t>JAPAN-W-BFT: current catch for 2018 includes 1.10 t of dead discard.</t>
    <phoneticPr fontId="5" type="noConversion"/>
  </si>
  <si>
    <t>Japan's 2018 adjusted limit =15415.88(It was deducted by the "pay back" provision  in para 2(a) of Rec 16-01.)</t>
    <phoneticPr fontId="9"/>
  </si>
  <si>
    <t>JAPAN-BIGEYE: current catch for 2018 includes 26.09 t of dead discard.</t>
    <phoneticPr fontId="5" type="noConversion"/>
  </si>
  <si>
    <t>JAPAN-BIGEYE: the 2015 adjusted limit included 30% of the initial limit as carry-over from 2014 underage and excluded 3000 t  transferred to China and 70 t transferred to Ghana [Rec. 14-01].</t>
  </si>
  <si>
    <t>JAPAN-BIGEYE: the 2016 adjusted limit included 30% of the initial limit as carry-over from 2015 underage and excluded 1000 t transferred to China and 70 t transferred to Ghana. [Rec. 14-01][Rec.15-01]</t>
  </si>
  <si>
    <t>JAPAN-BIGEYE: the 2017 adjusted limit included 15% of the initial limit as carry-over from 2016 underage and excluded 1000 t  transferred to China and 70 t transferred to Ghana [Rec. 16-01]</t>
  </si>
  <si>
    <t>JAPAN-BIGEYE: the 2018 adjusted limit included 15% of the initial limit as carry-over from 2017 underage and excluded 1000 t  transferred to China and 70 t transferred to Ghana [Rec. 16-01]</t>
  </si>
  <si>
    <t>JAPAN-BUM: the 2017 adjusted limit included 10% of the initial limit as carry-over from 2015 underage[Rec.15-05].</t>
    <phoneticPr fontId="9"/>
  </si>
  <si>
    <t>Japan's 2018 adjusted limit = 390t(Limt)+16.6t(2016 carry over(Para3 of Rec15-05))</t>
    <phoneticPr fontId="9"/>
  </si>
  <si>
    <t>Japan's 2018 adjusted limit =35t(Limt)+7t(2016 carry over(35*20%)(Para3 of Rec15-05))</t>
    <phoneticPr fontId="9"/>
  </si>
  <si>
    <t>2017*</t>
  </si>
  <si>
    <t>2018**</t>
  </si>
  <si>
    <t>2019**</t>
  </si>
  <si>
    <t>50+(50*0.4)</t>
  </si>
  <si>
    <t>CÔTE D'IVOIRE</t>
  </si>
  <si>
    <t>200+(200*0.5)</t>
  </si>
  <si>
    <t>200+(200*0.4)</t>
  </si>
  <si>
    <t>GHANA</t>
  </si>
  <si>
    <t>*transfer of 200t from Chinese Taipei to Belize in 2019 and 2020.</t>
  </si>
  <si>
    <t>Les prises accessoires n'ont pas encore été arretées ,</t>
  </si>
  <si>
    <t>*Belize is carrying forward its underages of 1.98t of its unused catch limit in 2018 to be used in 2020.</t>
  </si>
  <si>
    <t>*transfer of 75t from Trinidad &amp; Tobago to Belize in 2019 and 2020.</t>
  </si>
  <si>
    <t>*Belize is carrying forward 40% of its initial catch limit (52t) from its balance of 111.68t in 2018 to be used in 2020.</t>
  </si>
  <si>
    <t>*Belize is carrying forward 20% of its initial catch limit (25t) from its balance of 172.28t in 2018 to be used in 2020.</t>
  </si>
  <si>
    <t>*transfer of 25t from the United States of America to Belize in 2019 and 2020.</t>
  </si>
  <si>
    <t>*transfer of 50t from Brazil to Belize in 2019 and 2020.</t>
  </si>
  <si>
    <t>*transfer of 50t from Uruguay to Belize in 2019 and 2020.</t>
  </si>
  <si>
    <t>EL SALVADOR</t>
  </si>
  <si>
    <t>2019: The 2018 underage is greater than the maximum amount that can be carried over to 2019 (&lt;= 40% of original catch limit); hence the amount carried over is 50 t (0.4*125).
Additionally, 75 t were transferred to Belize; hence 75 is subtracted from the sum of the initial catch limit and the allowed carry over, to arrive at the final adjusted limit of 100 t.</t>
  </si>
  <si>
    <t>NORWAY</t>
  </si>
  <si>
    <t>MIN((A-B), 5% * A)</t>
  </si>
  <si>
    <t>Limit 2021 + 25%  2019 limit</t>
  </si>
  <si>
    <t xml:space="preserve">Limit 2021 +  2019 balance </t>
  </si>
  <si>
    <t>Limit 2020 + 2018 balance + 300¹ t</t>
  </si>
  <si>
    <t>Limit 2021 + 2019 balance</t>
  </si>
  <si>
    <t>2020 Limit + 0.1*2018 limit - 2t</t>
  </si>
  <si>
    <t>2021 Limit + 0.1*2019 limit -2t</t>
  </si>
  <si>
    <t>2021 limit + 0.10*limit 2019</t>
  </si>
  <si>
    <t>JAPAN-N-ALB:Japan's 2019 adjusted limit = BET 2019 catch * 4% (Para6 of Rec16-06)</t>
  </si>
  <si>
    <t>JAPAN-S-ALB: Japan's underage in 2019 was carried over to the 2021 initial limit [Rec.16-07]</t>
  </si>
  <si>
    <t>JAPAN-E-BFT: current catch for 2019 includes  9.25t of dead discard.</t>
  </si>
  <si>
    <t>JAPAN-E-BFT:Japan's 2020 adjusted limit = 2819.00t(Limit)(Para5 of Rec19-04)+20.27t(2019 carry over (Para7 of Rec 19-04))</t>
  </si>
  <si>
    <t>JAPAN-W-BFT:Japan's 2019 adjusted limit = 407.48t(Limit)+1.73t(2018 carry over(Para7a of Rec17-06 )</t>
  </si>
  <si>
    <t>JAPAN-W-BFT: current catch for 2019 includes 0.21 t of dead discard.</t>
  </si>
  <si>
    <t>JAPAN-W-BFT:Japan's 2020 adjusted limit = 407.48t(Limit)+2.92t(2019 carry over(Para7a of Rec17-06 )</t>
  </si>
  <si>
    <t>JAPAN-BIGEYE: current catch for 2019 includes  14.10t of dead discard.</t>
  </si>
  <si>
    <t>JAPAN-BIGEYE: Adjusted catch limit for 2017 does not take into account of the “pay back” stipulated in para 2(a) of Rec 16-01.</t>
  </si>
  <si>
    <t>JAPAN-BUM:Japan's 2019 adjusted limit = 390t(Limit)+39t(2017 carry over(390*10%)(Para3 of Rec15-05))</t>
  </si>
  <si>
    <t>JAPAN-BUM:Japan's 2020 adjusted limit = 328.1t(Limit)+39t(2018 carry over(390*10%)(Para3 of Rec18-04))</t>
  </si>
  <si>
    <t>JAPAN-BUM:Japan's 2021 adjusted limit = 328.1t(Limit)+39t(2019 carry over(390*10%)(Para3 of Rec18-04))</t>
  </si>
  <si>
    <t>JAPAN-WHM・SPF:Japan's 2019 adjusted limit =35t(Limit)+7t(2017 carry over(35*20%)(Para3 of Rec15-05))</t>
  </si>
  <si>
    <t>JAPAN-WHM・SPF:Japan's 2020 adjusted limit =35t(Limit)+7t(2018 carry over(35*20%)(Para3 of Rec18-04))</t>
  </si>
  <si>
    <t>JAPAN-WHM・SPF:Japan's 2021 adjusted limit =35t(Limit)+7t(2019 carry over(35*20%)(Para3 of Rec18-04))</t>
  </si>
  <si>
    <t>8.36+140</t>
  </si>
  <si>
    <t>2020**</t>
  </si>
  <si>
    <t>50+(50*0.2)</t>
  </si>
  <si>
    <t>Until 2016, underage up to 30% of the initial catch quota was carried over to the following year.</t>
  </si>
  <si>
    <t>Since 2017, underage up to 15% of the initial catch quota was carried over to the following year.</t>
  </si>
  <si>
    <t>113.66+25+25</t>
  </si>
  <si>
    <t>136.46+25+20</t>
  </si>
  <si>
    <t>160+50</t>
  </si>
  <si>
    <t>184+50</t>
  </si>
  <si>
    <t>200+50+1.57</t>
  </si>
  <si>
    <t>In 2016, Egypt and Japan transferred 25t of their quota to Korea respectively.</t>
  </si>
  <si>
    <t>In 2017, Egypt and Japan transferred 25t and 20t of their quota to Korea respectively.</t>
  </si>
  <si>
    <t>Since 2018, Chinese Taipei transferred 50t of its quota to Korea every year.</t>
  </si>
  <si>
    <t xml:space="preserve">Korea carried forward its unused quota of 2019(1.57t) to 2020. </t>
  </si>
  <si>
    <t>(35*0.2)+29.4</t>
  </si>
  <si>
    <t>45+(0.4 x 45)=18t</t>
  </si>
  <si>
    <t>Adjusted limit for 2020 = 632.4 +158.1 = 790.5</t>
  </si>
  <si>
    <t>Adjusted limit for 2020 = 3907.0 + (0.15)(3907) = 4493.05 t</t>
  </si>
  <si>
    <t>Adjusted limit for 2020 = 100.0 - (100 t (Namibia (50 t), Cote d'Ivoire (25 t), Belize (25 t)) + 99.94</t>
  </si>
  <si>
    <t>Adjusted limit for 2020 = 1272.86 + (.1)(1272.86) = 1400.15 t</t>
  </si>
  <si>
    <t>2019= (70)+(3)</t>
  </si>
  <si>
    <t>2015=(25)+(-5)+(5)</t>
  </si>
  <si>
    <t>2016=(25)+(-1)</t>
  </si>
  <si>
    <t>2017=No se aplican modificaciones</t>
  </si>
  <si>
    <t>2018=(25)+(4)</t>
  </si>
  <si>
    <t>2019= (25) + (5), 20% Cuota (25t)</t>
  </si>
  <si>
    <t>2015=(70)+(-15)</t>
  </si>
  <si>
    <t>2016=(70)+(-17)+(3)</t>
  </si>
  <si>
    <t>2017=(70)+(-9)</t>
  </si>
  <si>
    <t>2018=(70)+(1)</t>
  </si>
  <si>
    <t>le calcul du quota ajusté 2020 prend en compte le solde  MAX de 2019 (Limite 2019 * 0.2 = 417*0.2=83.4) auquel est ajouté la limite 2020 417 t) ce qui donne (83.4+417=500.4) t</t>
  </si>
  <si>
    <t>200+(0.25*200)</t>
  </si>
  <si>
    <t>2160+(0.25*2160)</t>
  </si>
  <si>
    <t>2160+(0.25*2160)-100</t>
  </si>
  <si>
    <t>2017-2019: 100t transferred to Japan</t>
  </si>
  <si>
    <t>50+(0.5*50)</t>
  </si>
  <si>
    <t>50+(0.5*50)-25</t>
  </si>
  <si>
    <t>50+(0.4*50)-25</t>
  </si>
  <si>
    <t xml:space="preserve">These limits do not apply to Brazil, since Paragraph 9, of Reccomendation 19-05 establishes that: "For CPCs that prohibit dead discards, the landings of blue marlin and white marlin/spearfish that are dead when brought alongside the vessel and that are not sold or entered into commerce shall not count against the limits established in paragraph 2, on the condition that such prohibition be clearly explained in their Annual Report". Brazil prohibited dead discards and selling of white marlins by Normative Instruction 12, of July 14, 2005. </t>
  </si>
  <si>
    <t>3940+(0.3*3940)-50</t>
  </si>
  <si>
    <t>3940+(0.2*3940)-50</t>
  </si>
  <si>
    <t>* Adjusted limit 2019 = initial limit 2019 (4400) + available balance 2017 (not to exceed 25% of initial quota) (1100) - 900t transferred to Japan</t>
  </si>
  <si>
    <t>* Adjusted limit 2020 = initial limit 2020 (4400) + available balance 2018(not to exceed 25% of initial quota) (1100) - 600t transferred to Japan</t>
  </si>
  <si>
    <t>*Adjusted Limit=initial limt +available balance(not to exceed 25% of initial quota)</t>
  </si>
  <si>
    <t>50 + Balance 2018</t>
  </si>
  <si>
    <t>USA: the 2016-2020 adjusted quota reflects transfers to Namibia (50 t), Belize (25 t) and Côte d'Ivoire (25 t) in accordance with Rec. 16-04/17-03.</t>
  </si>
  <si>
    <t>*Underage up to 30% of the initial catch quota has been carried over biennially Rec.15-03 and 16-04. Quota calculated up to 2017</t>
  </si>
  <si>
    <t>**Underage up to 20% of the initial catch quota has been carried over biennially Rec.17-03. Quota calculated from 2018 on</t>
  </si>
  <si>
    <t>125+(125*0.3)</t>
  </si>
  <si>
    <t>125+(125*0.3)+25</t>
  </si>
  <si>
    <t>125+(125*0.2)+25</t>
  </si>
  <si>
    <t>CHINA: In accordance with paragraph 4b of Rec. 16-07, the 25 percent carryover request made by China at the 2017 regular meeting of the Commission has been completed using their underage from 2016 of 30.63 t and 19.37 t of the total underage of the TAC from 2016.</t>
  </si>
  <si>
    <t>Adjusted limit for 2020=initial quota(200)+200*25%(not exceeding the balance of 2018)=250</t>
  </si>
  <si>
    <t>Adjusted limit for 2019=initial quota(100)-12.726(payback quota)+available balance of 2017 (6.69t)=93.964</t>
  </si>
  <si>
    <t>Adjusted limit for 2019=initial quota(313)+313*20%(carryover 2017)=326.76</t>
  </si>
  <si>
    <t>Adjusted limit for 2020=initial quota(313)+313*20%(carryover 2018)= 313+37.05</t>
  </si>
  <si>
    <t>Adjusted limit for 2019=initial limit (45) + available balance of 2017 (not exceeding 20% of 45)=50.27</t>
  </si>
  <si>
    <t>Adjusted limit for 2020=initial limit (37.90) + available balance of 2018 (not exceeding 20% of 37.90)= 41.34t</t>
  </si>
  <si>
    <t>Adjusted limit for 2020=initial quota(10)+10*20%=12</t>
  </si>
  <si>
    <t>Regarding Rec.17-04 amends para.4 of Rec.16-06, Chinese Taipei is allocated 3926 t as its 2020 initial catch quota.</t>
  </si>
  <si>
    <t>2020 adjusted quota is 11550.00 t (=9400*(1+0.25)-200) due to the inclusion of 2018 underage and 2020 initial catch quota and the deduction of transfer of 200t to Japan</t>
  </si>
  <si>
    <t>=9400+2350-200</t>
  </si>
  <si>
    <t>JAPAN-S-ALB: 2020 adjusted limit = 1,355 t(Limit)+239.25 t(2018 carry over (para 4b of Rec. 16-07))+99.5t(complement from underage from the total TAC(Para4b of Rec.16-07)))+100 t(transfer from Brasil (para 3 of Rec. 16-07))+100 t(transfer from S.Africa(para 3 of Rec. 16-07))+500t(transfer from S.Africa (circular#1304/2020))+200t(transfer from Chinese Taipei  (circular#4313/2020))+100t(transfer from Brazil (circular#4498/2020))</t>
  </si>
  <si>
    <t>2019 adjusted quota is 343 t (=270+270*40%-35) due to the underage of 2017 exceeding 40% of 2019 initial catch quota and a transfer of 35 t to Canada.</t>
  </si>
  <si>
    <t>Pursuant to Rec.17-02, Chinese Taipei may carryover to the maximum of 40% of its 2018 underage in 2020.</t>
  </si>
  <si>
    <t>2020 adjusted quota is 323 t (=270+270*40%-35-20) due to the inclusion of 2018 underage and 2020 initial catch quota and the deduction of respective transfers of 35 t to Canada and 20 t to Morocco.</t>
  </si>
  <si>
    <t>=270*(1+40%)-35-20</t>
  </si>
  <si>
    <t>=459*(1+20%)</t>
  </si>
  <si>
    <t>According to Rec.17-03, Chinese Taipei may carryover to the maximum of 20% of its 2019 underage in 2020.</t>
  </si>
  <si>
    <t>2020 adjusted quota is 550.8 t (=459*(1+20%)) due to the inclusion of 2019 underage and 2020 initial catch quota.</t>
  </si>
  <si>
    <t>=90-50</t>
  </si>
  <si>
    <t>2020 adjusted quota is 40 t (=90-50) due to a transfer of 50 t to Korea.</t>
  </si>
  <si>
    <t>2020 adjusted quota is 11201.26 t = 9226.41 (initial quota) + 11679*15% (carry over of 15% of 2018 initial quota pursuant to Rec.16-01) +223 (transfer from Korea)</t>
  </si>
  <si>
    <t>=126.20+150(10%)</t>
  </si>
  <si>
    <t xml:space="preserve">2020 adjusted quota is 141.2 t = 126.2 (initial landing limit in 2020) + 150*10% (2018 carry over pursuant to Rec. 18-04) </t>
  </si>
  <si>
    <t>2020 adjusted quota is 55 t = 50 (initial landing limit in 2020) + 50*10% (2018 carry over pursuant to Rec. 18-04.)</t>
  </si>
  <si>
    <t>FRANCE SPM</t>
  </si>
  <si>
    <t xml:space="preserve">Pas de navire </t>
  </si>
  <si>
    <t>1 : limite 2015 + 50% quota original + 40 tonnes transférées de l'Union Européenne (REC 13-02)</t>
  </si>
  <si>
    <t>2 : limite 2016 + 50% quota original + 40 tonnes transférées de l'Union Européenne (REC 13-02)</t>
  </si>
  <si>
    <t>3 : limite 2017 + 50% limite de capture initiale + 40 tonnes transférées de l'Union Européenne     (REC 13-02 et REC 16-03) + 12,75 tonnes transférées du Vénézuela (accord sur la base de l'article 6     "transferts" de la recommandation 2016 ICCAT sur la préservation de l'espadon de   l'Atlantique Nord : en vertu du paragraphe 2, le Vénézuela peut transférer à la France SPM     15% de son allocation soit 85tx15%=12,75t)=40+(40*0.5)+40+12.75=112.75</t>
  </si>
  <si>
    <t>1 : limite 2015 + 100% quota de capture initial (REC 12-02)</t>
  </si>
  <si>
    <t>2 : limite 2016 + 100% quota de capture initial (REC 14-05)</t>
  </si>
  <si>
    <t>3 : limite 2017 + Solde 2016</t>
  </si>
  <si>
    <t>4 : limite 2018 + solde 2017</t>
  </si>
  <si>
    <t>*Belize is carrying forward 25% of its initial catch limit 2018 (25% 200t = 50t) from its balance of 64.86t in 2018 to be used in 2020.</t>
  </si>
  <si>
    <t>215+(0.25*200)</t>
  </si>
  <si>
    <t>Adjusted limited for 2019=215(initial quota)+200*25%(carryover 2017)=265</t>
  </si>
  <si>
    <t>Adjusted limited for 2020=215(initial quota)+200*25%(carryover 2018)=265</t>
  </si>
  <si>
    <t>RUSSIA</t>
  </si>
  <si>
    <t xml:space="preserve">JAPAN-BIGEYE:Japan's 2020 adjusted limit is 13,079.84t (after transferring 600t to China and 300t to EU). </t>
  </si>
  <si>
    <t>=459+100.9</t>
  </si>
  <si>
    <t>=459+87.80</t>
  </si>
  <si>
    <t>2019 adjusted quota is 546.8 t (=459+87.80) due to the inclusion of 2018 underage.</t>
  </si>
  <si>
    <t>SAINT VINCENT AND THE GRENADINES</t>
  </si>
  <si>
    <t>=200-1.51+100</t>
  </si>
  <si>
    <t>=200+100</t>
  </si>
  <si>
    <t>=200*(1+25% (máx 6.89 from 2016))+100</t>
  </si>
  <si>
    <t>* Adjusted limit = initial limit + available balance (not to exceed 25% of initial quota of the year where the adjustment comes)</t>
  </si>
  <si>
    <t>Japan's 2015 adjusted limit = 842t(Limit)+842*15%-50t(transfer to Morocco(Para2 of Rec.17-02))-35t(transfer to Canada(Para2 of Rec.17-02))-25t(transfer to Mauritania(Para2 of Rec.17-02))</t>
  </si>
  <si>
    <t>Japan's 2016 adjusted limit = 842t(Limit)+406.20 (CO 2015) - 50t(transfer to Morocco(Para2 of Rec.17-02))-35t(transfer to Canada(Para2 of Rec.17-02))-25t(transfer to Mauritania(Para2 of Rec.17-02))</t>
  </si>
  <si>
    <t>Japan's 2017 adjusted limit = 842t(Limit)+740.50 (CO 2016) - 100t(transfer to Morocco(Para2 of Rec.17-02))-35t(transfer to Canada(Para2 of Rec.17-02))-25t(transfer to Mauritania(Para2 of Rec.17-02))</t>
  </si>
  <si>
    <t>Japan's 2018 adjusted limit = 842t(Limit)+842*15%-100t(transfer to Morocco(Para2 of Rec.17-02))-35t(transfer to Canada(Para2 of Rec.17-02))</t>
  </si>
  <si>
    <t>Japan's 2019 adjusted limit = 842t(Limit)+544t(2018 carry over(Para4 of Rec17-02))-100t(transfer to Morocco( Para2 of Rec.17-02))-35t(transfer to Canada(Para2 of Rec.17-02))-25t(transfer to Mauritania(Para2 of Rec.17-02))</t>
  </si>
  <si>
    <t>Japan´s 2020 adjusted limit = 842 t(Limit)+831.01t(2019 carry over(para 4 of Rec. 17-02))-150 t(transfer to Morocco(para 1-a) of Rec. 19-03))-35 t(transfer to Canada(para 2 of Rec. 17-02))-25 t(transfer to Mauritania(para 2 of Rec. 17-02)).</t>
  </si>
  <si>
    <t>2019 = Initial allocation + transfers (from Senegal 125t, Japan 35t, Chinese Taipe 35t, and the EU 300t) + underage from 2017 (202.2t - max. carry forward)</t>
  </si>
  <si>
    <t>=3926+(3271.70*0.25)-200</t>
  </si>
  <si>
    <t>=(3926*1.25)-200</t>
  </si>
  <si>
    <t>2019 adjusted quota is 4443.93 t (=3926+(3271.70*0.25)-200)  due to the inclusion of 2017 underage and 2019 initial catch quota and the transfer of 200 t to Belize.</t>
  </si>
  <si>
    <t>2020 adjusted quota is 4607.5 t (=3926*(1+0.25)-100-200)  due to the inclusion of 2018 underage and 2020 initial catch quota and the deduction of the transfer of 200 t to Belize.</t>
  </si>
  <si>
    <t>=215+25% Quota 2017 (máx 3.80)</t>
  </si>
  <si>
    <t>=215+(MAX. 25% from 2018 quota= 50t)</t>
  </si>
  <si>
    <t>Chinese Taipei has transferred 100t to VCT from 2015 to 2018</t>
  </si>
  <si>
    <t>LIBERIA</t>
  </si>
  <si>
    <t>[1]</t>
  </si>
  <si>
    <t>[2]</t>
  </si>
  <si>
    <t>[3]</t>
  </si>
  <si>
    <t>[4]</t>
  </si>
  <si>
    <t>[1] = 2017 limit + 2016 Balance</t>
  </si>
  <si>
    <t>[2] = 2018 limit + 2017 Balance</t>
  </si>
  <si>
    <t>[3] = 2019 limit + 2018 Balance</t>
  </si>
  <si>
    <t>JAPAN-S-ALB: 2021 adjusted limit = 1,355 t(Limit)+338.75t(2019 carry over(1355*25%) (para 4a of Rec. 16-07))</t>
  </si>
  <si>
    <t>2020=58.9 + (Saldo Máx. 2019 = 10% Q2019) = 58.9 + 7</t>
  </si>
  <si>
    <t>2020= (25) + (5), 20% Cuota (25t)</t>
  </si>
  <si>
    <t>2021= (25) + (5), 20% Cuota (25t)</t>
  </si>
  <si>
    <t>200+(200*0.25)</t>
  </si>
  <si>
    <t>215+(200*0.25)</t>
  </si>
  <si>
    <t>*Belize is carrying forward 25% of its initial catch limit 2019 (25% 215t = 53.75t) from its balance of 200.47t in 2019 to be used in 2021. Receiving a transfer of ALB-N from Chinese Taipei: 200t</t>
  </si>
  <si>
    <t>*Belize is carrying forward 25% of its initial catch limit (62.5t) from its balance of 154.36t in 2019 to be used in 2021</t>
  </si>
  <si>
    <t>*Belize intends to use 52t of its underages from 2019 in 2021 (Rec. 17-02, par. 3); receiving a transfer of N-SWO from Trinidad &amp; Tobago: 75t (Rec. 17-02, par.2b).</t>
  </si>
  <si>
    <t>*Belize intends to use 25 t of its underages from 2019 in 2021 (Rec. 17-03, para 2); receiving a transfer of SWO-S from the United States: 25 t, Brazil: 50 t and Uruguay: 50 t (Rec. 17-03, para 5).</t>
  </si>
  <si>
    <t>JAPAN-SWO-S: adjusted limit in 2011, 2012,2013,2014,2015,2016,2017,2018, 2019, 2020 and 2021 excluded 50 t transfered to Namibia. [Rec.09-03][Rec.12-01][Rec.13-03][Rec.15-03][Rec.16-04][Rec.17-03]</t>
  </si>
  <si>
    <t>JAPAN-SWO-S: underage of 2010 may be carried over to 2012 up to 800t. [Rec. 09-03]</t>
  </si>
  <si>
    <t>JAPAN-SWO-S: overage of 2011 shall be deducted from 2013. [Rec. 09-03]</t>
  </si>
  <si>
    <t>JAPAN-SWO-S:Japan's underage in 2012 was carried over to the 2014 initial limit [Rec. 12-01]</t>
  </si>
  <si>
    <t>JAPAN-SWO-S: overage of 2013 shall be deducted from 2015. [Rec. 12-01]</t>
  </si>
  <si>
    <t>JAPAN-SWO-S:Japan's underage in 2014 was carried over to the 2016 initial limit [Rec. 13-03][Rec15-03]</t>
  </si>
  <si>
    <t>JAPAN-SWO-S:Japan's underage in 2015 was carried over to the 2017 initial limit [Rec.16-04]</t>
  </si>
  <si>
    <t>JAPAN-SWO-S:Japan's underage in 2016 was carried over to the 2018 initial limit [Rec.17-03]</t>
  </si>
  <si>
    <t>JAPAN-SWO-S: 400 t of its swordfish catch taken from the part of the South Atlantic management area was counted against its N-SWO uncaught quota in 2015.[Rec.13-02]</t>
  </si>
  <si>
    <t>JAPAN-SWO-S:Japan's 2021 adjusted limit  = 901t(Limit)+529.16t(2019 carry over(Para1(3) of Rec17-03))-50t(transfer to Namibia(Para5 of Rec.17-03))</t>
  </si>
  <si>
    <t>215+(0.25*215)</t>
  </si>
  <si>
    <t>2020: 100 t (transfer to JPN according to Rec.16-07 Para 3) and  100t (transfer to JPN according to circular#4498/2020, Rec.16-07 Para 6)</t>
  </si>
  <si>
    <t>2160+(0.25*2160)-200</t>
  </si>
  <si>
    <t>* As the balance is negative, Adjusted limit (A) = Year Limit + Balance from the previous limit</t>
  </si>
  <si>
    <t>242+(215*0.25)</t>
  </si>
  <si>
    <t>Adjusted limited for 2021=242(initial quota)+215*25%(carryover 2019)=295.75</t>
  </si>
  <si>
    <t>Adjusted limit for 2021=initial quota(200)+200*25%(not exceeding the balance of 2019)=250</t>
  </si>
  <si>
    <t>Adjusted Limit=initial limt +available balance(not to exceed 50% of initial quota)</t>
  </si>
  <si>
    <t>Adjusted limit for 2020=initial quota(100)+available balance of 2018 (3.95t)=103.95</t>
  </si>
  <si>
    <t>Adjusted limit for 2021=initial quota(100)+available balance of 2019 (2.40t)=102.40</t>
  </si>
  <si>
    <t>Adjusted limit for 2021=initial quota(313)+313*20%(carryover 2019)= 313+62.6</t>
  </si>
  <si>
    <t>Adjusted limite for 2020=initial quota(4462.08)+5376*15%+600 ton transfer from Japan=5868.48</t>
  </si>
  <si>
    <t>Adjusted limit for 2021=initial limit (37.90) + available balance of 2019 (not exceeding 20% of 37.90)= 41.77t</t>
  </si>
  <si>
    <t>Adjusted limit for 2021=initial quota(10)+10*20%=12</t>
  </si>
  <si>
    <t>Pursuant to Rec.20-04 and Rec.20-03, Chinese Taipei is allocated 4416.9 t as its 2021 initial catch quota.</t>
  </si>
  <si>
    <t>2021 adjusted quota is 5198.4 t (=4416.9+3926*0.25-200)  due to the inclusion of 2019 underage and 2021 initial catch quota and the deduction of the transfer of 200 t to Belize.</t>
  </si>
  <si>
    <t>=4416.90+(3926*0.25)-200</t>
  </si>
  <si>
    <t>2021 adjusted quota is 11524.00 t (=9400+2124) due to the inclusion of 2019 underage and 2021 initial catch quota</t>
  </si>
  <si>
    <t>=9400+2124</t>
  </si>
  <si>
    <t>Pursuant to Rec.17-02, Chinese Taipei may carryover to the maximum of 40% of its 2019 underage in 2021.</t>
  </si>
  <si>
    <t>2021 adjusted quota is 323 t (=270+270*40%-35-20) due to the inclusion of 2019 underage and 2021 initial catch quota and the deduction of respective transfers of 35 t to Canada and 20 t to Morocco.</t>
  </si>
  <si>
    <t>Pursuant to Rec.17-03, Chinese Taipei may carryover to the maximum of 20% of its 2020 underage in 2021.</t>
  </si>
  <si>
    <t>2021 adjusted quota is 550.8 t (=459*(1+20%)) due to the inclusion of 2020 underage.</t>
  </si>
  <si>
    <t>2021 adjusted quota is 40 t (=90-50) due to a transfer of 50 t to Korea.</t>
  </si>
  <si>
    <t>=9226.41+(11679*15%)+223</t>
  </si>
  <si>
    <t xml:space="preserve">2021 adjusted quota is 141.2 t = 126.2 (initial landing limit in 2021) + 150*10% (2019 carry over pursuant to Rec. 18-04) </t>
  </si>
  <si>
    <t>2021 adjusted quota is 55 t = 50 (initial landing limit in 2021) + 50*10% (2019 carry over pursuant to Rec. 18-04.)</t>
  </si>
  <si>
    <t>NAMIBIA</t>
  </si>
  <si>
    <t>Underage up to 20% of the initial catch quota has been carried over biennially Rec.17-03. Quota calculated from 2018 on</t>
  </si>
  <si>
    <t>*Underage up to 30% of the initial catch quota has been carried over biennially Rec.16-04. Quota calculated up to 2017</t>
  </si>
  <si>
    <t>=1168+30%1168+50+50+50</t>
  </si>
  <si>
    <t>From 2016 to 2021, Japan has transferred 50t to Namibia in accordance with Rec. 16-04/17-03.</t>
  </si>
  <si>
    <t>From 2016 to 2020, South Africa has transferred 50t to Namibia in accordance with Rec. 16-04/17-03.</t>
  </si>
  <si>
    <t>=1168+20%1168+50+50+50</t>
  </si>
  <si>
    <t>JAPAN-N-ALB:Japan's 2020 adjusted limit = BET 2020 catch * 4% (Para6 of Rec16-06)</t>
  </si>
  <si>
    <t>JAPAN-E-BFT: current catch for 2020 includes  8.16t of dead discard.</t>
  </si>
  <si>
    <t>JAPAN-E-BFT:Japan's 2021 adjusted limit = 2819.00t(Limit)(Para1 of Rec20-07)+57.64t(2020 carry over (Para2 of Rec 20-07))</t>
  </si>
  <si>
    <t>JAPAN-W-BFT: current catch for 2020 includes 0.23 t of dead discard.</t>
  </si>
  <si>
    <t>JAPAN-W-BFT:Japan's 2021 adjusted limit = 407.48t(Limit)+2.82t(2020 carry over(Para7a of Rec17-06 )</t>
  </si>
  <si>
    <t>JAPAN-BUM:Japan's 2022 adjusted limit = 328.1t(Limit)</t>
  </si>
  <si>
    <t>* Adjusted limit 2021 = initial limit 2021 (4400) + available balance 2019(not to exceed 25% of initial quota) (197.13)</t>
  </si>
  <si>
    <t>=1001+30%1001-50</t>
  </si>
  <si>
    <t>=1001+20%1001-50</t>
  </si>
  <si>
    <t xml:space="preserve">The underharvest of the EU in 2018 is of 1007,82 t, which is less than than the maximum allowed of  25% provided in Rec. 16-06. The EU is entitled to carry over 1007,82 t to 2020. </t>
  </si>
  <si>
    <t xml:space="preserve">The EU overharvested -540,04 t in 2019. According to provisions in para 7 of Rec. 16-06 and para 8 of Rec. 17-04, 540,04 t shall be deducted  from the EU quota in 2021. </t>
  </si>
  <si>
    <t>Limit 2021 +   2019 balance - 434,04 t to be transferred to UK</t>
  </si>
  <si>
    <t>Limit 2022 +   2020 balance - 1,52% of the EU limit 2022 to be transferred to UK</t>
  </si>
  <si>
    <t xml:space="preserve">The underharvest of the EU in 2020 is of 1288,72 t, which is less than than the maximum allowed of 25% provided in Rec. 16-06. The EU is entitled to carry over 1288,72 t to 2022. </t>
  </si>
  <si>
    <t>Additionally, the EU will transfer to United Kingdom 434,04t in 2021 and 1,52% of its initial catch limit in 2022.</t>
  </si>
  <si>
    <t xml:space="preserve"> The underharvest of the EU in 2019 was of 1755,77 t.  In line with Rec 16-07, the EU is entitled to carry over  367,5 t to 2021, corresponding to 25% of its initial quota for 2019.</t>
  </si>
  <si>
    <t>The underharvest of the EU in 2018 is of 1734,69 t..  In line with Rec 16-07, the EU is entitled to carry over  367,5 t to 2020, corresponding to 25% of its initial quota for 2018.</t>
  </si>
  <si>
    <t>The underharvest of the EU in 2020 was of 1777,03 t.  In line with Rec 16-07, the EU is entitled to carry over  367,5 t to 2022, corresponding to 25% of its initial quota for 2020.</t>
  </si>
  <si>
    <t>Limit 2022 + 25%  2020 limit</t>
  </si>
  <si>
    <t>The underharvest of the EU in 2018 is of 2419,28 t, which corresponds to more than 15% of its 2018 initial catch limit. In line with Rec. 17-02 the EU can carry over 1007.7 t to 2020.</t>
  </si>
  <si>
    <t>The underharvest of the EU in 2019 is of 1799,51 t, which corresponds to more than 15% of its 2019 initial catch limit. In line with Rec. 17-02 the EU can carry over 1007.7 t to 2021.</t>
  </si>
  <si>
    <t xml:space="preserve">The underharvest of the EU in 2020 is of 1425,44 t, which corresponds to more than 15% of its 2020 initial catch limit. In line with Rec. 17-02 the EU can carry over 1007.7 t to 2022. </t>
  </si>
  <si>
    <t>Additionally, the EU  will transfer to United Kingdom 0,67 t in 2021, and 0,01% of the EU initial catch limit in 2022.</t>
  </si>
  <si>
    <t xml:space="preserve">The adjusted limit for 2022 takes also into account the transfers to Canada (300 t from EU-Spain), and S. Pierre et Miquelon (40 t) as provided for in Rec 17-02. </t>
  </si>
  <si>
    <t>In 2018 the underharvest for the EU was of 187,20 t, which is less than the maximum allowed 20% provided in Rec 17-03. Therefore, the EU is entitled to carry over 187,20 t to 2020.</t>
  </si>
  <si>
    <t>In 2019 the underharvest for the EU was of 256,03 t, which is less than the maximum allowed 20% provided in Rec 17-03. Therefore, the EU is entitled to carry over  256,03 t to 2021.</t>
  </si>
  <si>
    <t xml:space="preserve">In 2020 the underharvest for the EU was of 261 t, which is less than the maximum allowed 20% provided in Rec 17-03. Therefore, the EU is entitled to carry over  261 t to 2022. </t>
  </si>
  <si>
    <t xml:space="preserve">Limit 2022 +  2020 balance </t>
  </si>
  <si>
    <t xml:space="preserve">In 2018 the underharvest for the EU was of 2121,35 t, which is less than the maximum allowed of 15% provided in Rec 16-01. Therefore, the EU is entitled to carry over 2121,35 t to 2020. </t>
  </si>
  <si>
    <t xml:space="preserve">In 2019 the underharvest for the EU was of 246,97 t, which is less than the maximum allowed of 10% provided in Rec 19-02. Therefore, the EU is entitled to carry over 246,97 t to 2021. </t>
  </si>
  <si>
    <t>2022 Limit - 2t</t>
  </si>
  <si>
    <t>In 2018, the underharvest (341,96 t) being over the maximum allowed of 10% provided in Rec. 18-04, the EU is entitled to carry over 48 t to 2020.</t>
  </si>
  <si>
    <t>In 2019, the underharvest (448,38 t) being over the maximum allowed of 10% provided in Rec. 18-04/19-05, the EU is entitled to carry over 48 t to 2021. The calculation takes into account the transfer of 2 t to Trinidad &amp; Tobago as provided by Rec. 19-05.</t>
  </si>
  <si>
    <t xml:space="preserve">In 2015 the quota was exceeded by 67.19 t. The EU proposes a pay-back of this overharvest over 3 years in 2018, 2019, 2020 , which corresponds to 22.4 t per year.                                                                                 </t>
  </si>
  <si>
    <t>In 2018 the underharvest (27,52t) being over the maximum allowed of 10% provided in Rec. 18-04, the EU is entitled to carry over 5 t to 2020.</t>
  </si>
  <si>
    <t>The agreement between UK and EU is to transfer 48.40 t from its quota in 2022, corresponding to 0.25% of its quota prior to any adjustments made and any specific allocation made to the EU for its small-scale fisheries in following years to the United Kingdom.</t>
  </si>
  <si>
    <t xml:space="preserve">This means that the 0,25% is calculated from the 19360 t which is the initial quota of EU without the additional 100t agreed in 2018 for small scale. </t>
  </si>
  <si>
    <t>(200*0.25)+215</t>
  </si>
  <si>
    <t>(215*0.25)+242</t>
  </si>
  <si>
    <t>4.99+140</t>
  </si>
  <si>
    <t>16.91+140</t>
  </si>
  <si>
    <t>6 (A) = Limit 2021 + Carry over from Balance 2019 MAX. 10%4250 (425) Rec. 19-02 Para 12</t>
  </si>
  <si>
    <t>*Underage up to 50% of the initial catch quota has been carried over biennially Rec.16-03. Quota calculated up to 2017</t>
  </si>
  <si>
    <t>**Underage up to 40% of the initial catch quota has been carried over biennially Rec.17-02. Quota calculated from 2018 on</t>
  </si>
  <si>
    <t>2021**</t>
  </si>
  <si>
    <t>Korea carried forward its unused quota of 2020(4.30t) to 2021. Max 5% 2020 quota. Rec 20-07 Para 2</t>
  </si>
  <si>
    <t>200+50+4.30</t>
  </si>
  <si>
    <t>Since 2018, Korea has transferred 223t of its quota to Chinese Taipei every year.</t>
  </si>
  <si>
    <t>(1486*0.15)+1000 - 223</t>
  </si>
  <si>
    <t>Rec. 19-02 Para 12: underage of an annual catch limit in 2019 shall be added to their 2021 annual catch limit, subject to 10% of initial quota restrictions</t>
  </si>
  <si>
    <t>Rec. 19-02 Para 3c): Starting with 2020 catches, any underharvest by a CPC of its annual landings limit may not be carried forward to a subsequent year</t>
  </si>
  <si>
    <t>2020 =  Initial allocation + transfers (from Senegal 125t, Japan 35t, Chinese Taipe 35t, and the EU 100t) + underage from 2018 (202.2t - max. carry forward)</t>
  </si>
  <si>
    <t>2021 =  Initial allocation + transfers (from Senegal 150t, Japan 35t, Chinese Taipe 35t, and the EU 200t) + underage from 2019 (202.2t - max. carry forward)</t>
  </si>
  <si>
    <t xml:space="preserve">Limite ajustée 2018= limite de capture 2018 + ( limite de capture 2017 x 0,4) - transfert (CAN). Limite ajustée 2018  = 250 + (250*0.4) - (125+25) = 200t      </t>
  </si>
  <si>
    <t>Limite ajustee 2019 = Limite 2019 + max. Solde (Limite 2018*0.4) -transfert Canada (125 t) = 250 + (250 * 0.4) -125= 225 t</t>
  </si>
  <si>
    <t>Limite ajustee 2020 = Limite 2020 + max. Solde (Limite 2019*0.4) -transfert Canada (125 t) = 250 + (250 * 0.4) -125= 225 t</t>
  </si>
  <si>
    <t>Limite ajustee 2021 = Limite 2021 + max. Solde (Limite 2020*0.4) -transfert Canada (125 t+25 t) = 250 + (250 * 0.4) -150= 200 t</t>
  </si>
  <si>
    <t>(2020 limit + 0,15*2018 limit)-40-100</t>
  </si>
  <si>
    <t>(2021 limit + 0,15*2019 limit)-40-200-0.67</t>
  </si>
  <si>
    <t xml:space="preserve">For 2020 the adjusted limit is calculated by taking also into account the transfers to Canada (100 t from EU-Spain) and of 40 t to S. Pierre et Miquelon as provided for in Rec 17-02. </t>
  </si>
  <si>
    <t>For 2021 the adjusted limit is calculated by taking also into account the transfers to Canada (200 t from EU-Spain) and of 40 t to S. Pierre et Miquelon as provided for in Rec. 17-02.</t>
  </si>
  <si>
    <t>2020: The 2019 underage is greater than the maximum amount that can be carried over to 2020 (&lt;= 40% of original catch limit); hence the amount carried over is 50 t (0.4*125).
Additionally, 75 t and 25 t were transferred to Belize and Morocco respectively; hence 100 is subtracted from the sum of the initial catch limit and the allowed carry over, to arrive at the final adjusted limit of 75 t.</t>
  </si>
  <si>
    <t>2021: The 2020 underage is greater than the maximum amount that can be carried over to 2021 (&lt;= 40% of original catch limit); hence the amount carried over is 50 t (0.4*125).
Additionally, 75 t and 25 t were transferred to Belize and Morocco respectively; hence 100 is subtracted from the sum of the initial catch limit and the allowed carry over, to arrive at the final adjusted limit of 75 t.</t>
  </si>
  <si>
    <t>1 (A)=IQ2016+Balance2015</t>
  </si>
  <si>
    <t>2 (A)=IQ2017+Balance2016</t>
  </si>
  <si>
    <t>3 (A)=IQ2018+Balance2017</t>
  </si>
  <si>
    <t>4 (A)=IQ2019+Balance2018</t>
  </si>
  <si>
    <t>5 (A)=IQ2020+Balance2019+2t EU transfer provided by Rec. 19-05.</t>
  </si>
  <si>
    <t>5 (A)=IQ2020+Balance2019</t>
  </si>
  <si>
    <t>6 (A)=IQ2021+Balance2020</t>
  </si>
  <si>
    <t>Pour l'année 2020 les prises realisées par les senneurs sont de 2648,138</t>
  </si>
  <si>
    <t>*</t>
  </si>
  <si>
    <t>Adjusted limit for 2021 = 711.5  + (.25)(632.4) = 869.60****</t>
  </si>
  <si>
    <t>*** reflects that 25% of the 2017 initial quota may be carried forward to 2018</t>
  </si>
  <si>
    <t>****  reflects that 25% of the 2020 initial quota may be carried forward to 2021</t>
  </si>
  <si>
    <t>Adjusted limit for 2021 = 3907.0 + (0.15)(3907) = 4493.05 t</t>
  </si>
  <si>
    <t>Adjusted limit for 2021 = 100.0 - (100 t (Namibia (50 t), Cote d'Ivoire (25 t), Belize (25 t)) + 99.94</t>
  </si>
  <si>
    <t>Adjusted limit for 2021 = 1272.86 + (.1)(1272.86) = 1400.15 t</t>
  </si>
  <si>
    <t>* Adjusted limit = initial limit + available balance (not to exceed 10% of initial quota)</t>
  </si>
  <si>
    <t>*** reflects that 10% of the 2017 initial quota may be carried forward to 2018</t>
  </si>
  <si>
    <t>VENEZUELA</t>
  </si>
  <si>
    <t>*De acuerdo a Rec. 16-06 Par 4, en el año 2017 se utilizaron las transferencias de La Unión Europea, Estados Unidos y Taipei Chino  a Venezuela de  60, 150 y 114 t, respectivamente</t>
  </si>
  <si>
    <t>(1) Límite ajustado 2017 = Límite 2017 + Saldo 2016 + (60+150+114)*</t>
  </si>
  <si>
    <t>(1)</t>
  </si>
  <si>
    <t>(2)</t>
  </si>
  <si>
    <t>(3)</t>
  </si>
  <si>
    <t>(2) Límite ajustado 2018 = Límite 2018 + Saldo 2017</t>
  </si>
  <si>
    <t>(3) Límite ajustado 2019 = Límite 2019 + Saldo 2018</t>
  </si>
  <si>
    <t>(4)</t>
  </si>
  <si>
    <t>(4) Límite ajustado 2020 = Límite 2020 + Saldo 2019</t>
  </si>
  <si>
    <t>(5)</t>
  </si>
  <si>
    <t>(5) Límite ajustado 2021 = Límite 2021 + Saldo 2020</t>
  </si>
  <si>
    <t>85+(85*0.5)</t>
  </si>
  <si>
    <t>Los remanentes de captura de esta especie se ajustaron de acuerdo a los años sugeridos por la recomendación  16-03</t>
  </si>
  <si>
    <t>Al límite de captura ajustada para los años 2017 y 2018, se le dedujo las 12,75 t transferidas a Francia (San Pedro y Miquelón) , Rec.16-03 y Rec. 17-02.</t>
  </si>
  <si>
    <t>85+(85*0.5)-12.75</t>
  </si>
  <si>
    <t>85+(85*0.4)-12.75</t>
  </si>
  <si>
    <t>85+(85*0.4)</t>
  </si>
  <si>
    <t>*Underage up to 10% of the initial catch quota has been carried over biennially Rec.15-05 to 18-04 (2016-2019)</t>
  </si>
  <si>
    <t>100+ (0.1*100)</t>
  </si>
  <si>
    <t>100+ (0.1*100) - 30 **</t>
  </si>
  <si>
    <t>**Transferencia de 30 t a la Unión Europea en 2017, Rec.  16-10.</t>
  </si>
  <si>
    <t>84.10+(100*0.1)</t>
  </si>
  <si>
    <t>(1) Límite ajustado 2018 = Límite 2018 + Saldo 2017 +  (Saldo Máx. 2016 = 10% Límite 2016)</t>
  </si>
  <si>
    <t>Catch limit defined according to Rec. 19-02 Para 4</t>
  </si>
  <si>
    <t>[4] = 2020 limit + 2019 Balance</t>
  </si>
  <si>
    <t>[5]</t>
  </si>
  <si>
    <t>[5] = 2021 limit + 2020 Balance</t>
  </si>
  <si>
    <t>*transfer of 200 t from Chinese Taipei to Belize in 2021 and 2022.</t>
  </si>
  <si>
    <t>Japan´s 2021 adjusted limit = 842 t(Limit)+1056.21t(2020 carry over(para 4 of Rec. 17-02))-150 t(transfer to Morocco(para 1-a) of Rec. 20-02)-35 t(transfer to Canada(para 2 of Rec. 17-02))-25 t(transfer to Mauritania(para 2 of Rec. 17-02)).</t>
  </si>
  <si>
    <t>JAPAN-BIGEYE: current catch for 2020 includes  15.20t of dead discard.</t>
  </si>
  <si>
    <t>BSHN</t>
  </si>
  <si>
    <t>2022 Limit</t>
  </si>
  <si>
    <t>*Belize is carrying forward 25% of its initial catch limit (53.75 t) from its balance of 142.7t in 2020 to be used in 2022.</t>
  </si>
  <si>
    <t>*Belize is carrying forward 25% of its initial catch limit (62.5 t) from its balance of 162.13t in 2020 to be used in 2022</t>
  </si>
  <si>
    <t>*Belize is carrying forward 40% of its initial catch limit (52 t) from its balance of 146.27 t in 2020 to be used in 2022; receiving a transfer of N-SWO from Trinidad &amp; Tobago: 75t (Rec. 17-02, par.2b).</t>
  </si>
  <si>
    <t>*Belize is carrying forward 20% of its initial catch limit (25t)  in 2020 to be used in 2022 + transfer of 24.94t from the United States of America + transfer of 50t from Brazil + transfer of 50t from Uruguay to Belize</t>
  </si>
  <si>
    <t>Adjusted limit for 2022 = 100.0 - (99.94 t (Namibia (50 t), Cote d'Ivoire (25 t), Belize (24.94 t)) + 99.94</t>
  </si>
  <si>
    <t>Adjusted limit for 2022=initial quota(200)+200*25%(not exceeding the balance of 2020)=250</t>
  </si>
  <si>
    <t>In 2015 2.29t of dead discards were not included in the catch amount in the compliance table although they were reported in the Task I data</t>
  </si>
  <si>
    <t>In 2015,5.91t of dead discards and/or releases were not included in the catch amount in the compliance table although they were reported in the Task I data</t>
  </si>
  <si>
    <t>In 2015, 1.47t of dead discards were not included in the catch amount in the compliance table although they were reported in the Task I data</t>
  </si>
  <si>
    <t>Limit 2022+limit 2020*0,10</t>
  </si>
  <si>
    <t>In 2020 the underharvest for the EU was of 4557,17 t, which is more than the maximum allowed 10% provided in Rec 21-01. Therefore, the EU is entitled to carry over  1342,13 t to 2022</t>
  </si>
  <si>
    <t>UK</t>
  </si>
  <si>
    <t>2022 adjusted quota is 5198.4 t (=4416.9+3926*0.25-200)  due to the inclusion of 2020 underage and 2022 initial catch quota and the deduction of the transfer of 200 t to Belize.</t>
  </si>
  <si>
    <t>50 + Balance 2019</t>
  </si>
  <si>
    <t>125+(125*0.2)</t>
  </si>
  <si>
    <t>7:  limite 2021+ 100% allocation de quota initiale (MAX Solde 2020=1.53) - CAN transfer (4.78t) = 5.31 + 1.53 - 4.78= 2.06</t>
  </si>
  <si>
    <t>6:  limite 2020+ 100% allocation de quota initiale (MAX Solde 2019=1) - CAN transfer (4.78t) = 5.31 + 1 - 4.78= 1.53</t>
  </si>
  <si>
    <t>Adjusted limite for 2021=initial quota(4390.69)+5376*10%+600 ton transfer from Japan=5528.29</t>
  </si>
  <si>
    <t>JAPAN-BIGEYE:Japan's 2021 adjusted limit = 13756.16+1769.6(2019 carry over(17696*10%)(Para12 of Rec19-02)-600(transfer to China (Footnote2 of Para.8  of Rec.19-02))-300(transfer to Europian Union (Footnote 2 of Para.8 of Rec.19-02))</t>
  </si>
  <si>
    <t>PANAMÁ</t>
  </si>
  <si>
    <t>(1)  Cuota ajustada de 2021= Cuota de 2021 + balance negativo de 2020 (25-6.34)= 18.66t</t>
  </si>
  <si>
    <t>2021(**) (*)</t>
  </si>
  <si>
    <t>Pour l'année 2021 le quota ajusté est de 2755,75  ( le quota initial 2655T+transfert quota syrie (79,2)+quota non consommé  des prises accessoires 2020 (21,55T)</t>
  </si>
  <si>
    <t>5:  limite 2019+ 100% allocation de quota initiale - CAN transfer (9.62) = 2*5.31-9.62=1</t>
  </si>
  <si>
    <t>8:  limite 2022+ 100% allocation de quota initiale (MAX Solde 2021=2.06) - CAN transfer (4.78t) = 6.18+2.06-4.78= 3.46</t>
  </si>
  <si>
    <t>1 (A) = Limit 2016 -337 (payback Rec.15-01 9b) + 70 (Transfer Japan Rec.15-01 7b) + Carry over from Balance 2014 MAX. 15%4722=708.3 (583)</t>
  </si>
  <si>
    <t>2 (A) = Limit 2017 -337 (payback Rec.16-01 9b) + 70 (Transfer Japan Rec.16-01 7b) - 246.60 (Balance 2016) + Carry over from Balance 2015 MAX. 15%4722= 708.3 (696.92)</t>
  </si>
  <si>
    <t>3 (A) = Limit 2018 -337 (payback Rec.16-01 9b) + 70 (Transfer Japan Rec.16-01 7b)</t>
  </si>
  <si>
    <t>4 (A) = Limit 2019 + 70 (Transfer Japan Rec.16-01 7b)  + Carry over from Balance 2017 MAX. 15%4250= 637.50 (347.32). No more payback since 18-01 Para 2</t>
  </si>
  <si>
    <t>5 (A) = Limit 2020 + Carry over from Balance 2018 MAX. 15%4250=637.50(412)</t>
  </si>
  <si>
    <t>CURACAO</t>
  </si>
  <si>
    <t>[6]</t>
  </si>
  <si>
    <t>[6] = 2022 limit + 2021 Balance</t>
  </si>
  <si>
    <t>2022 = Initial allocation + transfers (from Senegal 150t, Japan 35t, Chinese Taipe 35t, and the EU 250t) + underage from 2020 (202.2t - max. carry forward)</t>
  </si>
  <si>
    <t>Initial quota/catch limit includes 15 t allocation for by-catch, as per Rec. 17-06 para 6a &amp; Rec. 20-06 Para 1 (4) &amp;  Rec. 21-07 Para 1 (D)</t>
  </si>
  <si>
    <t>Adjusted limited for 2022=242(initial quota)+215*25%(carryover 2020)=295.75</t>
  </si>
  <si>
    <t>Adjusted limit for 2022=initial quota(100)+available balance of 2020 (7.78t)=107.78</t>
  </si>
  <si>
    <t>Adjusted limit for 2022=initial quota(313)+313*20%(carryover 2020)= 313+62.6</t>
  </si>
  <si>
    <t>Adjusted limite for 2022=initial quota(4426.38)+4462.08*10%+600 ton transfer from Japan=5472.59</t>
  </si>
  <si>
    <t>Adjusted Limit=initial limit +available balance(not to exceed 20% of initial quota), valid up to 2020 (Rec. 19-05 Para 3b))</t>
  </si>
  <si>
    <t>Adjusted Limit=initial limit +available balance(not to exceed 10% of initial quota), valid up to 2020 (Rec. 19-05 Para 3b))</t>
  </si>
  <si>
    <t>COSTA RICA</t>
  </si>
  <si>
    <t>* Límite ajustado = límite inicial + balance disponible (no exceder 25% de cuota inicial)</t>
  </si>
  <si>
    <t>Límite ajustado para 2016 = 200 + 50 = 250 t</t>
  </si>
  <si>
    <t>Límite ajustado para 2017= 200 + 50 = 250 t</t>
  </si>
  <si>
    <t>Límite ajustado para 2018 = 200 + 50 = 250 t</t>
  </si>
  <si>
    <t>Límite ajustado para 2019 = 215 + 50 = 265 t</t>
  </si>
  <si>
    <t>Límite ajustado para 2020 = 215 + 53,75 = 268,75 t</t>
  </si>
  <si>
    <t>Límite ajustado para 2021 = 242 + 53,75 = 295,75 t</t>
  </si>
  <si>
    <t>Límite ajustado para 2022 = 242 + 60,5 = 302,50 t</t>
  </si>
  <si>
    <t>SWON</t>
  </si>
  <si>
    <t>ALBN</t>
  </si>
  <si>
    <t>[7]</t>
  </si>
  <si>
    <t>[1]= Límite de 2016 + balance de 2015</t>
  </si>
  <si>
    <t>[2]= Límite de 2017 + balance de 2016</t>
  </si>
  <si>
    <t>[3]= Límite de 2018 + balance de 2017</t>
  </si>
  <si>
    <t>[4]= Límite de 2019 + balance de 2018</t>
  </si>
  <si>
    <t>[5]= Límite de 2020 + balance de 2019</t>
  </si>
  <si>
    <t>[6]= Límite de 2021 + balance de 2020</t>
  </si>
  <si>
    <t>[7]= Límite de 2022 + balance de 2021</t>
  </si>
  <si>
    <t>[1]= Límite de 2017 + balance de 2016</t>
  </si>
  <si>
    <t>Limit 2023 +   2021 balance - 1,52% of the EU limit 2023 to be transferred to UK</t>
  </si>
  <si>
    <t xml:space="preserve">The underharvest of the EU in 2021 is of 2025,93 t, which is less than than the maximum allowed of 25% provided in Rec. 16-06. The EU is entitled to carry over 2025,93 t to 2023. Additionally, the EU will transfer to United Kingdom 1,52% of its initial catch limit in 2022.
</t>
  </si>
  <si>
    <t xml:space="preserve">The underharvest of the EU in 2021 is of 1862,1 t, which corresponds to more than 15% of its 2021 initial catch limit. In line with Rec. 17-02 the EU can carry over 1007.7 t to 2023 if current management arrangments are maintained. The adjusted limit for 2021 takes also into account the transfers to Canada (200 t in 2021 &amp;nd 250 t in 2022; from EU-Spain), and S. Pierre et Miquelon (40 t) as provided for in Rec 17-02. Additionally, the EU will transfer to United Kingdom 0,01% of the EU initial catch limit in 2022.
</t>
  </si>
  <si>
    <t>2022 limit + 0,15*2020 limit-40-250-0,01% 2022 limit</t>
  </si>
  <si>
    <t>ALBS</t>
  </si>
  <si>
    <t>JAPAN-S-ALB: 2022 adjusted limit = 1,355 t(Limit)+338.75t(2020 carry over(1355*25%) (para 4 of Rec. 16-07))</t>
  </si>
  <si>
    <t>JAPAN-S-SWO:Japan's 2022 adjusted limit  = 901t(Limit)+600.00t(2020 carry over(Para1(3) of Rec21-03))-50t(transfer to Namibia(Para5 of Rec.17-03))</t>
  </si>
  <si>
    <t>SWOS</t>
  </si>
  <si>
    <t>BFTE</t>
  </si>
  <si>
    <t>JAPAN-E-BFT: current catch for 2021 includes  0.68t of dead discard.</t>
  </si>
  <si>
    <t>JAPAN-E-BFT:Japan's 2022 adjusted limit = 2819.00t(Limit)(Para5 of Rec21-08)+96.65t(2021 carry over (Para7 of Rec 21-08))</t>
  </si>
  <si>
    <t>BFTW</t>
  </si>
  <si>
    <t>JAPAN-W-BFT: current catch for 2021 includes 0.00 t of dead discard.</t>
  </si>
  <si>
    <t>JAPAN-BIGEYE: current catch for 2021 includes  5.3t of dead discard.</t>
  </si>
  <si>
    <t>JAPAN-BUM:Japan's 2022 adjusted limit = 328.1t(Limit)(Para3 of Rec19-05)</t>
  </si>
  <si>
    <t>JAPAN-WHM・SPF:Japan's 2022 adjusted limit =35t(Limit)(Para3 of Rec19-05)</t>
  </si>
  <si>
    <t>JAPAN-N-BSH:Japan's 2020 adjusted limit = 4,010t(Para3 of Rec19-07)</t>
  </si>
  <si>
    <t>JAPAN-N-BSH:Japan's 2021 adjusted limit = 4,010t(Para3 of Rec19-07)</t>
  </si>
  <si>
    <t>242+(0.25*215)</t>
  </si>
  <si>
    <t>242+(0.25*242)</t>
  </si>
  <si>
    <t>The applied methodology is described in Recs. 19-02, 16-01, 2021-01.</t>
  </si>
  <si>
    <t>2022 adjusted quota is 323 t (=270+270*40%-35-20) due to the inclusion of 2020 underage and 2022 initial catch quota and the deduction of respective transfers of 35 t to Canada and 20 t to Morocco.</t>
  </si>
  <si>
    <t>2022 adjusted quota is 477.8 t (=459 + 18.8) due to the inclusion of 2021 underage and 2022 initial catch quota.</t>
  </si>
  <si>
    <t>2022 adjusted quota is 40 t (=90-50) due to the transfer of 50t to Korea.</t>
  </si>
  <si>
    <t>2022 adjusted quota is 126.2 t in accordance with para 3 c) of Rec. 19-05.</t>
  </si>
  <si>
    <t>2022 adjusted quota is 50 t in accordance with para 3 c) of Rec. 19-05.</t>
  </si>
  <si>
    <t>2022 adjusted limit: Egypt intends to transfer 259.62 ton from fishing vessel "Golovik" AT000EGY00020 to 2 authorized Moroccan Tuna traps</t>
  </si>
  <si>
    <t>2022: The 2021 underage is greater than the maximum amount that can be carried over to 2022 (&lt;= 40% of original catch limit); hence the amount carried over is 50 t (0.4*125).
Additionally, 75 t and 25 t were transferred to Belize and Morocco respectively; hence 100 is subtracted from the sum of the initial catch limit and the allowed carry over, to arrive at the final adjusted limit of 75 t.</t>
  </si>
  <si>
    <t>2018: The 2017 underage is greater than the maximum amount that can be carried over to 2018 (&lt;= 40% of original catch limit); hence the amount carried over is 50 t (0.4*125). Additionally, 75 t were transferred to Belize; hence 75 is subtracted from the sum of the initial catch limit and the allowed carry over, to arrive at the final adjusted limit of 100 t.</t>
  </si>
  <si>
    <t>7(A)=IQ2022+2t EU transfer provided by Rec. 19-05.</t>
  </si>
  <si>
    <t>6 (A)=IQ2021+Balance2020+2t EU transfer provided by Rec. 19-05.</t>
  </si>
  <si>
    <t>7 (A)=IQ2022+Balance2021</t>
  </si>
  <si>
    <t>Adjusted limit for 2022 = 711.5  + (.25)(711.5) = 889.38</t>
  </si>
  <si>
    <t>Adjusted limit for 2022 = 3907.0 + (0.15)(3907) = 4493.05 t</t>
  </si>
  <si>
    <t>Adjusted limit for 2022 = 1341.14 + (.1)(1272.86) = 1468.43 t****</t>
  </si>
  <si>
    <t>****reflects that 10% of the 2021 initial quota may be carried forward to 2022</t>
  </si>
  <si>
    <t>Belize is carrying forward 25% of its initial catch limit (60.5t) from its balance of 268.10t in 2021 to be used in 2023</t>
  </si>
  <si>
    <t>Limit + Underages</t>
  </si>
  <si>
    <t>Republic of Korea</t>
  </si>
  <si>
    <t>Flag</t>
  </si>
  <si>
    <t>2022**</t>
  </si>
  <si>
    <t>Korea carried forward its unused quota of 2021(10t) to 2022. Max 5% 2021 quota. Rec 21-08 Para 7</t>
  </si>
  <si>
    <t>200+50+10</t>
  </si>
  <si>
    <t>(1486*0.10)+984- 223</t>
  </si>
  <si>
    <t>(1000*0.10)+992 - 223</t>
  </si>
  <si>
    <t>Rec.21-01 Para 12: underage of an annual catch limit in 2020 shall be added to their 2022 annual catch limit, subject to 10% of initial quota restrictions</t>
  </si>
  <si>
    <t>=IQ2023+MAX. 0.25*IQ2021</t>
  </si>
  <si>
    <t>=IQ2022+MAX. 0.25*IQ2020</t>
  </si>
  <si>
    <t>=IQ2021+MAX. 0.20*IQ2019</t>
  </si>
  <si>
    <t>=IQ2022+MAX. 0.20*IQ2020</t>
  </si>
  <si>
    <t>IQ2021+53.75</t>
  </si>
  <si>
    <t>IQ2023+MAX 25% IQ2021</t>
  </si>
  <si>
    <t>IQ2022+53.75</t>
  </si>
  <si>
    <t>IQ2023+MAX 40% IQ2021</t>
  </si>
  <si>
    <t xml:space="preserve">The UK's quota for S.ATL SWO is 25t  for 2021. The UK's catches in 2021 were 0t, consequently the UK has a remaining balance of 25t. The UK is permitted to transfer a maximum of 20% of unused quota to 2023. When the 20% is applied to the IQ2021 and the quota for 2023 is added, the adjusted quota for 2023 is 30t. </t>
  </si>
  <si>
    <t xml:space="preserve">The EU transfer's 48.4t of Eastern Bluefin Tuna to the UK. The UK's catches in 2021 were 2.92t, consequently the UK has a remaining balance of 45.48t. The UK is permitted to transfer a maximum of 5% of unused quota to 2022. When the 5% is applied to the Initial quota for 2021 and the quota for 2022 is added, the adjusted quota for 2022 is 50.82t. </t>
  </si>
  <si>
    <t xml:space="preserve">The UK's quota for W.BFT for 2021 is 5.31. The UK carried over 5.31t of w.BFT quota from 2020. The UK's catches in 2021 were 0.71t which was taken off the carry over quota. As the 2021 catches were less then the carry over the UK had a remaining quota of 5.31t. The UK is permitted to transfer a maximum of 100% of 2021 Initial Quota to 2022. When the UK's carry over amount is combined with the UK's TAC for 2022 of 6.18t the figure for he adjusted quota for 2022 is 11.49t. </t>
  </si>
  <si>
    <t xml:space="preserve">2021: The EU transfers to the UK 434.04t of N.ALB quota for 2021 (circ. 4088/21). The UK OT's had previously carried over 53.75t. When combined the adjust quota for 2021 was 487.79 . </t>
  </si>
  <si>
    <t>(6)</t>
  </si>
  <si>
    <t>(6) Límite ajustado 2022 = Límite 2022 + Saldo 2021</t>
  </si>
  <si>
    <t xml:space="preserve">(1) Límite ajustado 2017 = Límite 2017 + Saldo 2016 </t>
  </si>
  <si>
    <t>=215+(MAX. 25% from 2020 quota= 13.27t)</t>
  </si>
  <si>
    <t>=215+(MAX. 25% from 2019 quota= 38.35t)</t>
  </si>
  <si>
    <t>le calcul du quota ajusté 2022 prend en compte le solde  MAX de 2021 (Limite 2021 * 0.2 = 417*0.2=83.4) auquel est ajouté la limite 2022 417 t) ce qui donne (83.4+417=500.4) t</t>
  </si>
  <si>
    <t>le calcul du quota ajusté 2021 prend en compte le solde  MAX de 2020 (Limite 2020 * 0.2 = 417*0.2=83.4) auquel est ajouté la limite 2021 417 t) ce qui donne (83.4+417=500.4) t</t>
  </si>
  <si>
    <t>2022: Initial Quota 2022 + CO from 2020 (25% 215t). When combined the adjust quota for 2022 was 496</t>
  </si>
  <si>
    <t>2023: The UK's catches in 2021 were 169.39. Consequently the UK has a remaining balance of 326.86t. The UK is allowed to carry over unused quota to 2023 at the max carry over rate of 25% of its IQ2021 (108.51). When the 25% is applied to the IQ2021 and the quota for 2023 is added, the adjusted quota for 2023 is 550.76</t>
  </si>
  <si>
    <t>2021: The EU transfers to the UK 0.67 quota for 2021 (circ. 4088/21). The UK OT's had previously carried over 15t (MAX. 40% IQ 2019). When combined the adjust quota for 2021 was 35+14+0.67</t>
  </si>
  <si>
    <t>IQ2021+MAX 40% IQ2019+ EU Transfer</t>
  </si>
  <si>
    <t>IQ2022+MAX 40% IQ2020+ EU Transfer</t>
  </si>
  <si>
    <t>2023:  The UK OT's had previously carried over 15t (MAX. 40% IQ 2021). When combined the adjust quota for 2023 is 35+14</t>
  </si>
  <si>
    <t>2022: The EU transfers to the UK 0.67 quota for 2022 (Rec. 21-02 Para 1). The UK OT's had previously carried over 15t (MAX. 40% IQ 2020). When combined the adjust quota for 2021 was 35+14+0.67</t>
  </si>
  <si>
    <t>EGYPT</t>
  </si>
  <si>
    <t>JAPAN-N-ALB:Japan's 2021 adjusted limit = BET 2021 catch * 4.5% (Para8 of Rec21-04)</t>
  </si>
  <si>
    <t>Japan´s 2022 adjusted limit = 842 t(Limit)+1400.81 t(2021 carry over(para 1C of Rec.21-02))-150 t(transfer to Morocco(para 1A) of Rec. 21-02)-35 t(transfer to Canada(para 1A of Rec. 21-02))-25 t(transfer to Mauritania(para 1A of Rec. 21-02)).</t>
  </si>
  <si>
    <t>JAPAN-BIGEYE:Japan's 2022 adjusted limit = 13868.00(Para 4 of Rec.21-01)+1397.9(2020 carry over(13979.84*10%)(Para12 of Rec21-01)-600(transfer to China (Footnote2 of Para.8  of Rec.21-01))-300(transfer to Europian Union (Footnote 2 of Para.8 of Rec.21-01))</t>
  </si>
  <si>
    <t>Limit 2023 + 25%  2021 limit</t>
  </si>
  <si>
    <t>The underharvest of the EU in 2021 was of 1766.56 t.  In line with Rec 16-07, the EU is entitled to carry over  367,5 t to 2023, corresponding to 25% of its initial quota for 2021.</t>
  </si>
  <si>
    <t>=9400+1699+85</t>
  </si>
  <si>
    <t>2022 adjusted quota is 11244.00 t (=9400+1699) due to the inclusion of 2020 underage and 2021 initial catch quota + 85t (Rec. 16-07 Para 4b) as complement from total underage from the TAC, where 85t  is what is left from the total underage from the TAC from 2020, minus the underages to be used by those CPCs wishing to do so</t>
  </si>
  <si>
    <t>IQ2022 + 2020 balance</t>
  </si>
  <si>
    <t>IQ2023 + 2021 balance</t>
  </si>
  <si>
    <t xml:space="preserve">De las 25.00 t de atún blanco del Atlántico Sur asignadas a Panamá para 2020, hubo una captura de 31.34 t, dando como resultado un excedente de 6.34t. El excedente fue saldado en 2021, ya que de las 25.00t asignadas para 2021, solo hubo una captura de 17.22t quedando un remanente preliminar para 2021 de 7.78t de las cuales se dedujo el excedente de 6.34t de 2020, quedando 2021 con un remanente de 1.44t. </t>
  </si>
  <si>
    <t>2011=95t+42t (No transfer to Canada for 2011)</t>
  </si>
  <si>
    <t>2012=95t+36.5t -86.50t ( transfer to CAN from 2012 quota) por Rec. 10-03</t>
  </si>
  <si>
    <t>2013=95t+52.90t (No transfer to Canada for 2013) por Rec.12-02</t>
  </si>
  <si>
    <t>2014=95t+95t-86.5t (transfer to Canada for 2014) por Rec. 13-09</t>
  </si>
  <si>
    <t>2015=108.98+52.50-86.50 (transfer to Canada for 2015) por Rec. 14-05</t>
  </si>
  <si>
    <t>2016=108.98+21.98-51.98 (transfer to Canada) por Rec. 14-05</t>
  </si>
  <si>
    <t>2017=108.98+23.98-55.98(transfer to Canada) por Rec. 16-08</t>
  </si>
  <si>
    <t>2018=128.44+42.98-73.98 (transfer to Canada) por Rec. 17-06</t>
  </si>
  <si>
    <t>2019=128.44+17.44-60.44 (transfer to Canada) por Rec. 17-06</t>
  </si>
  <si>
    <t>2020= 128.44+46.44-79.44 (transfer to Canada) por Rec. 17-06</t>
  </si>
  <si>
    <t>2021= 128.44+67.44-transfer to Canada (100.44t) por Rec. 20-06</t>
  </si>
  <si>
    <t>2018 = Initial allocation +Mexican transfer (73.98) + underharvest from 2017 (MAX 10% IQ 2017)</t>
  </si>
  <si>
    <t>2019 = Initial allocation +Mexican transfer (60.44) + SPM transfer (9.62)+ underharvest from 2018 (53.06 = 10% of 2018 initial)</t>
  </si>
  <si>
    <t>2020 = Initial allocation +Mexican transfer (79.44) + SPM transfer (4.78)+ underharvest from 2019 (20.84)</t>
  </si>
  <si>
    <t>2021 = Initial allocation +Mexican transfer (100.44) + SPM transfer (4.78) + underharvest from 2020 (44.05)</t>
  </si>
  <si>
    <r>
      <rPr>
        <vertAlign val="superscript"/>
        <sz val="10"/>
        <rFont val="Cambria"/>
        <family val="1"/>
      </rPr>
      <t>1</t>
    </r>
    <r>
      <rPr>
        <sz val="10"/>
        <rFont val="Cambria"/>
        <family val="1"/>
      </rPr>
      <t xml:space="preserve"> Transfer from Japan</t>
    </r>
  </si>
  <si>
    <t>13.97+170</t>
  </si>
  <si>
    <t xml:space="preserve">The UK's quota for S.ATL ALB is 100t  for 2021. The UK's catches in 2021 were 0, consequently the UK has a remaining balance of 100t. The UK is allowed to carry over unused quota to 2023 at the max carry over rate of 25% of its year´s Initial Quota. When the 25% is applied to the IQ and the quota for 2023 is added the adjusted quota for 2023 is 145t. </t>
  </si>
  <si>
    <t>7 (A) = Limit 2022 + Carry over from Balance 2020 MAX. 10%3968.23 (396.82) Rec. 21-01 Para 12</t>
  </si>
  <si>
    <t>2020 catch limit for Ghana has been corrected from 3716.00 to 3968.23 as the former one was reported by Ghana applying a payback condoned in Rec. 18-01 para 2</t>
  </si>
  <si>
    <t>Quota ajustée 2020: 265 tonnes  = quota initial alloué au Maroc 2020 (215 t) + 50 tonnes ( reliquat= 25% du quota initial (200)). Recommandation ICCAT 17-04</t>
  </si>
  <si>
    <t>Quota ajustée 2021: 295,75 tonnes  = quota initial alloué au Maroc 2021 (242 t) + 53,75 tonnes ( reliquat= 25% du quota initial 2019 (215 tonnes) ). Rec ICCAT 17-04, 20-04</t>
  </si>
  <si>
    <t>Quota ajustée 2022: 295,75 tonnes  = quota initial alloué au Maroc 2022 (242 t) + 53,75 tonnes ( reliquat= 25% du quota initial 2020 (215 tonnes) ). Rec ICCAT 17-04, 20-04</t>
  </si>
  <si>
    <t>Quota ajustée 2023: 302,50 tonnes  = quota initial alloué au Maroc 2023 (242 t) + 60,50 tonnes ( reliquat= 25% du quota initial 2021 (242 tonnes) ). Rec ICCAT 21-04</t>
  </si>
  <si>
    <t>Quota ajustée 2018 : 900 tonnes = 950 (quota initial 850+100 tranféré du japon) - 50 de surconsommation de 2016</t>
  </si>
  <si>
    <t>Quota ajustée 2019: 1000 tonnes = quota initial alloué au Maroc 2019 (850t)+ 100t (transférées par le Japon au Maroc) + 50 de sousconsommation de 2017</t>
  </si>
  <si>
    <t>Quota ajustée 2020: 995 tonnes = quota initial alloué au Maroc 2020 (850t) + 150t (transférées par le Japon au Maroc)+20t (transférée par le Taipei Chinois)+ 25t (transférée par le Trinité-et-Tobago) - 50 de surconsommation de 2018</t>
  </si>
  <si>
    <t>Quota ajustée 2021: 1095 tonnes = quota initial alloué au Maroc 2020 (850t) + 150t (transférées par le Japon au Maroc)+20t (transférée par le Taipei Chinois)+ 25t (transférée par le Trinité-et-Tobago) + 50 de sousconsommation de 2019</t>
  </si>
  <si>
    <t>Quota ajusté 2022: 1104,18 tonnes = quota initial alloué au Maroc (850t)+ 150t (transférées par le Japon au Maroc)+20t (transférée par le Taipei Chinois)+ 25t (transférée par le Trinité-et-Tobago) + 59,18 (15% du quota initail) de sousconsommation de 2020</t>
  </si>
  <si>
    <t>Quota ajusté 2023:  1172,50 tonnes = quota initial alloué au Maroc (850t) + 127,50 (15% du quota initail) de sousconsommation de 2021+ 150t (transférées par le Japon au Maroc)+20t (transférée par le Taipei Chinois)+ 25t (transférée par le Trinité-et-Tobago) . Rec ICCAT 21-02</t>
  </si>
  <si>
    <t>Quota ajustée 2023: 3703 tonnes = quota initial alloué au Maroc 2023 (3700 t) + 3 tonnes (reliquat de l'année 2022) Rec. 22-08</t>
  </si>
  <si>
    <t>Quota ajustée 2020: 3488.62 = quota initial alloué au Maroc 2020 (3284 t) + 204.62 t (transféré par l'Egypte au Maroc). Recommandation ICCAT 19-04</t>
  </si>
  <si>
    <t>Quota ajustée 2021: 3318,91 tonnes = quota initial alloué au Maroc 2020 (3284 t) + 34,91 tonnes (reliquat de l'année 2020). Rec. 20-07</t>
  </si>
  <si>
    <t>Quota ajustée 2022: 3568,27 tonnes = quota initial alloué au Maroc 2020 (3284 t) + 24,65 tonnes (reliquat de l'année 2021) transfert de l'Egypte (259,62 tonnes) Rec. 21-08</t>
  </si>
  <si>
    <t>Quota ajustée 2024: -02 tonnes = quota initial alloué au Maroc 2021 (10t) -12 tonnes (surconsommation). Recommandation ICCAT 19-05/para 3 amendant la Rec 15-05</t>
  </si>
  <si>
    <t>Quota ajustée 2020: -42 tonnes = quota initial alloué au Maroc 2020 (10t) - 52 t (surconsommation). Recommandation ICCAT 19-05/para 3 amendant la Rec 15-05</t>
  </si>
  <si>
    <t>Quota ajustée 2021: -32 tonnes = quota initial alloué au Maroc 2021 (10t) - 42 tonnes (surconsommation). Recommandation ICCAT 19-05/para 3 amendant la Rec 15-05</t>
  </si>
  <si>
    <t>Quota ajustée 2022: -22 tonnes = quota initial alloué au Maroc 2022 (10t) - 32 tonnes (surconsommation). Recommandation ICCAT 19-05/para 3 amendant la Rec 15-05</t>
  </si>
  <si>
    <t>Quota ajustée 2023: -12 tonnes = quota initial alloué au Maroc 2023 (10t) -22 tonnes (surconsommation). Recommandation ICCAT 19-05/para 3 amendant la Rec 15-05</t>
  </si>
  <si>
    <t>ALBANIA</t>
  </si>
  <si>
    <t>Q2022+5%Q2021=170+0.05*170</t>
  </si>
  <si>
    <t>2022: Current catches for the year 2021 were 148.4 ton (underharvest) and we used the total amount of 5% of the quota of previues year (8.5 t). 1t dedicated to bycacth aacording to Albania´s 2022 BFTE Fishing plan</t>
  </si>
  <si>
    <t>IQ2019+25%Q2017</t>
  </si>
  <si>
    <t>IQ2020+25%Q2018</t>
  </si>
  <si>
    <t>IQ2021+25%Q2019</t>
  </si>
  <si>
    <t>IQ2022+25%Q2020</t>
  </si>
  <si>
    <t>IQ2023+25%Q2021</t>
  </si>
  <si>
    <t>*Belize is carrying forward 25% of its initial balance (62.5 t) from its balance of 281.66 in 2021 to be used in 2023</t>
  </si>
  <si>
    <t>*Belize is carrying forward 40% of its initial limit (52 t) from its initial balance of 163 t in 2021 to be used in 2023. Transfer of 75 t from Trinidad and Tobago to Belize</t>
  </si>
  <si>
    <t>*Belize is carrying forward 40% of its initial limit (52 t) from its initial balance of 187.26 t in 2022 to be used in 2024. Transfer of 75 t from Trinidad and Tobago to Belize</t>
  </si>
  <si>
    <t>2023 = Initial allocation + transfers (from Senegal 125t, Japan 35t, Chinese Taipe 35t, and the EU 327t) + underage from 2021 (202.2t - max. carry forward)</t>
  </si>
  <si>
    <t>2022 = Initial allocation + Mexican transfer (60) + SPM transfer (4.78) + underharvest from 2021 (51.33)</t>
  </si>
  <si>
    <t>Adjusted limited for 2023=242(initial quota)+4.43(carryover 2021)=246.43</t>
  </si>
  <si>
    <t>Adjusted limit for 2023=initial quota(240)+200*25%(not exceeding the balance of 2021)=290</t>
  </si>
  <si>
    <t>Adjusted limit for 2023=initial quota(100)+available balance of 2021 (100*15%=15t)=115t</t>
  </si>
  <si>
    <t>Adjusted limit for 2023=initial quota(313)+313*10%(carryover 2021)= 344.3</t>
  </si>
  <si>
    <t>Adjusted limite for 2023=initial quota(4426.38)+4390.69*10%+600 ton transfer from Japan=5465.45</t>
  </si>
  <si>
    <t>According to Rec. 19-05 Para 3c): “Starting with 2020 catches, any underharvest by a CPC of its annual landings limit may not be carried forward to a subsequent year.”</t>
  </si>
  <si>
    <t>2023 adjusted quota is 5321.13 t (=4416.9+4416.9*0.25-200)  due to the inclusion of 2021 underage and 2023 initial catch quota and the deduction of transfers of 200 t to Belize.</t>
  </si>
  <si>
    <t>=4416.9+4416.9*0.25-200</t>
  </si>
  <si>
    <t xml:space="preserve">2023 adjusted quota is 323 t (=270+270*40%-35-20) due to the inclusion of 2021 underage and 2023 initial catch quota and the deduction of respective transfers of 35 t to Canada and 20 t to Morocco. </t>
  </si>
  <si>
    <t>=459+459*10%</t>
  </si>
  <si>
    <t>2023 adjusted quota is 504.9 t (=459 + 459*10%) due to the inclusion of 2022 underage and 2023 initial catch quota.</t>
  </si>
  <si>
    <t>=101-50</t>
  </si>
  <si>
    <t>2023 adjusted quota is 51 t (=101-50) due to the transfer of 50t to Korea.</t>
  </si>
  <si>
    <t>Límite ajustado para 2023 = 242 + 60,5 = 302,50 t</t>
  </si>
  <si>
    <t>[8]</t>
  </si>
  <si>
    <t>[8]= Límite de 2023 + balance de 2022</t>
  </si>
  <si>
    <t xml:space="preserve">** Durante los años anteriores a 2020, El Salvador no estaba sujeto a límite (Rec. 16-01, Par 34.a), sino a una expectativa de pesca, por ello No Aplica los límites, limites ajustados ni saldos. Para el año 2020 (Rec. 19-02) se reconoce un límite.																										</t>
  </si>
  <si>
    <t>* De acuerdo a la Rec. 19-02 Para 3 el TAC de BET se reduce de 62500t en 2020 a 61500t en 2021, esto representa una disminución del 1.6%. La Secretaría ha aplicado esta reducción a todas las cuotas/límites de captura/umbrales calculados para 2020 con el fin de obtener los valores proporcionales para 2021.</t>
  </si>
  <si>
    <t>2022(***)</t>
  </si>
  <si>
    <t>*** De conformidad con el párrafo 3 de la Rec. 21-01 el TAC de patudo se reduce, pasando de 62.500 t en 2020 a 62.000 t en 2022, esto representa una disminución del 0.8 %. La Secretaría ha aplicado esta reducción a todas las cuotas/límites de captura calculados para 2020 con el fin de obtener los valores proporcionales para 2022.</t>
  </si>
  <si>
    <t>=215+(MAX. 25% from 2021 quota= 13.27t)</t>
  </si>
  <si>
    <t>The applied methodology is described in Recs. 13-06, 16-07, 20-05, 21-05, 22-06</t>
  </si>
  <si>
    <t>The applied methodology is described in Recs. 16-03, 17-02, 19-03, 20-02, 21-02, 22-03</t>
  </si>
  <si>
    <t>2 : limite 2015 + 25% quota de capture initial 2014 (REC 11-04 et REC 13-05)</t>
  </si>
  <si>
    <t>3 : limite 2016 + 25% quota de capture initial 2015 (REC 13-05)</t>
  </si>
  <si>
    <t>4 : limite 2017 + 25% quota de capture initial 2016 (REC 13-05 et REC 16-06)</t>
  </si>
  <si>
    <t>5 : limite 2018 + 25% quota de capture initial 2017 (REC 16-06 et REC 17-04)</t>
  </si>
  <si>
    <t>6 : limite 2019 + 25% quota de capture initial 2018 (REC 16-06 et REC 17-04)</t>
  </si>
  <si>
    <t>7 : limite 2020 + 25% quota de capture initial 2019 (REC 16-06 et REC 17-04)</t>
  </si>
  <si>
    <t>8 : limite 2021 + 25% quota de capture initial 2020 (REC 20-03)</t>
  </si>
  <si>
    <t>9 : limite 2022 + 25% quota de capture initial 2021 (REC 20-03)</t>
  </si>
  <si>
    <t>10 : limite 2023 + 25% quota de capture initial 2022 (REC 20-03)</t>
  </si>
  <si>
    <t>9:  limite 2023+ 100% allocation de quota initiale (MAX Solde 2022=3.46) - CAN transfer (5.18t)  = 6.18+3.46-5.18= 4.46</t>
  </si>
  <si>
    <t>242+(242*0.25)</t>
  </si>
  <si>
    <t>2022= 149.34+33.44-transfer to Canada (60t) por Rec. 21-07</t>
  </si>
  <si>
    <t>JAPAN-N-ALB:Japan's 2022 adjusted limit = BET 2022 catch * 4.5% (Para8 of Rec21-04)</t>
  </si>
  <si>
    <t>JAPAN-S-ALB: 2023 adjusted limit = 1,630t(Limit)+206.15t(2021 carry over (para 4 of Rec. 22-06))+100(transfer from Brazil (para 3 of Rec. 22-06))+100(transfer from Uruguay(para 3 of Rec. 22-06))+100(transfer from South Africa (para 3 of Rec. 22-06))</t>
  </si>
  <si>
    <t>JAPAN-S-SWO:Japan's 2023 adjusted limit  = 901t(Limit)+600.00t(2021 carry over(Para1(2) of Rec22-04))-50t(transfer to Namibia(Para5 of Rec.17-03))</t>
  </si>
  <si>
    <t>JAPAN-E-BFT:Japan's 2023 adjusted limit = 3114.00t(Limit)(Para4 of Rec22-08)+44.4t(2022 carry over (Para6 of Rec 22-08))</t>
  </si>
  <si>
    <t>JAPAN-W-BFT:Japan's 2022 adjusted limit = 664.52t(Limit)+0.73t(2021 carry over(Para7a of Rec17-06 )</t>
  </si>
  <si>
    <t>JAPAN-W-BFT:Japan's 2023 adjusted limit = 664.52t(Limit)+7.45t(2022 carry over(Para6a of Rec22-10 )</t>
  </si>
  <si>
    <t>JAPAN-BIGEYE:Japan's 2023 adjusted limit = 13868.00(Para 4 of Rec.21-01)+1375.61 (2021 carry over(13756.16*10%)(Para12 of Rec21-01)-600(transfer to China (Footnote2 of Para.8  of Rec.22-01))-300(transfer to Europian Union (Footnote 2 of Para.8 of Rec.22-01))</t>
  </si>
  <si>
    <t>JAPAN-BUM:Japan's 2023 adjusted limit = 328.1t(Limit)(Para2 of Rec19-05)</t>
  </si>
  <si>
    <t>JAPAN-WHM・SPF:Japan's 2023 adjusted limit =35t(Limit)(Para2 of Rec19-05)</t>
  </si>
  <si>
    <t>JAPAN-N-BSH: current catch for 2021 includes  21.9t of dead discard.</t>
  </si>
  <si>
    <t>JAPAN-N-BSH:Japan's 2022 adjusted limit = 4,010t(Para1 of Rec21-10)</t>
  </si>
  <si>
    <t>JAPAN-N-BSH:Japan's 2023 adjusted limit = 4,010t(Para1 of Rec21-10)</t>
  </si>
  <si>
    <t>* Adjusted limit 2023 = initial limit 2023 (5280) + available balance 2021(not to exceed 25% of initial quota) (674.61) -100t transferred to JPN</t>
  </si>
  <si>
    <t>URUGUAY</t>
  </si>
  <si>
    <t>* Adjusted limit 2023 = initial limit 2023 (530) + available balance 2021(not to exceed 25% of initial quota) (110) - 100t transferred to JPN</t>
  </si>
  <si>
    <t>2023: IQ2023 + 25% MAX2020 - 100t transferred to JPN</t>
  </si>
  <si>
    <t>2600+(0.25*2160)-100</t>
  </si>
  <si>
    <t>(242*0.25)+242</t>
  </si>
  <si>
    <t>2023**</t>
  </si>
  <si>
    <t>**Underage up to 20% of the initial catch quota has been carried over biennially Rec.17-03. Quota calculated from 2018 to 2022</t>
  </si>
  <si>
    <t>Rec.22-04 the maximum underage that a party may carryover in any given year shall not exceed 10%of the quota of the previous year.</t>
  </si>
  <si>
    <t>50+(50*0.1)</t>
  </si>
  <si>
    <t>Rec 22-08 para 4 : Depending on availability, Chinese Taipai may transfer up to 50t of its quota to Korea in 2023 to 2025.</t>
  </si>
  <si>
    <t>Korea carried forward its unused quota of 2022(7.72t) to 2023 which is under 5% of 2022 quota (Rec 22-08 Para 6)</t>
  </si>
  <si>
    <t>200+50+7.72</t>
  </si>
  <si>
    <t>Rec.22-01 para12:underage of an annual catch limit in 2021 shall be added to their 2023 annual catch limit, subject to 10% of initial quota restrictions</t>
    <phoneticPr fontId="7" type="noConversion"/>
  </si>
  <si>
    <t>* Information and explanation regarding Korea`s 2023 catch limit are available in Document PA1_11 and PA1_35, submitted for the March PA1 meeting in 2023.</t>
    <phoneticPr fontId="7" type="noConversion"/>
  </si>
  <si>
    <t>(984*0.10)+992 - 223</t>
  </si>
  <si>
    <t>From 2016 to 2023, USA has transferred 50t to Namibia in accordance with Rec. 16-04/17-03.</t>
  </si>
  <si>
    <t>Underage up to 10% of the initial catch quota has been carried over biennially Rec.22-04. Quota calculated from 2023 on</t>
  </si>
  <si>
    <t>=3600+25%3600</t>
  </si>
  <si>
    <t>=4320+25%3600</t>
  </si>
  <si>
    <t>2023*</t>
  </si>
  <si>
    <t>2024*</t>
  </si>
  <si>
    <t>2025*</t>
  </si>
  <si>
    <t>*Rec 22.06 para 5: Overharvest in 2022 deducted in 2024 and no underages can be carried over from 2023 to 2025</t>
  </si>
  <si>
    <t>=4320 - overharvest 2022</t>
  </si>
  <si>
    <t>no carry over from 2023 due to overharvest 2022</t>
  </si>
  <si>
    <t>Limite ajustee 2022 = Limite 2022 + max. Solde (Limite 2021*0.4) -transfert Canada (125 t+25 t) = 250 + (250 * 0.4) -150= 200 t</t>
  </si>
  <si>
    <t>Limite ajustee 2023 = Limite 2023 + max. Solde (Limite 2022*0.4) -transfert Canada (125 t) = 250 + (250 * 0.4) -125= 200 t</t>
  </si>
  <si>
    <t>le calcul du quota ajusté 2023 prend en compte le solde  MAX de 2022 (Limite 2022 * 0.1 = 417*0.1=41.7) auquel est ajouté la limite 2023 417 t) ce qui donne (41.7+417=458.7) t</t>
  </si>
  <si>
    <t>2023: The 2022 underage is greater than the maximum amount that can be carried over to 2023 (&lt;= 40% of original catch limit); hence the amount carried over is 50 t (0.4*125).
Additionally, 75 t and 25 t were transferred to Belize and Morocco respectively; hence 100 is subtracted from the sum of the initial catch limit and the allowed carry over, to arrive at the final adjusted limit of 75 t.</t>
  </si>
  <si>
    <t>8(A)=IQ2023+2t EU transfer provided by Rec. 19-05.</t>
  </si>
  <si>
    <t>Pour l'année 2023 le quota ajusté est de 3020  ( le quota initial 3000T+quota non consommé  des prises accessoires 2022 (20T)</t>
  </si>
  <si>
    <t>(7)</t>
  </si>
  <si>
    <t>(7) Límite ajustado 2023 = Límite 2023 + Saldo 2022</t>
  </si>
  <si>
    <t>IQ2024+MAX 25% IQ2022</t>
  </si>
  <si>
    <t>IQ2024+MAX 40% IQ2022</t>
  </si>
  <si>
    <t>IQ2022+Max5%IQ2021</t>
  </si>
  <si>
    <t>IQ2023+Max5%IQ2022</t>
  </si>
  <si>
    <t>IQ2024+Max5%IQ2023</t>
  </si>
  <si>
    <t xml:space="preserve">2023: The UK's IQ in 2023 is 63t. The UK's catches in 2022 were 4.61t,. The UK wants to carry over 5% of 2022 quota to 2023. Thus the UK's adjusted limit in 2023 is 65.42t. </t>
  </si>
  <si>
    <t>IQ2022+MAX100%IQ2021</t>
  </si>
  <si>
    <t>IQ2023+MAX100%IQ2022</t>
  </si>
  <si>
    <t>IQ2024+MAX100%IQ2023</t>
  </si>
  <si>
    <t xml:space="preserve">2023: The UK's quota for W.BFT for 2023 is 6.18. The UK's catches in 2022 were 0.t . The UK is permitted to transfer a maximum of 100% of 2022 Initial Quota to 2023. When the UK's carry over amount is combined with the UK's TAC for 2023. The adjusted quota for 2023 is 12.36t. </t>
  </si>
  <si>
    <t>TÜRKIYE</t>
  </si>
  <si>
    <t>ALBMed</t>
  </si>
  <si>
    <t>(*)</t>
  </si>
  <si>
    <t>(*) Türkiye transfers to EU 75 t in 2023, 75 t in 2024 and for the following years, any part of the ünüsed qüota üp to maximüm of 75 t.</t>
  </si>
  <si>
    <t>Adjusted limit for 2023 = 711.5  + (.25)(711.5) = 889.38</t>
  </si>
  <si>
    <t>Adjusted limit for 2023 = 3907.0 + (0.15)(3907) = 4493.05 t</t>
  </si>
  <si>
    <t>Adjusted limit for 2023 = 100.0 - (100 t (Namibia (50 t), Cote d'Ivoire (25 t), Belize (25 t)) + 100.0</t>
  </si>
  <si>
    <t>Adjusted limit for 2023 = 1341.14 + 106.54 = 1447.68 t****</t>
  </si>
  <si>
    <t>Initial quota/catch limit includes 25 t allocation for by-catch, as per Rec. 16-08 para 6a, Rec. 17-06 para 6a, Rec. 20-06 Para 1(4), Rec. 21-07 Para 1(D), and Rec. 22-10 para 5a.</t>
  </si>
  <si>
    <t>=10340+1005</t>
  </si>
  <si>
    <t>2023 adjusted quota is 11345.00 t (=10340+1005) due to the inclusion of 2021 underage and 2023 initial catch quota + 0 t (Rec. 22-06 Para 4b) as complement from total underage from the TAC</t>
  </si>
  <si>
    <t xml:space="preserve">In 2020 the underharvest for the EU was of 325,97 t, which is less than the maximum allowed 5% provided in Rec 19-04. Therefore, the EU is entitled to carry over  325,97 t to 2021. </t>
  </si>
  <si>
    <t>Limit 2021 + MAX5% 2020 (325.97) - 48.40 to UK</t>
  </si>
  <si>
    <t>Limit 2022 + MAX5% 2021 (573.90) - 48.40 to UK</t>
  </si>
  <si>
    <t>In Addition, the EU will transfer to United Kingdom 0,25% of its initial quota (corresponding to 19360 t) in 2021 and 2022. (48.40t)</t>
  </si>
  <si>
    <t xml:space="preserve">In 2021 the underharvest for the EU was of 573.90 t, which is less than the maximum allowed 5% provided in Rec 19-04. Therefore, the EU is entitled to carry over  573.90 t to 2022 if the current management arrangments are maintained. In Addition, the EU will transfer to United Kingdom 48,40t in 2022. </t>
  </si>
  <si>
    <t>Limit 2023+limit 2021*0,10</t>
  </si>
  <si>
    <t>In 2021 the underharvest for the EU was of 548,06 t, which is greater than the maximum allowed 10% provided in Rec 22-04. Therefore, the EU is entitled to carry over  482.4 t to 2023</t>
  </si>
  <si>
    <t>Limit 2023 +  10% Limit 2021</t>
  </si>
  <si>
    <t>2023 Limit - 2t</t>
  </si>
  <si>
    <t>50 + Balance 2020</t>
  </si>
  <si>
    <t>50 + Balance 2021</t>
  </si>
  <si>
    <t xml:space="preserve">
**Underage up to 40% of the initial catch quota has been carried over biennially Rec.17-02. Quota calculated from 2018 on</t>
  </si>
  <si>
    <t>2023 = Initial allocation + SPM transfer (5.18) + underharvest from 2022 (39.59) + Mexican transfer (60t)</t>
  </si>
  <si>
    <t>2023= 149.34+62.78-transfer to Canada (60t) por Rec. 22-10</t>
  </si>
  <si>
    <t>JAPAN-BUM:Japan's 2024 adjusted limit = 328.1t - overharvest 2022</t>
  </si>
  <si>
    <t>= 140 + MAX 25% IQ 2020</t>
  </si>
  <si>
    <t>= 170 + MAX 25% IQ 2021</t>
  </si>
  <si>
    <t>[2]= Límite de 2018 + balance de 2017</t>
  </si>
  <si>
    <t>[3]= Límite de 2019 + balance de 2018</t>
  </si>
  <si>
    <t>[4]= Límite de 2020 + balance de 2019</t>
  </si>
  <si>
    <t>[5]= Límite de 2021 + BALANCE de 2020</t>
  </si>
  <si>
    <t>[6] = 2022 limit + 125% 2021 Balance</t>
  </si>
  <si>
    <t>[7] = 2023 limit + 125% 2022 Balance</t>
  </si>
  <si>
    <t>SAO TOMÉ AND PRÍNCIPE</t>
  </si>
  <si>
    <t>[2] = 2018 limit + MAX 20% 2017 Balance</t>
  </si>
  <si>
    <t>[3] = 2019 limit + MAX 20% 2018 Balance</t>
  </si>
  <si>
    <t>[1] = 2017 limit + MAX 20% 2016 Balance</t>
  </si>
  <si>
    <t>[4] = 2020 limit + MAX 20% 2019 Balance</t>
  </si>
  <si>
    <t>[5] = 2021 limit</t>
  </si>
  <si>
    <t>(6) Límite ajustado 2022 = Límite 2022 + 125% Saldo 2021</t>
  </si>
  <si>
    <t>(7) Límite ajustado 2023 = Límite 2023 + 125% Saldo 2022</t>
  </si>
  <si>
    <t>* Adjusted limit 2022 = initial limit 2022 (4400) + available balance 2020(not to exceed 25% of initial quota) (874.08) - ZAF will invoke para 4f of the ICCAT Rec. 16-07, supplemented by ICCAT Rec. 21-05 to cover the over shooting of its catch limits (URY: 52.95  BRA: 259.96t)</t>
  </si>
  <si>
    <t>* Adjusted limit 2022 = initial limit 2022 (440) + available balance 2020(not to exceed 25% of initial quota) (110) - 52.95t [ZAF will invoke para 4f of the ICCAT Rec. 16-07, supplemented by ICCAT Rec. 21-05 to cover the over shooting of its catch limits (URY: 52.95  BRA: 259.96t]</t>
  </si>
  <si>
    <t>2022: IQ2022 + 25% MAX2020 - 129.95t [South Africa will invoke para 4f of the ICCAT Rec. 16-07, supplemented by ICCAT Rec. 21-05 to cover the over shooting of its catch limits (URY: 52.95  BRA: 259.96t)]</t>
  </si>
  <si>
    <t>2160+(0.25*2160)-259.96</t>
  </si>
  <si>
    <t>IQ(2015)+BALANCE(2013)</t>
  </si>
  <si>
    <t>IQ(2016)+BALANCE(2014)</t>
  </si>
  <si>
    <t>IQ(2017)+BALANCE(2015)</t>
  </si>
  <si>
    <t>IQ(2018)+BALANCE(2016)</t>
  </si>
  <si>
    <t>IQ(2019)+BALANCE(2017)</t>
  </si>
  <si>
    <t>IQ(2020)+BALANCE(2018)</t>
  </si>
  <si>
    <t>IQ(2021)+BALANCE(2019)</t>
  </si>
  <si>
    <t>IQ(2022)+125% BALANCE(2020)</t>
  </si>
  <si>
    <t>IQ(2023)+125% BALANCE(2021)</t>
  </si>
  <si>
    <t>IQ(2015)+ MAX 20% INITIAL QUOTA(2013)</t>
  </si>
  <si>
    <t>IQ(2016)+ MAX 20% INITIAL QUOTA(2014)</t>
  </si>
  <si>
    <t>IQ(2017)+MAX 20% INITIAL QUOTA(2015)</t>
  </si>
  <si>
    <t>*Belize is carrying forward 25% of its initial balance (62.5 t) from its balance of 299.76 in 2022 to be used in 2024.   As total 2022 underage is only 153.83t, pro rata carry over is 3.72t</t>
  </si>
  <si>
    <t>Adjusted limit for 2024=initial quota(240) +  2.98. As total 2022 underage is only 153.83t, pro rata carry over is 2.98t</t>
  </si>
  <si>
    <t>=10340+139.98</t>
  </si>
  <si>
    <t>=120+1.49</t>
  </si>
  <si>
    <t>2024 adjusted quota is 120+1.49 due to the inclusion of 2022 underage and 2024 initial catch quota.  As total 2022 underage is only 153.83t, pro rata carry over is 1.49</t>
  </si>
  <si>
    <t xml:space="preserve"> As total 2022 underage is only 153.83t, pro rata carry over is 2.08t</t>
  </si>
  <si>
    <t>= 170 + 2.08</t>
  </si>
  <si>
    <t>=IQ2024+1.49</t>
  </si>
  <si>
    <t>2024: The UK's balance for 2022 was 125t,  As total 2022 underage is only 153.83t, pro rata carry over is 1.49t</t>
  </si>
  <si>
    <t>(1) Actual catch amount made by Türkiye in 2022 correspond to 2294.85 t (out of 2305 t). 10.15 t of underharvest from the year 2022 is to be carried-over. Adjusted quota for 2023 = 2600 t (Quota) +10.15 t (carried-over amount) + (440.79+67.08) from EGY + 128 from SYR = 3246.02</t>
  </si>
  <si>
    <t>(1) Curacao agreed on a payback plan for blue marlin of 2.5 tons per year from 2022 on. First year 2.53t. (Approved)</t>
  </si>
  <si>
    <t>*Senegal agreed on a payback plan for 2020 bigeye overharvest of 1377.77 t: 137.77 tons per year from 2023 to 2032 on. (Approved)</t>
  </si>
  <si>
    <t>IQ2024- 355.34</t>
  </si>
  <si>
    <r>
      <t>Data obtained from Task 1 whenever no data was reported in the Compliance Tables are shown in</t>
    </r>
    <r>
      <rPr>
        <sz val="11"/>
        <rFont val="Cambria"/>
        <family val="1"/>
      </rPr>
      <t xml:space="preserve"> </t>
    </r>
    <r>
      <rPr>
        <b/>
        <sz val="11"/>
        <rFont val="Cambria"/>
        <family val="1"/>
      </rPr>
      <t>bold</t>
    </r>
    <r>
      <rPr>
        <b/>
        <sz val="10"/>
        <rFont val="Cambria"/>
        <family val="1"/>
      </rPr>
      <t xml:space="preserve"> / </t>
    </r>
    <r>
      <rPr>
        <sz val="10"/>
        <rFont val="Cambria"/>
        <family val="1"/>
      </rPr>
      <t xml:space="preserve">Les données obtenues dans le cadre de la tâche 1 lorsqu'aucune donnée n'a été déclarée dans les tableaux d’application figurent en </t>
    </r>
    <r>
      <rPr>
        <b/>
        <sz val="11"/>
        <rFont val="Cambria"/>
        <family val="1"/>
      </rPr>
      <t>gras</t>
    </r>
    <r>
      <rPr>
        <sz val="10"/>
        <rFont val="Cambria"/>
        <family val="1"/>
      </rPr>
      <t xml:space="preserve"> / En </t>
    </r>
    <r>
      <rPr>
        <b/>
        <sz val="11"/>
        <rFont val="Cambria"/>
        <family val="1"/>
      </rPr>
      <t>negrita</t>
    </r>
    <r>
      <rPr>
        <sz val="10"/>
        <rFont val="Cambria"/>
        <family val="1"/>
      </rPr>
      <t xml:space="preserve"> datos obtenidos de Tarea I cuando no se han reportado datos en las tablas de Cumplimiento</t>
    </r>
  </si>
  <si>
    <t>Quota ajustée 2024: 362,50 tonnes  = quota initial alloué au Maroc 2024 (302 t) + 60,50 tonnes ( reliquat= 25% du quota initial 2022 (242 tonnes) ). Rec ICCAT 21-04, 23-05</t>
  </si>
  <si>
    <t>2024: For 2024 the UK's intial quota is 752.8t of N.ALB. The UK's catches in 2022 were 125.35. Consequently the UK has a remaining balance of 370.65t. The UK is allowed to carry over unused quota to 2024 at the max carry over rate of 25% of its IQ2022 (110.56). When the 25% is applied to the IQ2022 and the quota for 2024 is added, the adjusted quota for 2024 is 863.36t</t>
  </si>
  <si>
    <t>GRENADA</t>
  </si>
  <si>
    <t>IQ(2017)+BALANCE(2016)</t>
  </si>
  <si>
    <t>IQ(2018)+BALANCE(2017)</t>
  </si>
  <si>
    <t>IQ(2019)+BALANCE(2018)</t>
  </si>
  <si>
    <t>IQ(2020)+BALANCE(2019)</t>
  </si>
  <si>
    <t>IQ(2021)+BALANCE(2020)</t>
  </si>
  <si>
    <t>IQ(2022)+125% BALANCE(2021)</t>
  </si>
  <si>
    <t>IQ(2023)+125% BALANCE(2022)</t>
  </si>
  <si>
    <t>IQ(2022)+ BALANCE(2021)</t>
  </si>
  <si>
    <t>IQ(2023)+ BALANCE(2022)</t>
  </si>
  <si>
    <t>Limit 2023 + MAX5% 2022 (973t)</t>
  </si>
  <si>
    <t>Pour l'année 2022 , le quota ajusté est de 2679.72  ( le quota initial 2655T+quota non consommé  des prises accessoires 2021 (24,72T), les prises réalisées par les senneurs  en 2022 est de 2652,762 t , les prises accessoires ( 26,55T) n'ont pas encore été arrétées</t>
  </si>
  <si>
    <t>(1) In accordance with Rec. 19-04 Para 10, Syria will transfer 79.2 t to Tunisia to be caught by vessel (MOHAMED ESSADOK,  AT000TUN00051) for only this fishing season 2021</t>
  </si>
  <si>
    <t>(2) In accordance with Rec. 22-08 Para 8, Syria will transfer 128t to TUR to be caught by vessel (Tuncay Sagun 2	AT000TUR00455) for only this fishing season 2023</t>
  </si>
  <si>
    <t>(3) In accordance with Rec. 22-08 Para 8, Syria will transfer 128t to TUR to be caught by vessels (BANDIRMA BALIKÇILIK AT000TUR08044 39630 kg, KORKMAZLAR BALIKÇILIK AT000TUR07905 88370 kg) for only this fishing season 2024</t>
  </si>
  <si>
    <t>2024 adjusted limit: Egypt intends to transfer 507.87 ton from its quota to Türkiye</t>
  </si>
  <si>
    <t>(2) Adjusted quota for 2024 = 2600 t (Quota) -35.13t overharvest in 2023 + 128t from SYR + 507.87t from EGY = 3200.74t</t>
  </si>
  <si>
    <t>2024 adjusted quota is 51 t (=101-50) due to the transfer of 50t to Korea.</t>
  </si>
  <si>
    <t>Quota ajustée 2025: 362,50 tonnes  = quota initial alloué au Maroc 2024 (302 t) + 60,50 tonnes ( reliquat= 25% du quota initial 2022 (242 tonnes) ). Rec ICCAT 21-04, 23-05</t>
  </si>
  <si>
    <t>Quota ajusté 2024:  1261,83 tonnes = quota initial alloué au Maroc (850 t) + 18,81 t (reliquat= 15% du quota initial 2022 (850 t) + 150 t (transférées par le Japon au Maroc)+20 t (transférée par le Taipei Chinois)+ 25 t (transférée par le Trinité-et-Tobago) + 200 T (Transfrt des Etats Unies dés la soumission du plan de pêche). Rec ICCAT 21-02, 23-04</t>
  </si>
  <si>
    <t>Quota ajusté 2025: 1272,43 tonnes = quota initial alloué au Maroc (850 t) + 27,43 t (reliquat= 15% du quota initial 2022 (850 t) + 150 t (transférées par le Japon au Maroc)+20 t (transférée par le Taipei Chinois)+ 25 t (transférée par le Trinité-et-Tobago) + 200 T (Transfrt des Etats Unies dés la soumission du plan de pêche). Rec ICCAT 21-02, 23-04</t>
  </si>
  <si>
    <t>Quota ajustée 2024: 3739 tonnes = quota initial alloué au Maroc 2024 (3700 t) + 39 tonnes (reliquat de l'année 2023) Rec. 22-08, 23-06</t>
  </si>
  <si>
    <t>2015 = Initial allocation + Mexican transfer (86.50) + underage from 2014 (24.4)</t>
  </si>
  <si>
    <t>2016 = Initial allocation  + mexican transfer (51.98) + underage from 2014 (30.03)</t>
  </si>
  <si>
    <t>2017 = Initial allocation  + 55.98 (transfer from MEX) Rec. 16-08 + underharvest from 2016 (MAX 10% IQ 2016)</t>
  </si>
  <si>
    <t>2024 adjusted quota is 6425.33 t (=5521.1+4416.9*0.25-200)  due to the inclusion of 2022 underage and 2024 initial catch quota and the deduction of transfers of 200 t to Belize.</t>
  </si>
  <si>
    <t>=5521.1+4416.9*0.25-200</t>
  </si>
  <si>
    <t xml:space="preserve">2024 adjusted quota is 323 t (=270+270*40%-35-20) due to the inclusion of 2022 underage and 2024 initial catch quota and the deduction of respective transfers of 35 t to Canada and 20 t to Morocco. </t>
  </si>
  <si>
    <t>11 : limite 2024 + 25% quota de capture initial 2023 (REC 23-05)</t>
  </si>
  <si>
    <t>8 : limite 2022 + 40% limite de capture initiale (Rec.21-02) + 40 tonnes transférées de l'Union Européenne (REC 17-02)=40+(40*0.4)+40=96</t>
  </si>
  <si>
    <t>7 : limite 2021 + 40% limite de capture initiale (Rec.20-02) + 40 tonnes transférées de l'Union Européenne (REC 17-02)+ 12,75 tonnes transférées du Vénézuela (REC 17-02)=40+(40*0.4)+40+12.75=108.75</t>
  </si>
  <si>
    <t>6 : limite 2020 + 40% limite de capture initiale (Rec.19-03) + 40 tonnes transférées de l'Union Européenne (REC 17-02)+ 12,75 tonnes transférées du Vénézuela (REC 17-02)=40+(40*0.4)+40+12.75=108.75</t>
  </si>
  <si>
    <t>5 : limite 2019 + 40% limite de capture initiale (Rec.17-02) + 40 tonnes transférées de l'Union Européenne (REC 17-02)+ 12,75 tonnes transférées du Vénézuela (REC 17-02)=40+(40*0.4)+40+12.75=108.75</t>
  </si>
  <si>
    <t>4 : limite 2018 + 40% limite de capture initiale (Rec.17-02) + 40 tonnes transférées de l'Union Européenne (REC 17-02)+ 12,75 tonnes transférées du Vénézuela (REC 17-02)=40+(40*0.4)+40+12.75=108.75</t>
  </si>
  <si>
    <t>10 : limite 2024 + 40% limite de capture initiale (Rec.23-04) + 40 tonnes transférées de l'Union Européenne (REC 17-02)=40+(40*0.4)+40=96</t>
  </si>
  <si>
    <t>10:  limite 2024+ 100% allocation de quota initiale (MAX Solde 2023=4.46) = 6.18+4.46= 10.64</t>
  </si>
  <si>
    <t>2024 = Initial allocation + Mexican transfer (60t) + underharvest from 2023 (53.10)</t>
  </si>
  <si>
    <t>2024 = Initial allocation + transfers (from Senegal 125t, Japan 35t, Chinese Taipe 35t, and the EU 280t) + underage from 2022 (202.2t - max. carry forward)</t>
  </si>
  <si>
    <t>8 (A) = Limit 2023 + Carry over from Balance 2021 MAX. 10%3904.74 (390.47) Rec. 22-01 Para 12</t>
  </si>
  <si>
    <t>ALGERIE</t>
  </si>
  <si>
    <t>Q2024+ max 5%Q2023=2023+23</t>
  </si>
  <si>
    <t>2024: In accordance with paragraph 6 of Rec. 22-08, Algeria requests a transfer of 23 t (1.14%) of its 2023 unused quota to 2024. therefore, the total adjusted national quota will be 2,046 t</t>
  </si>
  <si>
    <t>IQ2024+25%Q2022</t>
  </si>
  <si>
    <t>REC: 17-04, 21-04, 23-05</t>
  </si>
  <si>
    <t>RECs: 17-02, 19-03,21-02,22-03, 23-04</t>
  </si>
  <si>
    <t>IQ(2024)+125% BALANCE(2022)</t>
  </si>
  <si>
    <t xml:space="preserve">*Belize is carrying forward 25% of its initial balance (75 t) from its balance of 362.5 in 2023 to be used in 2025.  </t>
  </si>
  <si>
    <t>*Belize is carrying forward 40% of its initial limit (52 t) from its initial balance of 180.25 t in 2023 to be used in 2025. Transfer of 75 t from Trinidad and Tobago to Belize</t>
  </si>
  <si>
    <t>*Belize is carrying forward 10% of its initial limit (125 t) from its balance of 274.94 t in 2022 to be used in 2024.Transfer of 25 t from USA to Belize. Transfer of 50 t from Brazil to Belize.Transfer of 50 t from Uruguay to Belize</t>
  </si>
  <si>
    <t>*Belize is carrying forward 10% of its initial limit (25 t) from its balance of 245.92 t in 2021 to be used in 2023.Transfer of 25 t from USA to Belize. Transfer of 50 t from Brazil to Belize.Transfer of 50 t from Uruguay to Belize</t>
  </si>
  <si>
    <t>*Belize is carrying forward 10% of its initial limit (125 t) from its balance of 262.5 t in 2023 to be used in 2025.Transfer of 25 t from USA to Belize. Transfer of 50 t from Brazil to Belize.Transfer of 50 t from Uruguay to Belize</t>
  </si>
  <si>
    <t>2024 adjusted quota is 10479.98 t (=10340+139.98) due to the inclusion of 2022 prorata underage and 2024 initial catch quota. As total 2022 underage is only 153.83t, pro rata carry over is 139.98t</t>
  </si>
  <si>
    <t>Adjusted limited for 2024=302(initial quota)+55.88(carryover 2022)=357.88</t>
  </si>
  <si>
    <t>Adjusted limit for 2024=initial quota(100)+available balance of 2022 (100*15%=15t)=115t</t>
  </si>
  <si>
    <t>Adjusted limit for 2024=initial quota(313)+313*10%(carryover 2022)= 344.3</t>
  </si>
  <si>
    <t>Adjusted limite for 2024=initial quota(4426.38)+ (IQ2022) 4226.38*10%+600 ton transfer from Japan=5469.02</t>
  </si>
  <si>
    <t>Límite ajustado para 2024 = 302 + 60,5 = 362,50 t</t>
  </si>
  <si>
    <t>[9]</t>
  </si>
  <si>
    <t>[9]= Límite de 2024 + balance de 2023</t>
  </si>
  <si>
    <t xml:space="preserve">The underharvest of the EU in 2021 is of 1862,1 t, which corresponds to more than 15% of its 2021 initial catch limit (1007.7t). In line with Rec. 17-02 the EU can carry over 1007.7 t to 2023 if current management arrangments are maintained. The adjusted limit for 2023 takes also into account the transfers to Canada (327t) as provided for in Rec 17-02. </t>
  </si>
  <si>
    <t>Limit 2024 + 2022 balance</t>
  </si>
  <si>
    <t>2023 limit + 0,15*2021 limit -327 CAN</t>
  </si>
  <si>
    <t xml:space="preserve">The underharvest of the EU in 2022 is of 1907,35 t, which corresponds to more than 15% of its 2022 initial catch limit. In line with Rec. 17-02 the EU can carry over 1007.6 t to 2024 if current management arrangements are maintained. The adjusted limit for 2022 takes also into account the transfers to Canada (280) and S. Pierre et Miquelon  (40) as provided for in Rec 17-02. </t>
  </si>
  <si>
    <t xml:space="preserve">In 2022 the underharvest for the EU was of 1282,88 t, which is more than the maximum allowed 10% (482,4t) provided in Rec 22-04. Therefore, the EU is entitled to carry over 482,4 t to 2024 if current management arrangmments are maintained. </t>
  </si>
  <si>
    <t>Limit 2024 +  10% Limit 2022</t>
  </si>
  <si>
    <t>Limit 2024 + MAX5% 2023 (1075,15)</t>
  </si>
  <si>
    <t>In 2022 the underharvest for the EU was of 1034.60 t, which is more than the maximum allowed 5% provided in Rec 22-08. Therefore, the EU is entitled to carry over  973t t to 2023 if the current management arrangments are maintained.</t>
  </si>
  <si>
    <t>In 2023 the underharvest for the EU was of 1371.77 t, which is more than the maximum allowed 5% provided in Rec 22-08. Therefore, the EU is entitled to carry over  1075.15t t to 2024 if the current management arrangments are maintained.</t>
  </si>
  <si>
    <t>Limit 2024+limit 2022*0,10</t>
  </si>
  <si>
    <t>2024 Limit - 2t</t>
  </si>
  <si>
    <t xml:space="preserve">2023 adjusted limit: Egypt intends to transfer 507.87 ton from its quota to Türkiye. Egypt didn’t engage in the BFT fishing season for 2023 due to the transferred amount of 507.87 t from Egypt to Türkiye	</t>
  </si>
  <si>
    <t>ALBM</t>
  </si>
  <si>
    <t>(*) LBR has no quota for SWO, adjuted limit = negative balance from previous year - year catches</t>
  </si>
  <si>
    <t>(8)</t>
  </si>
  <si>
    <t>(8) Límite ajustado 2024 = Límite 2024 + Saldo 2023 (hasta MAX 25% Q2023)</t>
  </si>
  <si>
    <t>(8) Límite ajustado 2024 = Límite 2024 + 125% Saldo 2023</t>
  </si>
  <si>
    <t>Adjusted limit for 2024 = 889.4  + (.25)(711.5) = 1067.3*****</t>
  </si>
  <si>
    <t>***** reflects that 25% of the 2023 initial quota may be carried forward to 2024</t>
  </si>
  <si>
    <t>Adjusted limit for 2024 = 3907.0 - (200 t to Morocco) + (0.15)(3907)  = 4293.05 t</t>
  </si>
  <si>
    <t>Adjusted limit for 2024 = 100.0 - (100 t (Namibia (50 t), Cote d'Ivoire (25 t), Belize (25 t)) + 100.0</t>
  </si>
  <si>
    <t>Adjusted limit for 2024 = 1341.14 + 134.11 = 1475.25 t*****</t>
  </si>
  <si>
    <t>*****reflects that 10% of the 2023 initial quota may be carried forward to 2024</t>
  </si>
  <si>
    <t>[8] = 2024 limit + 125% 2023 Balance</t>
  </si>
  <si>
    <t>2023-2026: Brazil transfer 100 t to Japan (according to Para 3a of Rec. 22-06).</t>
  </si>
  <si>
    <t>(1) EU did not inform during the 2023 COMM regarding the amount of their 2022 underage they intend to use in 2024 as stated in Rec. 22-06 Para 4b)</t>
  </si>
  <si>
    <t>(1) Brazil did not inform during the 2023 COMM regarding the amount of their 2022 underage they intend to use in 2024 as stated in Rec. 22-06 Para 4b)</t>
  </si>
  <si>
    <t>2600-100 (1)</t>
  </si>
  <si>
    <t>The applied methodology is described in Recs. 15-03, 16-04, 17-03, 2021-03, 22-04 with reduction of TAC.</t>
  </si>
  <si>
    <t>2014-2022: 50t transferred to Belize (The quota transfers shall be reviewed annually in response to a request from an involved CPC).</t>
  </si>
  <si>
    <t>302+(0.25*242)</t>
  </si>
  <si>
    <t>JAPAN-N-ALB:Japan's 2023 adjusted limit = BET 2023 catch * 4.5% (Para8 of Rec21-04)</t>
  </si>
  <si>
    <t>JAPAN-S-ALB: 2024 adjusted limit = 1,630t(Limit)-47.45t(overage in 2022)(Para5 of Rec 22-06)+100(transfer from Brazil (Para 3 of Rec. 22-06))+100(transfer from Uruguay(Para 3 of Rec. 22-06))+100(transfer from South Africa (Para 3 of Rec. 22-06))</t>
  </si>
  <si>
    <t>JAPAN-N-SWO:Japan’s 2023 adjusted limit = 842t(Limit)+1587.81t(2022 carry over(Para 1C of Rec22-03)-150t(transfer to Morocco(Para 1A) of Rec 22-03)-35t (transfer to Canada((Para 1A of Rec. 22-03))-25t(transfer to Mauritania(Para 1A of Rec. 22-03)).</t>
  </si>
  <si>
    <t>JAPAN-N-SWO: adjusted limit in 2018 excluded 100 t transfered to Morocco, and 35 transferred to Canada [Rec. 17-02].</t>
  </si>
  <si>
    <t>JAPAN-S-SWO:Japan's 2024 adjusted limit  = 901t(Limit)+600.00t(2022 carry over(Para1(2) of Rec22-04))-50t(transfer to Namibia(Para5 of Rec.17-03))</t>
  </si>
  <si>
    <t>JAPAN-BIGEYE:Japan's 2024 adjusted limit = 13868.00(Para 4 of Rec.22-01)+1386.8(2022 carry over(13868*10%)(Para12 of Rec22-01)-600(transfer to China (Footnote2 of Para.8  of Rec.22-01))-300(transfer to European Union (Footnote 2 of Para.8 of Rec.22-01))</t>
  </si>
  <si>
    <t>JAPAN-N-BSH:Japan's 2024 adjusted limit = 3,055t(Para3 of Rec23-10)-43t(transfer to Morocco(Para3 of Rec23-10))</t>
  </si>
  <si>
    <t xml:space="preserve">Note: Because the 2023 Japanese fishing season is from August 1, 2023 to July 31,2024, all the figures for the 2023 catches are preliminary and do not include a part of the data in the 2023 fishing season. Japan will submit the final figures before the Compliance Committee in November that include all the catches. </t>
  </si>
  <si>
    <t>2024**</t>
  </si>
  <si>
    <t>(992*0.10)+992 - 223</t>
  </si>
  <si>
    <t>a) According to Recommendation 19-04 paragraph 5, Norway was initially  allocated a quota of 300 tonnes eastern BFT in 2020. Referring to Recommendation 19-04 Paragraph 7, Norway requested in panel 2 to transfer a maximum of 5 % of its 2019 quota to 2020. A total of 49,3 tonnes of the Norwegian catch quota (239 tonnes) was utilised in 2019, and 11,95 tonnes (5 % of 239 tonnes) may, according to Paragraph 7, be transferred to 2020.</t>
  </si>
  <si>
    <t>b) According to Recommendation 20-07 paragraph 1, Norway was initially  allocated a quota of 300 tonnes eastern BFT in 2021. Referring to Recommendation 20-04 Paragraph 2, Norway requested in panel 2 to transfer a maximum of 5 % of its 2020 quota to 2021. A total of 194.39 tonnes of the Adjusted Norwegian catch quota (311.95 tonnes) was utilised in 2020, and 15 tonnes (5 % of 300 tonnes) may, according to Paragraph 2, be transferred to 2021.</t>
  </si>
  <si>
    <t>c) According to Recommendation 21-08 paragraph 5, Norway was initially  allocated a quota of 300 tonnes eastern BFT in 2022. Referring to Recommendation 21-08 Paragraph 7, Norway requested in panel 2 to transfer a maximum of 5 % of its 2021 quota to 2022. A total of 157,68 tonnes of the Adjusted Norwegian catch quota (315 tonnes) was utilised in 2021, and 15 tonnes (5 % of 300 tonnes) may, according to Paragraph 7, be transferred to 2022.</t>
  </si>
  <si>
    <t>d) According to Recommendation 22-08 paragraph 4, Norway was initially  allocated a quota of 368 tonnes eastern BFT in 2023. Referring to Recommendation 22-08 Paragraph 6, Norway requested in panel 2 to transfer a maximum of 5 % of its 2022 quota to 2023. A total of 123,17 tonnes of the Adjusted Norwegian catch quota (315 tonnes) was utilised in 2022, and 15 tonnes (5 % of 300 tonnes) may, according to Paragraph 7, be transferred to 2023.</t>
  </si>
  <si>
    <t>302+(242*0.25)</t>
  </si>
  <si>
    <t>2024= 149.34 + 113.12 - transfer to Canada (60t) por Rec. 22-10</t>
  </si>
  <si>
    <t>In 2024 USA transfers 50t to NAM and JPN transfers 50to to NAM</t>
  </si>
  <si>
    <t>SMAS</t>
  </si>
  <si>
    <t>Retention allowance</t>
  </si>
  <si>
    <t>Adjusted Retention allowance (A)</t>
  </si>
  <si>
    <t>[1] = 2024 limit + 2023 Balance</t>
  </si>
  <si>
    <t>Describe the rationale used in the application of overage / underage: Rec. 22-11 Para 12</t>
  </si>
  <si>
    <t>le calcul du quota ajusté 2024 prend en compte le solde  MAX de 2022 (Limite 2022 * 0,1 = 417*0,1=41.7) auquel est ajouté la limite 2023 de 417 t) ce qui donne (41.7+417=458.70) t</t>
  </si>
  <si>
    <t>* (1)</t>
  </si>
  <si>
    <t>(1) 2025 Adjusted limit considers payback plan and 2023 overharvest</t>
  </si>
  <si>
    <t>* Adjusted limit 2024 = initial limit 2023 (5280) + available balance 2022 (0 as the 2022 overharvest was covered by BRA &amp; URY according to para 4f of the ICCAT Rec. 16-07, supplemented by ICCAT Rec. 21-05 ) -100t transferred to JPN</t>
  </si>
  <si>
    <t>* Adjusted limit 2025 = initial limit 2023 (5280) + available balance 2023(not to exceed 25% of initial quota) (1320) -100t transferred to JPN</t>
  </si>
  <si>
    <t>=1001+10%1001-50</t>
  </si>
  <si>
    <t>=302+(MAX. 25% from 2022 quota= 60.5t)</t>
  </si>
  <si>
    <t>= 170 + MAX 25% IQ 2023</t>
  </si>
  <si>
    <t xml:space="preserve">2024: The 2023 underage is greater than the maximum amount that can be carried over to 2024 (&lt;= 40% of original catch limit); hence the amount carried over is 50 t (0.4*125).Additionally, 75 t and 25 t were transferred to Belize and Morocco respectively; hence 100 is subtracted from the sum of the initial catch limit and the allowed carry over, to arrive at the final adjusted limit of 75 t. </t>
  </si>
  <si>
    <t>9(A)=IQ2024+2t EU transfer provided by Rec. 19-05.</t>
  </si>
  <si>
    <t>Pour l'année 2024 le quota ajusté est de 3030  ( le quota initial 3000T+quota non consommé  des prises accessoires 2023 (30T)</t>
  </si>
  <si>
    <t>IQ2025+MAX 25% IQ2023</t>
  </si>
  <si>
    <t>2025: For 2025 the UK's initial quota is 752.8t. The UK's catches in 2023 were 112.47t. As a result the UK has a remaining balance of 438.29. The UK is permitted to carry over to 2025 25% of its intitial 2023 quota which equals 110.56. The quota for 2025 is therefore 752.8+110.56=863.36</t>
  </si>
  <si>
    <t>2025: The UK wishes to carry over 25% of its 2023 quota into 2025, 25% of 120 is 30 with the adjusted quota for 2025 therefore being 120+30=150.</t>
  </si>
  <si>
    <t>=IQ2025+MAX. 0.25*IQ2023</t>
  </si>
  <si>
    <t xml:space="preserve">2024: The UK's adjusted quota for N.ATL SWO is 49.67t in 2022. The UK's catches in 2022 were 3.35t. The UK will bank 40% (14t) of IQ in 2022 and carry this over to 2024. Therefore the adjusted limit in 2024 is 49.67t. </t>
  </si>
  <si>
    <t>2025: The UK will carry over 40% of its 2023 quota 14.7t into 2025 which means 14.7 + 35.67 = 49.94</t>
  </si>
  <si>
    <t>IQ2025+MAX 40% IQ2023</t>
  </si>
  <si>
    <t>=IQ2023+MAX. 0.10*IQ2021</t>
  </si>
  <si>
    <t>=IQ2024+MAX. 0.10*IQ2022</t>
  </si>
  <si>
    <t>=IQ2025+MAX. 0.10*IQ2023</t>
  </si>
  <si>
    <t xml:space="preserve">2024: The UK's quota for S.ATL SWO is 25t  for 2022. The UK's catches in 2022 were 0t, consequently the UK has a remaining balance of 25t. The UK is permitted to transfer a maximum of 10% of unused quota to 2024. When the 10% is applied to the IQ2022 and the quota for 2024 is added, the adjusted quota for 2024 is 27.50t. </t>
  </si>
  <si>
    <t>2025: The UK will carry over 10% of its 2023 quota into 2025 this results in an adjusted quota of 30t. Initial quota of 25+2.5=27.5</t>
  </si>
  <si>
    <t>IQ2025+Max5%IQ2024</t>
  </si>
  <si>
    <t>2024: The UK's initial quota for 2024 was 63t and this was supplemented by 5% of the UK's 2023 quota which equals 3.15 giving a total of 66.15t</t>
  </si>
  <si>
    <t>IQ2025+MAX100%IQ2024</t>
  </si>
  <si>
    <t xml:space="preserve">2024: The UK's initial quota for W.BFT in 2024 is 6.18. The UK can carry over 100% of the 2023 quota over in to 2024 this means 6.18+6.18=12.36. </t>
  </si>
  <si>
    <t>JAPAN-N-SWO: Japan’s 2024 adjusted limit = 842t(Limit)+1723.51t(2023 carry over(Para 1A of Rec23-04))-150t(transfer to Morocco(Para 1A of Rec 23-04))-35t(transfer to Canada(Para 1A of Rec. 23-04))-25t(transfer to Mauritania(Para 1A of Rec. 23-04))</t>
  </si>
  <si>
    <t>JAPAN-S-SWO: Japan's 2025 adjusted limit  = 901t(Limit)+600.00t(2023 carry over(Para 1(2) of Rec22-04))-50t(transfer to Namibia(Para 5 of Rec.17-03))</t>
  </si>
  <si>
    <t>JAPAN-E-BFT: Japan's 2024 adjusted limit = 3114.00t(Limit)(Para 4 of Rec22-08)+70.40t(2023 carry over (Para 6 of Rec. 22-08))</t>
  </si>
  <si>
    <t>JAPAN-N-BSH:Japan's 2025 adjusted limit = 3,055t(Para3 of Rec23-10)-43t(transfer to Morocco(Para3 of Rec23-10))</t>
  </si>
  <si>
    <t>JAPAN-S-SMA: Japan's 2024 adjusted limit = 62t(Para 2 of Rec22-11)</t>
    <phoneticPr fontId="1" type="noConversion"/>
  </si>
  <si>
    <t>JAPAN-W-BFT: Japan's 2024 adjusted limit = 664.52t(Limit)+47.28t(2023 carry over(Para 6 of Rec. 22-10)</t>
  </si>
  <si>
    <t>IQ(2024)+ BALANCE(2023)</t>
  </si>
  <si>
    <t>[1] = 2017 limit + balance 2016</t>
  </si>
  <si>
    <t>[2] = 2018 limit + balance 2017</t>
  </si>
  <si>
    <t>[3] = 2019 limit + balance 2018</t>
  </si>
  <si>
    <t>[4] = 2020 limit + balance 2019</t>
  </si>
  <si>
    <t>[5] = 2021 limit + balance 2020</t>
  </si>
  <si>
    <t>* Adjusted limit 2024 = initial limit 2024 (530) - 100t transferred to JPN. URY did not inform during the 2023 COMM regarding the amount of their 2022 underage they intend to use in 2024 as stated in Rec. 22-06 Para 4b)</t>
  </si>
  <si>
    <t>* Adjusted limit 2025 = initial limit 2025 (530) + available balance 2023 (not to exceed 25% of initial quota) (132.5) - 100t transferred to JPN</t>
  </si>
  <si>
    <t>2025: IQ2025 + 25% MAX2023 - 100t transferred to JPN</t>
  </si>
  <si>
    <t>=120+30</t>
  </si>
  <si>
    <t xml:space="preserve">2025 adjusted quota is 120+30 due to the inclusion of 2023 underage (MAX 25% IQ 2023) and 2025 initial catch quota.  </t>
  </si>
  <si>
    <t>Limit 2025 + 25%  2023 limit</t>
  </si>
  <si>
    <t>The underharvest of the EU in 2023 was of 2090.79t.  In line with Rec 22-06, the EU is entitled to carry over  441.25 t to 2025, corresponding to 25% of its initial quota for 2023.</t>
  </si>
  <si>
    <t>42.5+170</t>
  </si>
  <si>
    <t>The applied methodology is described in Recs. 13-05, 16-06, 17-04, 20-03/04, 21-04, 23-05</t>
  </si>
  <si>
    <t>New REC 23-05 / annual TAC of 47,251 t is established for the management period 2024-2026. CPCs other than those mentioned in paragraph 6 shall limit their annual catches to 302 t (Brazil).</t>
  </si>
  <si>
    <t xml:space="preserve">2015-2023: 25t transferred to Mauritania (on the condition that Mauritania submit its development plan per paragraph 5 of Re. 22-03). </t>
  </si>
  <si>
    <t>Rec 16-04, 17-03, 22-04: Brazil may harvest up to 200 t of its annual catch limit from SWO_S within the area between 5 degrees North latitude and 15 degrees North latitude</t>
  </si>
  <si>
    <t>New Rec 23-04: Brazil 50 t; Brazil transfer 25 t to Mauritania (2024)</t>
  </si>
  <si>
    <t>50+(0.40*50)-25</t>
  </si>
  <si>
    <t>3940+(0.1*3940)-50</t>
  </si>
  <si>
    <t>Adjusted limit for 2025=initial quota(240)+240*25%(not exceeding the balance of 2023)=300</t>
  </si>
  <si>
    <t>IQ2025+25%Q2023</t>
  </si>
  <si>
    <r>
      <t>2020</t>
    </r>
    <r>
      <rPr>
        <b/>
        <vertAlign val="superscript"/>
        <sz val="10"/>
        <rFont val="Cambria"/>
        <family val="1"/>
      </rPr>
      <t>a</t>
    </r>
  </si>
  <si>
    <t>Adjusted limited for 2025=302(initial quota)+55.93(carryover 2023)=357.93</t>
  </si>
  <si>
    <t>2025 adjusted quota is 6425.33 t (=5521.1+4416.9*0.25-200)  due to the inclusion of 2022 underage and 2024 initial catch quota and the deduction of transfers of 200 t to Belize.</t>
  </si>
  <si>
    <t>Limit 2025 + 2023 balance</t>
  </si>
  <si>
    <t>(9)</t>
  </si>
  <si>
    <t>Adjusted limit for 2025 = 889.4  + (.25)(889,4) = 1111.75******</t>
  </si>
  <si>
    <t>******reflects that 25% of the 2024 initial quota may be carried forward to 2025</t>
  </si>
  <si>
    <t>(9) Límite ajustado 2025 = Límite 2025 + Saldo 2024 (hasta MAX 25% Q2024)</t>
  </si>
  <si>
    <t>Limit 2026 + 25%  2024 limit</t>
  </si>
  <si>
    <t>2026*</t>
  </si>
  <si>
    <t>IQ(2025)+125% BALANCE(2023)</t>
  </si>
  <si>
    <t>[9] = 2025 limit + 125% 2024 Balance</t>
  </si>
  <si>
    <t>IQ(2025)+ BALANCE(2024)</t>
  </si>
  <si>
    <t>(9) Límite ajustado 2025 = Límite 2025 + 125% Saldo 2024</t>
  </si>
  <si>
    <t>2025: In accordance with paragraph 6 of Rec. 22-08, Algeria requests a transfer of 29,65 t (1.44%) of its 2024 unused quota to 2025. therefore, the total adjusted national quota will be 2,052,65 t</t>
  </si>
  <si>
    <t>Q2025+ max 5%Q2024=2023+34,65</t>
  </si>
  <si>
    <t>n.a</t>
  </si>
  <si>
    <t>JAPAN-E-BFT: Japan's 2025 adjusted limit = 3114.00t(Limit)(Para 4 of Rec.24-05)+155.7t(2024 carry over (Para 6 of Rec. 24-05))</t>
  </si>
  <si>
    <t>221+50+(278.72-273.55)</t>
  </si>
  <si>
    <t>221+50+(276.17-267.99)</t>
  </si>
  <si>
    <t>Quota ajusté 2025: 3870 tonnes = quota initial alloué au Maroc 2025 (3700 t) + 120 tonnes (reliquat de l'année 2024) + 50 t (transféré de la Namibie au Maroc) Rec. 22-08, 23-06</t>
  </si>
  <si>
    <t>Pour l'année 2025, le quota ajusté est de 3030 (le quota initial 3000T+quota non consommé  des prises accessoires 2024 (20,62T)</t>
  </si>
  <si>
    <t>=10340+450+2135-1425.02</t>
  </si>
  <si>
    <t>2025 adjusted quota is 11499.98 t (=10340+450) due to the inclusion of 2023 underage and 2025 initial catch quota + 2135 t (Rec. 22-06 Para 4b) as complement from total underage from the TAC - 1425.02 t (overage in 2024)</t>
  </si>
  <si>
    <t xml:space="preserve">9 : limite 2023 + 40% limite de capture initiale (Rec.22-03) + 40 tonnes transférées de l'Union Européenne (REC 17-02)=40+(40*0.4)+40=96 </t>
  </si>
  <si>
    <t>IQ(2025)+125% BALANCE(2024)</t>
  </si>
  <si>
    <t>Transfer of 200t from Chinese Taipei to Belize in 2022, 2023 and 2024</t>
  </si>
  <si>
    <t>50+(0.40*50)</t>
  </si>
  <si>
    <t>SMA</t>
  </si>
  <si>
    <t>Adjusted limit for 2025=initial quota(313)+313*10%(carryover 2023)= 344.3</t>
  </si>
  <si>
    <t>Adjusted limit for 2025=initial quota(4624.07)+ (IQ2023)50.15+350 t transfer from Japan=5024.22</t>
  </si>
  <si>
    <t>=270*(1+40%)</t>
  </si>
  <si>
    <t>2025 adjusted quota is 378 t (=270+270*40%) due to the inclusion of 2023 underage and 2025 initial catch quota.</t>
  </si>
  <si>
    <t>No carryover from 2025 underage to 2027 (Rec 22-06, para 5)</t>
  </si>
  <si>
    <t>2024 adjusted quota is 504.9 t (=459 + 459*10%) due to the inclusion of 2023 underage and 2024 initial catch quota.</t>
  </si>
  <si>
    <t>2025 adjusted quota is 504.9 t (=459 + 459*10%) due to the inclusion of 2024 underage and 2025 initial catch quota.</t>
  </si>
  <si>
    <t>'=101-50</t>
  </si>
  <si>
    <t>2025 adjusted quota is 51 t (=101-50) due to the transfer of 50t to Korea.</t>
  </si>
  <si>
    <t>=9226.41+(11679*10%)+223</t>
  </si>
  <si>
    <t>=9226.41+(9226.41*10%)+223</t>
  </si>
  <si>
    <t>2021 adjusted quota is 10671.31 t = 9226.41 (initial quota) + 11679*10% (carry over of 10% of 2019 initial quota pursuant to Rec.19-02) +223 (transfer from Korea)</t>
  </si>
  <si>
    <t>2022 adjusted quota is 10372.05 t = 9226.41 (initial quota) + 9226.41*10% (carry over of 10% of 2020 initial quota pursuant to Rec.21-01) +223 (transfer from Korea).</t>
  </si>
  <si>
    <t>2023 adjusted quota is 10372.05 t = 9226.41 (initial quota) + 9226.41*10% (carry over of 10% of 2021 initial quota pursuant to Rec.22-01) +223 (transfer from Korea).</t>
  </si>
  <si>
    <t>2024 adjusted quota is 10372.05 t = 9226.41 (initial quota) + 9226.41*10% (carry over of 10% of 2022 initial quota pursuant to Rec.23-01) +223 (transfer from Korea).</t>
  </si>
  <si>
    <t>[10]</t>
  </si>
  <si>
    <t>[10]= Límite de 2025 + trasferencia de Estados Unidos (300 t) + balance de 2024</t>
  </si>
  <si>
    <t>50 + Balance 2022</t>
  </si>
  <si>
    <t>2023(***)</t>
  </si>
  <si>
    <t>2024(***)</t>
  </si>
  <si>
    <t>2025(***)</t>
  </si>
  <si>
    <t>2024 limit + 0,15*2022 limit - 40t SPM -280 CAN</t>
  </si>
  <si>
    <t>2025 limit + 2023 balance - 40t SPM -200 CAN</t>
  </si>
  <si>
    <t xml:space="preserve">Limit 2025 +  2023 balance </t>
  </si>
  <si>
    <t>In 2024, the underharvest for the EU was 1712,73 t, which is more than the maximum allowed 5% provided in the Rec. 22-08. Therefore, the EU is entitled to carry over 1075,15t to 2025 if the current management arrangments are maintained.</t>
  </si>
  <si>
    <t>2025 Limit - 2t</t>
  </si>
  <si>
    <t>JAPAN-N-ALB: Japan's 2024 adjusted limit = BET 2024 catch * 4.5% (Para 8 of Rec.23-05)</t>
  </si>
  <si>
    <t>JAPAN-N-ALB: Japan's 2025 adjusted limit = BET 2025 catch * 4.5% (Para 8 of Rec.23-05)</t>
  </si>
  <si>
    <t>JAPAN-S-ALB: 2025 adjusted limit = 1,630t(Limit)+259.35t(2023 carry over(Para 4 of Rec. 22-06))+100t(transfer from Brazil (Para 3 of Rec. 22-06))+100t(transfer from Uruguay(Para 3 of Rec. 22-06))+100t(transfer from South Africa (Para 3 of Rec. 22-06))+148.15t(up to 25% of initial quita(407.5-259.35)(Para 4b) of Rec. 22-06))</t>
  </si>
  <si>
    <t>JAPAN-N-SWO: Japan’s 2025 adjusted limit = 842t(Limit)+1,991.26t(2024 carry over(Para 12 of Rec.24-10))-150t(transfer to Morocco(Para 7 of Rec. 24-10))-25t(transfer to Mauritania(Para 7 of Rec. 24-10))</t>
  </si>
  <si>
    <t>JAPAN-BUM: Japan's 2025 adjusted limit = 328.1t(Limit)(Para 2 of Rec.19-05)</t>
  </si>
  <si>
    <t>JAPAN-WHM・SPF: Japan's 2024 adjusted limit =35t(Limit)(Para 2 of Rec.19-05)</t>
  </si>
  <si>
    <t>JAPAN-WHM・SPF: Japan's 2025 adjusted limit =35t(Limit)(Para 2 of Rec.19-05)</t>
  </si>
  <si>
    <t>JAPAN-S-SMA: Japan's 2025 adjusted limit = 62t(Para 2 of Rec.22-11)</t>
  </si>
  <si>
    <t>2025**</t>
    <phoneticPr fontId="23" type="noConversion"/>
  </si>
  <si>
    <t>50+(50*0.4)</t>
    <phoneticPr fontId="1" type="noConversion"/>
  </si>
  <si>
    <t>50+(50*0.1)</t>
    <phoneticPr fontId="1" type="noConversion"/>
  </si>
  <si>
    <t>2025*</t>
    <phoneticPr fontId="1" type="noConversion"/>
  </si>
  <si>
    <t>Quota ajusté 2026: 377,50 tonnes  = quota initial alloué au Maroc 2026 (302 t) + 75,50 tonnes ( reliquat= 25% du quota initial 2024 (302 tonnes) ). Rec ICCAT 21-04, 23-05</t>
  </si>
  <si>
    <t>2021=(58.90)</t>
  </si>
  <si>
    <t>2022=(58.90)</t>
  </si>
  <si>
    <t>2023=(58.90)</t>
  </si>
  <si>
    <t>2024=(58.90)</t>
  </si>
  <si>
    <t>e) According to Recommendation 22-08 paragraph 4, Norway was initially  allocated a quota of 368 tonnes eastern BFT in 2024. Referring to Recommendation 22-08 Paragraph 6, Norway requested in panel 2 to transfer a maximum of 5 % of its 2023 quota to 2024. A total of 117,44 tonnes of the Adjusted Norwegian catch quota (368 tonnes) was utilised in 2023, and 18,4 tonnes (5 % of 368 tonnes) may, according to Paragraph 6, be transferred to 2024.</t>
  </si>
  <si>
    <t>le calcul du quota ajusté 2025 prend en compte le solde  MAX de 2024 (Limite 2024 * 0.2 = 417*0,1=41.7) auquel est ajouté la limite 2025 (417 t) ce qui donne (41,7+417=458,70) t</t>
  </si>
  <si>
    <t>Limite ajustée 2025: limite initiale (2546, t) à laquelle est soustraite 137, 77 t en application pour 2025 du plan de remboursement de 137,77 t sur 10 ans (2023-2032): 1322,73 t-137, 77 t= 2408, 23 t</t>
  </si>
  <si>
    <t>[1] = QI2025-Balance2024</t>
  </si>
  <si>
    <t>* Adjusted limit 2026 = initial limit 2026 (5280) + available balance 2024(not to exceed 25% of initial quota, i.e. max.25% of 5280t = 1320t) (297.7) - 100t transferred to Japan</t>
  </si>
  <si>
    <r>
      <t>From 2016 to</t>
    </r>
    <r>
      <rPr>
        <sz val="10"/>
        <color rgb="FFFF0000"/>
        <rFont val="Cambria"/>
        <family val="1"/>
      </rPr>
      <t xml:space="preserve"> 2024</t>
    </r>
    <r>
      <rPr>
        <sz val="10"/>
        <rFont val="Cambria"/>
        <family val="1"/>
      </rPr>
      <t>, South Africa has transferred 50t to Namibia in accordance with Recs. 16-04/17-03/22-04.</t>
    </r>
  </si>
  <si>
    <t>(**)</t>
  </si>
  <si>
    <t>2026: For 2026 the UK's initial quota is 752.8t. The UK's catches in 2024 were 8.23t. As a result, the UK has a remaining balance of 855.13. The UK is permitted to carry over to 2026 25% of its initial 2024 quota which equals 188.2. The quota for 2026 is therefore 752.8+188.2 = 941</t>
  </si>
  <si>
    <t>2026</t>
  </si>
  <si>
    <t>IQ2026+MAX 25% IQ 2024</t>
  </si>
  <si>
    <t>2026: The UK wishes to carry over 25% of its 2024 quota into 2026, 25% of 120 is 30 with the adjusted quota for 2025 therefore being 120+30=150</t>
  </si>
  <si>
    <t>=IQ2026+MAX. 0.25*IQ2024</t>
  </si>
  <si>
    <t>IQ2025+MAX 40% IQ 2024</t>
  </si>
  <si>
    <t>2026: The UK will carry over 40% of its 2024 quota 14.7t into 2025 which means 14.7 + 35.67 = 49.94</t>
  </si>
  <si>
    <t>2026: The UK will carry over 10% of its 2023 quota into 2025 this results in an adjusted quota of 30t. Initial quota of 25+2.5=27.5</t>
  </si>
  <si>
    <t xml:space="preserve">2025: The UK’s initial quota for 2025 was 63t and this was supplemented by 5% of the UK’s 2024 quota which equals 3.15 giving a total of 66.15t. </t>
  </si>
  <si>
    <t>=IQ2025+MAX. 0.10*IQ2024</t>
  </si>
  <si>
    <t xml:space="preserve">2025: The UK's initial quota for BFT-W in 2025 is 6.18. The UK can carry over 100% of the 2024 quota over in to 2025 this means 6.18+6.18=12.36. </t>
  </si>
  <si>
    <t>Adjusted limit for 2025 = 3907.0 - (300 t to Costa Rica) + (0.15)(3907)  = 4193.05 t</t>
  </si>
  <si>
    <t>Adjusted limit for 2025 = 100.0 - (100 t (Namibia (50 t), Cote d'Ivoire (25 t), Belize (25 t)) + 100.0</t>
  </si>
  <si>
    <t>Adjusted limit for 2025 = 1341.14 - 141.18 = 1,199.96 t</t>
  </si>
  <si>
    <t>Limit 2025+limit 2023*0,10</t>
  </si>
  <si>
    <t>JAPAN-BIGEYE:Japan's 2025 adjusted limit = 13865.86(Para 4 of Rec.22-01)+984.02(2023 carry over)(Para12 of Rec22-01)-350(transfer to China (Para.12 of Rec.24-01))</t>
  </si>
  <si>
    <t>[2] IQ(2025)+125% BALANCE(2024)</t>
  </si>
  <si>
    <t>(1) Límite ajustado en 2026 = Límite 2024 + Saldo 2024 (hasta 25% limite original de 2024)</t>
  </si>
  <si>
    <t>(2) Límite ajustado en 2026 = Límite 2024 + Saldo 2024 (hasta 25% limite original de 2024)</t>
  </si>
  <si>
    <t>JAPAN-N-ALB: Japan's 2026 adjusted limit = BET 2026 catch * 4.5% (Para 8 of Rec.23-05)</t>
    <phoneticPr fontId="1" type="noConversion"/>
  </si>
  <si>
    <t>S-BSH</t>
  </si>
  <si>
    <t>JAPAN-S-BSH: Japan's 2026 adjusted limit = 1,520t (para 4 a) of Rec. 23-11)</t>
  </si>
  <si>
    <t>(3) Adjusted quota for 2025 = 2600 t (Quota) + 128t from SYR = 2728.00t</t>
  </si>
  <si>
    <t>SWOMed</t>
  </si>
  <si>
    <t>=AQ2024-catches2024+1/2reserve2024</t>
  </si>
  <si>
    <t>=AQ2023-catches2023+1/2reserve2023</t>
  </si>
  <si>
    <t>=1/2reserve2022-catches2022</t>
  </si>
  <si>
    <t>LIBYA</t>
  </si>
  <si>
    <t>=1/2reserve2019-catches2019</t>
  </si>
  <si>
    <t>=AQ2020-catches2020+1/2reserve2020</t>
  </si>
  <si>
    <t>=AQ2021-catches2021+1/2reserve2021</t>
  </si>
  <si>
    <t>=AQ2022-catches2022+1/2reserve2022</t>
  </si>
  <si>
    <t>(**) Türkiye transfers to EU 0.05 t in 2025</t>
  </si>
  <si>
    <t>ANGOLA</t>
  </si>
  <si>
    <t>2025**</t>
  </si>
  <si>
    <t>50 + Balance 2023</t>
  </si>
  <si>
    <t>11 : limite 2025 + 40% limite de capture initiale (Rec.23-04) + 40 tonnes transférées de l'Union Européenne (REC 17-02)=40+(40*0.4)+40=96</t>
  </si>
  <si>
    <t>12 : limite 2025 + 25% quota de capture initial 2024 (REC 23-05)</t>
  </si>
  <si>
    <t>10(A)=IQ2024+2t EU transfer provided by Rec. 19-05.</t>
  </si>
  <si>
    <t>=1168+10%1168+50+50+50</t>
  </si>
  <si>
    <t>=1168+10%1168+50+50</t>
  </si>
  <si>
    <t>302+(0.25*302)</t>
  </si>
  <si>
    <t xml:space="preserve">*Belize is carrying forward 25% of its initial balance (75 t) from its balance of 302.72 in 2024 to be used in 2026.  </t>
  </si>
  <si>
    <t>The underharvest of the EU in 2024 was of 2065.47t.  In line with Rec 22-06, the EU is entitled to carry over  441.25 t to 2026, corresponding to 25% of its initial quota for 2024.</t>
  </si>
  <si>
    <t>=4320+25%4320</t>
  </si>
  <si>
    <t>* Adjusted limit 2026 = initial limit 2024 (530) + available balance 2023 (not to exceed 25% of initial quota) (132.5) - 100t transferred to JPN</t>
  </si>
  <si>
    <t>2025 = Initial allocation + underharvest from 2024 (49.814) + Mexican transfer (60t)</t>
  </si>
  <si>
    <t>11:  limite 2025+ 100% allocation de quota initiale = 6.18+4.46= 12.36</t>
  </si>
  <si>
    <t>2025= 149.34+149.34-transfer to Canada (60t) por Rec. 22-10</t>
  </si>
  <si>
    <t>2025 adjusted limit: IQ-OH2024</t>
  </si>
  <si>
    <t>In 2025, the underharvest for the EU was 1116,99 t, which is more than the maximum allowed 5% provided in the Rec. 22-08. Therefore, the EU is entitled to carry over 1075,15t to 2025 if the current management arrangments are maintained. Transfer of 200 t received from Iceland</t>
  </si>
  <si>
    <t>f) According to Recommendation 22-08 paragraph 4, Norway was initially  allocated a quota of 368 tonnes eastern BFT in 2024. Referring to Recommendation 22-08 Paragraph 6, Norway requested in panel 2 to transfer a maximum of 5 % of its 2024 quota to 2025. A total of 152,574 tonnes of the Adjusted Norwegian catch quota (368 tonnes) was utilised in 2024, and 18,4 tonnes (5 % of 368 tonnes) may, according to Paragraph 6, be transferred to 2025.</t>
  </si>
  <si>
    <t>IQ2025 -538.5</t>
  </si>
  <si>
    <t>IQ2026  -538.5</t>
  </si>
  <si>
    <t>IQ2027  -538.5</t>
  </si>
  <si>
    <t>IQ2028  -538.5</t>
  </si>
  <si>
    <t>2024: IQ2024 - 355.34 t [Brazil payback 355.34 t in 2024 from the 2022 overharvest by ICCAT Rec. 23-02]</t>
  </si>
  <si>
    <t>2025: IQ2025 - 538.5 t [Rec 24-03: The overharvest of bigeye tuna of 1,232 t for 2022 and 922.03 t for 2023 shall be paid back over a period of 4 years, from 2025 to 2028, in the following way: 2025 to 2028: 538.5 t.]</t>
  </si>
  <si>
    <t>2026: IQ2026 - 538.5 t [Rec 24-03: The overharvest of bigeye tuna of 1,232 t for 2022 and 922.03 t for 2023 shall be paid back over a period of 4 years, from 2025 to 2028, in the following way: 2025 to 2028: 538.5 t.]</t>
  </si>
  <si>
    <t>2027: IQ2027 - 538.5 t [Rec 24-03: The overharvest of bigeye tuna of 1,232 t for 2022 and 922.03 t for 2023 shall be paid back over a period of 4 years, from 2025 to 2028, in the following way: 2025 to 2028: 538.5 t.]</t>
  </si>
  <si>
    <t>2028: IQ2028 - 538.5 t [Rec 24-03: The overharvest of bigeye tuna of 1,232 t for 2022 and 922.03 t for 2023 shall be paid back over a period of 4 years, from 2025 to 2028, in the following way: 2025 to 2028: 538.5 t.]</t>
  </si>
  <si>
    <t>2022: IQ2022 + 2020 balance</t>
  </si>
  <si>
    <t>2023: IQ2023 + 2021 balance</t>
  </si>
  <si>
    <t>BSHS</t>
  </si>
  <si>
    <t>The applied methodology is described in Rec. 23-11.</t>
  </si>
  <si>
    <t>2026**</t>
  </si>
  <si>
    <t>2026(***)</t>
  </si>
  <si>
    <t>2026 Limit - 2t</t>
  </si>
  <si>
    <t>IQ(2026)+ BALANCE(2025)</t>
  </si>
  <si>
    <t>[10] = 2026 limit + 125% 2025 Balance</t>
  </si>
  <si>
    <t>(2) Límite ajustado en 2027 = Límite 2025 + Saldo 2025 (hasta 25% limite original de 2025)</t>
  </si>
  <si>
    <t>[2] = QI2026-Balance2025</t>
  </si>
  <si>
    <t>11=IQ2025+2t EU transfer provided by Rec. 19-05.</t>
  </si>
  <si>
    <t>2027: For 2026 the UK's initial quota is 752.8t. The UK's catches in 2024 were 8.23t. As a result, the UK has a remaining balance of 855.13. The UK is permitted to carry over to 2026 25% of its initial 2024 quota which equals 188.2. The quota for 2026 is therefore 752.8+188.2 = 941</t>
  </si>
  <si>
    <t>(10)</t>
  </si>
  <si>
    <t>Q2026+ max 5%Q2025=2443,64+4,64</t>
  </si>
  <si>
    <t>2025 = Initial allocation + transfers (from EU 260t)</t>
  </si>
  <si>
    <t>Adjusted limit for 2026=initial quota(240)+240*25%(not exceeding the balance of 2024)=300</t>
  </si>
  <si>
    <t>Adjusted limit for 2025=initial quota(111)+available balance of 2023 (10t)=121t</t>
  </si>
  <si>
    <t>2026 adjusted quota is 71,2 t (=101-50 + 20.2) due to the transfer of 50t to Korea and 20,2t of carry-over from 2025 to 2026.</t>
  </si>
  <si>
    <t>'=101-50 +20.2</t>
  </si>
  <si>
    <t>Límite ajustado para 2025 = 302 + 75,5 = 377,50 t</t>
  </si>
  <si>
    <t>[11]</t>
  </si>
  <si>
    <t>50 + Balance 2024</t>
  </si>
  <si>
    <t>(1) 2024 adjusted limit = 2024 limit + 2023 negative balance (-13.73) according to Rec. 00-14</t>
  </si>
  <si>
    <t>Limit 2026 + 2024 balance</t>
  </si>
  <si>
    <t>Limit 2027 + 25%  2025 limit</t>
  </si>
  <si>
    <t>2026 limit + 0,15*2024 limit -260 CAN</t>
  </si>
  <si>
    <t xml:space="preserve">Limit 2026 +  2024 balance </t>
  </si>
  <si>
    <t>Limit 2025 + MAX5% 2024 (1075,15) * 200t (transfert ISL)</t>
  </si>
  <si>
    <t>Limit 2026 + MAX5% 2025 (1075,15)</t>
  </si>
  <si>
    <t>Limit 2026+limit 2024*0,10</t>
  </si>
  <si>
    <t>The calculation of the adjusted quota for 2022, 2023, 2024,2025 takes into account the transfer of 2 t to Trinidad &amp; Tobago as provided by Rec. 19-05.</t>
  </si>
  <si>
    <t>9(A) = Limit 2024 + Carry over from Balance 2022 MAX. 10% 393.648 (393.648) Rec. 24-01 Para 7</t>
  </si>
  <si>
    <t>10(A) = Limit 2025 + Carry over from Balance 2023 MAX. 10% 393.648 (393.648) Rec. 24-01 Para 7</t>
  </si>
  <si>
    <t>JAPAN-N-BSH:Japan's 2025 adjusted limit = 3,012t(Para3 of Rec23-10)-43t(transfer to Morocco(Para3 of Rec23-10))</t>
  </si>
  <si>
    <t>(302*0.25)+302</t>
  </si>
  <si>
    <t>368,93+50+(21,393 carryover2025)</t>
  </si>
  <si>
    <t>Quota ajusté 2026: 3870 tonnes = quota initial alloué au Maroc 2025 (4379,47 t) + 143,62 tonnes (reliquat de l'année 2025) + 55 t (transféré de la Namibie au Maroc) + 55 t (transféré du Panama au Maroc) Rec. 25-04</t>
  </si>
  <si>
    <t>302+(302*0.25)</t>
  </si>
  <si>
    <t>=1168+10%1168</t>
  </si>
  <si>
    <t>g) According to Recommendation 25-04 paragraph 4, Norway is allocated a quota of 461.38 t in 2026. Regarding Recommendation 25-04 paragraph 6, Norway requests to transfer 20% of its 2025 quota to 2026. A total of 99.7 t of the Norwegian catch quota was utilized in 2025, and 73.6 t (20% of 368 t) may, according to paragraph 6, be transferred to 2026.</t>
  </si>
  <si>
    <t>= 170 + MAX 25% IQ 2024</t>
  </si>
  <si>
    <t>=1001+10%1001</t>
  </si>
  <si>
    <t>Pour l'année 2026, le quota ajusté est de 3528,55 (le quota initial 3508.85+quota non consommé  des prises accessoires 2024 (19.7T)</t>
  </si>
  <si>
    <t>(4) Adjusted quota for 2026 = 3094,45 t (Quota) + 55tfrom MRT = 3149,45t</t>
  </si>
  <si>
    <t>IQ2027+MAX 25% IQ 2025</t>
  </si>
  <si>
    <t>=IQ2027+MAX. 0.25*IQ2025</t>
  </si>
  <si>
    <t>IQ2026+MAX 40% IQ 2025</t>
  </si>
  <si>
    <t>2026: The UK’s initial quota for 2026 was 230.56t + carry over 12.6 t (20% of our initial quota) from 2025 to 2026 a total of 243,16t.</t>
  </si>
  <si>
    <t>IQ2026+20%IQ2025</t>
  </si>
  <si>
    <t>(10) Límite ajustado 2026 = Límite 2026 + Saldo 2025 (hasta MAX 25% Q2025)</t>
  </si>
  <si>
    <t xml:space="preserve">=112*20%=22.4 </t>
  </si>
  <si>
    <t>[6]= Límite de 2022 +2021 balance - 25% 2021 harvest in excess of base limit = 10 - 181.18 - (0.25*13.69)</t>
  </si>
  <si>
    <t>[7]= Límite de 2023 +2022 balance - 25% 2022 harvest in excess of base limit = 10 - 185.12 - (0.25*0.51)</t>
  </si>
  <si>
    <t>[9]= Límite de 2025 + BALANCE de 2024 (no penalización en virtud Rec. 25-06)</t>
  </si>
  <si>
    <t>[8]= Límite de 2024 + BALANCE de 2023 (no penalización en virtud Rec. 25-06)</t>
  </si>
  <si>
    <t xml:space="preserve">Belize is carrying forward 25% of its initial catch limit (75.5t) from its balance of 206.21t in 2025 to be used in 2027. </t>
  </si>
  <si>
    <t xml:space="preserve">Belize is carrying forward 25% of its initial catch limit (60.5t) from its balance of 121.85t in 2024 to be used in 2026. </t>
  </si>
  <si>
    <t>Belize is carrying forward 25% of its initial catch limit (60.5t) from its balance of 121.85t in 2023 to be used in 2025</t>
  </si>
  <si>
    <t xml:space="preserve">*Belize is carrying forward 25% of its initial balance (75 t) from its balance of 371.13 in 2025 to be used in 2027.  </t>
  </si>
  <si>
    <t>*Belize is carrying forward 40% of its initial limit (52 t) from its initial balance of 181.91t in 2024 to be used in 2026. Transfer of 75 t from Trinidad and Tobago to Belize</t>
  </si>
  <si>
    <t>*Belize is carrying forward 40% of its initial limit (52 t) from its initial balance of 230.01t in 2025 to be used in 2027. Transfer of 75 t from Trinidad and Tobago to Belize</t>
  </si>
  <si>
    <t>2026 = Initial allocation + transfers (from EU 260t) + underage from 2024 (202.2t - max. carry forward)</t>
  </si>
  <si>
    <t>2026 = Initial allocation + overharvest from 2025 (3.09mt) + Mexican transfer (60t)</t>
  </si>
  <si>
    <t>Adjusted limited for 2026=302(initial quota)+302*25% （carryover 2024)=377.5</t>
  </si>
  <si>
    <t>Adjusted limit for 2026=initial quota(111)+available balance of 2024 (11.79t)=122.79t</t>
  </si>
  <si>
    <t>Adjusted limit for 2026=initial quota(313)+313*10%(carryover 2023)= 344.4</t>
  </si>
  <si>
    <t>Adjusted limit for 2026=initial quota(4624.07)+ (IQ2024)336.31+350 t transfer from Japan=5310.38</t>
  </si>
  <si>
    <t>[10]= Límite de 2026 + 125% BALANCE de 2025</t>
  </si>
  <si>
    <t>(2) Egypt's initial quota for 2025 was 150.27 tons. The actual catch reported for 2025 was 153 tons, resulting in an over-harvest of 2.73 tons. In accordance with ICCAT Recommendation 22-08, this overage will be deducted from Egypt's 2026 quota. Therefore, the adjusted quota for 2026 is calculated as 150.27 - 2.73 = 147.27 tons.</t>
  </si>
  <si>
    <t>Egypt's balance as of 2025 stands at 507.675 tons,This balance will be adjusted for 2026, resulting in an adjusted limit of 506.45 tons. The calculation follows the formula specified in ICCAT Recommendation 22-08, under which over-harvest is deducted from the following year's quota.</t>
  </si>
  <si>
    <t>=5521.1+5521.1*0.25-200</t>
    <phoneticPr fontId="2" type="noConversion"/>
  </si>
  <si>
    <t>2026 adjusted quota is 6701.38 t (=5521.1+5521.1*0.25-200)  due to the inclusion of 2024 underage and 2026 initial catch quota and the deduction of transfers of 200 t to Belize.</t>
    <phoneticPr fontId="2" type="noConversion"/>
  </si>
  <si>
    <t>2026 adjusted quota is 10340</t>
  </si>
  <si>
    <t>2026 adjusted quota is 378 t (=270+270*40%) due to the inclusion of 2024 underage and 2026 initial catch quota.</t>
  </si>
  <si>
    <t>2026 adjusted quota is 504.9 t (=459 + 459*10%) due to the inclusion of 2025 underage and 2026 initial catch quota.</t>
  </si>
  <si>
    <t>=9151.19+98.05+223</t>
    <phoneticPr fontId="2" type="noConversion"/>
  </si>
  <si>
    <t>=9151.19+228.05+223</t>
    <phoneticPr fontId="2" type="noConversion"/>
  </si>
  <si>
    <t>2025 adjusted quota is 9472.24 t = 9151.19 (initial quota) +98.05 (carry over of 2023 initial quota pursuant to Rec.23-01) +223 (transfer from Korea).</t>
  </si>
  <si>
    <t>2026 adjusted quota is 9602.24 t = 9151.19 (initial quota) +228.05 (carry over of 2024 initial quota pursuant to Rec.23-01) +223 (transfer from Korea).</t>
  </si>
  <si>
    <t>Quota ajusté 2027: 377,50 tonnes  = quota initial alloué au Maroc 2027 (302 t) + 75,50 tonnes ( reliquat= 25% du quota initial 2025 (302 tonnes) ). Rec ICCAT 21-04, 23-05</t>
  </si>
  <si>
    <t>Quota ajusté 2026: 1488,5 tonnes = quota initial alloué au Maroc (1186 t) + 127,5 t (reliquat= 15% du quota initial 2024 (850 t) + 150 t (transférées par le Japon au Maroc)+ 25 t (transférées par le Trinité-et-Tobago). Rec ICCAT  24-10</t>
  </si>
  <si>
    <t>Quota ajusté 2027: 1453,26 tonnes = quota initial alloué au Maroc (1186 t) + 92.26 t (sous consomation du quota initial 2025 ) + 150 t (transférées par le Japon au Maroc)+ 25 t (transférées par le Trinité-et-Tobago). Rec ICCAT  24-10</t>
  </si>
  <si>
    <t>Quota ajusté 2025: 08 tonnes = quota initial alloué au Maroc 2025 (10t) -02 tonnes (surconsommation). Recommandation ICCAT 19-05/para 3 amendant la Rec 15-05</t>
  </si>
  <si>
    <t>2026=171.34+186.46-transfer to Canada (***) por Rec. 25-05</t>
  </si>
  <si>
    <t>2025=(58.90)</t>
  </si>
  <si>
    <t>[2] = 2025 limit + 2024 Balance</t>
  </si>
  <si>
    <t>[3] = 2026 limit + 2025 Balance</t>
  </si>
  <si>
    <t>JAPAN-S-ALB: 2026 adjusted limit = 1,630t(Limit)+21.05t(2024 carry over(Para 4 of Rec. 22-06))+100t(transfer from Brazil (Para 3 of Rec. 22-06))+100t(transfer from Uruguay(Para 3 of Rec. 22-06))+100t(transfer from South Africa (Para 3 of Rec. 22-06))+386.45t(up to 25% of initial quita(407.5-21.05)(Para 4b) of Rec. 22-06))</t>
  </si>
  <si>
    <t>JAPAN-N-SWO: Japan’s 2026 adjusted limit = 842t(Limit)+2,425.91t(2025 carry over(Para 12 of Rec.25-10))-150t(transfer to Morocco(Para 7 of Rec. 25-10))-25t(transfer to Mauritania(Para 7 of Rec. 25-10))</t>
  </si>
  <si>
    <t>JAPAN-S-SWO: Japan's 2026 adjusted limit  = 901t(Limit)+600.00t(2024 carry over(Para 1(2) of Rec.22-04))-50t(transfer to Namibia(Para 5 of Rec.17-03))</t>
  </si>
  <si>
    <t>JAPAN-E-BFT: Japan's 2026 adjusted limit = 3559.4100t(Limit)(Para 4 of Rec.25-04)+390.64t(2025 carry over (Para 6 of Rec. 25-04))</t>
  </si>
  <si>
    <t>JAPAN-W-BFT: Japan's 2025 adjusted limit = 664.52t(Limit)+19.14t(2024 carry over(Para 6 of Rec. 22-10))</t>
  </si>
  <si>
    <t>JAPAN-W-BFT: Japan's 2026 adjusted limit = 762.39t(Limit)(Para 6b of Rec.25-05)+2.15t(2024 carry over(Para 8a of Rec. 25-05))</t>
  </si>
  <si>
    <t>JAPAN-BIGEYE: Japan's 2026 adjusted limit = 13,865.86t (Para 6 of Rec.24-01)+1,397.98t(13,979.84t*10%)(2024 carry over(Para 7f of Rec.24-01))-350t(transfer to China (Para 12 of Rec.24-01))</t>
  </si>
  <si>
    <t>JAPAN-BUM: Japan's 2026 adjusted limit = 328.1t(Limit)(Para 2 of Rec.19-05)</t>
  </si>
  <si>
    <t>JAPAN-WHM・SPF: Japan's 2026 adjusted limit =35t(Limit)(Para 2 of Rec.19-05)</t>
  </si>
  <si>
    <t>JAPAN-N-BSH: Japan's 2026 adjusted limit = 3,055t(Para 3 of Rec.23-10)-43t(transfer to Morocco(Para 3 of Rec.23-10))</t>
  </si>
  <si>
    <t>JAPAN-S-SMA: Japan's 2026 adjusted limit = 26.32t(Para 2 of Rec.25-08)</t>
  </si>
  <si>
    <t>3.99+170</t>
  </si>
  <si>
    <t>5.66+170</t>
  </si>
  <si>
    <t>5.653+170</t>
  </si>
  <si>
    <t>1100.00+(1337.4*0.1)-223</t>
  </si>
  <si>
    <t>Limite ajustee 2024= Limite 2024+ max. Solde (Limite 2023*0.4) = 250 + (250 * 0.4) = 350 t</t>
  </si>
  <si>
    <t>Limite ajustee 2025= Limite 2025+ max. Solde (Limite 2024*0.4) = 250 + (250 * 0.4)= 350 t</t>
  </si>
  <si>
    <t>Limite ajustee 2026= Limite 2026+ max. Solde (Limite 2025*0.4)= 250 + (250 * 0.4)= 350 t</t>
  </si>
  <si>
    <t>Le calcul du quota ajusté 2026 prend en compte le solde MAX de 2025 (limite initilae 2025*0.2=41.7)uquel est ajouté la limite 2025 (417 t) ce qui donne (41.7+417=458.70) t</t>
  </si>
  <si>
    <t>Limite ajustée 2026=limite 2025+Balance 2025</t>
  </si>
  <si>
    <t>=302+(MAX. 25% from 2023 quota= 60.5t)</t>
  </si>
  <si>
    <t>3528.55 </t>
  </si>
  <si>
    <t>2027: The UK wishes to carry over 25% of its 2025 quota into 2027, 25% of 120 is 30 with the adjusted quota for 2027 therefore being 120+30=150</t>
  </si>
  <si>
    <t>2027: The UK will carry over 40% of its 2025 quota 14.7t into 2027 which means 14.7 + 35.67 = 49.94</t>
  </si>
  <si>
    <t>2027: The UK will carry over 10% of its 2025 quota into 2027 this results in an adjusted quota of 30t. Initial quota of 25+2.5=27.5</t>
  </si>
  <si>
    <t>2026: The UK's initial quota for BFT-W in 2026 is 7.09t. The UK can carry over 100% of the 2025 quota over in to 2026 this means 7.09+6.18=13.27</t>
  </si>
  <si>
    <t>Adjusted limit for 2026 = 889.4  + (.25)(889,4) = 1111.75</t>
  </si>
  <si>
    <t>Adjusted limit for 2026 = 3907.0 + (0.15)(3907) = 4493.05 t</t>
  </si>
  <si>
    <t xml:space="preserve">Adjusted limit for 2026 = 1572.48 + 74.87 = 1647.35 t </t>
  </si>
  <si>
    <t>Adjusted limit for 2026 = 100.0 - (100 t (Namibia (50 t), Cote d'Ivoire (25 t), Belize (25 t)) + 100.0</t>
  </si>
  <si>
    <t>2023 Limit</t>
  </si>
  <si>
    <t>2024 Limit</t>
  </si>
  <si>
    <t>2025 Limit</t>
  </si>
  <si>
    <t>Limite 2026= 35 t sont déduites du quota initial 2026 pour prendre en compte volontairement la surconsommation de 2024= 55t -35 t= 20 t qui est la limite ajustée 2026</t>
  </si>
  <si>
    <t>Adjustment year</t>
  </si>
  <si>
    <t>* (3)</t>
  </si>
  <si>
    <t>* (2)</t>
  </si>
  <si>
    <t>(2) Limite ajustée 2026: 2649,05 t = limite initiale 2025 à laquelle est soustraite 137, 77 t en application pour 2025 du plan de remboursement de 137,77 et à laquelle est ajouté le report de 10% de la limite initiale 2025</t>
  </si>
  <si>
    <t>(3) Limite ajustée de 2027 prend en compte le remboursement de 137, 77 de la surconsommation de 2020 t et 380, 74 t de surconsommation pour 2022= 2546,01-380,74=2027,50</t>
  </si>
  <si>
    <t xml:space="preserve">COC-304/26 Annex 1: APPLICATION OF OVER/UNDERHARVEST / APPLICATION DE SUR/SOUSONSOMMATION / APLICACIÓN DE EXCESO/REMANENTE DE CAPTURA </t>
  </si>
  <si>
    <t>=AQ2024-catches2025+CL2025</t>
  </si>
  <si>
    <t>=AQ205+CL2025</t>
  </si>
  <si>
    <r>
      <t>2021</t>
    </r>
    <r>
      <rPr>
        <b/>
        <vertAlign val="superscript"/>
        <sz val="10"/>
        <color theme="1"/>
        <rFont val="Cambria"/>
        <family val="1"/>
      </rPr>
      <t>b</t>
    </r>
  </si>
  <si>
    <r>
      <t>2022</t>
    </r>
    <r>
      <rPr>
        <b/>
        <vertAlign val="superscript"/>
        <sz val="10"/>
        <color theme="1"/>
        <rFont val="Cambria"/>
        <family val="1"/>
      </rPr>
      <t>c</t>
    </r>
  </si>
  <si>
    <r>
      <t>2023</t>
    </r>
    <r>
      <rPr>
        <b/>
        <vertAlign val="superscript"/>
        <sz val="10"/>
        <color theme="1"/>
        <rFont val="Cambria"/>
        <family val="1"/>
      </rPr>
      <t>d</t>
    </r>
  </si>
  <si>
    <r>
      <t>2024</t>
    </r>
    <r>
      <rPr>
        <b/>
        <vertAlign val="superscript"/>
        <sz val="10"/>
        <color theme="1"/>
        <rFont val="Cambria"/>
        <family val="1"/>
      </rPr>
      <t>e</t>
    </r>
  </si>
  <si>
    <r>
      <t>2025</t>
    </r>
    <r>
      <rPr>
        <b/>
        <vertAlign val="superscript"/>
        <sz val="10"/>
        <color theme="1"/>
        <rFont val="Cambria"/>
        <family val="1"/>
      </rPr>
      <t>f</t>
    </r>
  </si>
  <si>
    <r>
      <t>2026</t>
    </r>
    <r>
      <rPr>
        <b/>
        <vertAlign val="superscript"/>
        <sz val="10"/>
        <color theme="1"/>
        <rFont val="Cambria"/>
        <family val="1"/>
      </rPr>
      <t>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</si>
</sst>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 #,##0_-;_-* &quot;-&quot;_-;_-@_-"/>
    <numFmt numFmtId="165" formatCode="_-* #,##0.00_-;\-* #,##0.00_-;_-* &quot;-&quot;??_-;_-@_-"/>
    <numFmt numFmtId="166" formatCode="0.0_ "/>
    <numFmt numFmtId="167" formatCode="#,##0.00_ "/>
    <numFmt numFmtId="168" formatCode="0.0%"/>
    <numFmt numFmtId="169" formatCode="0.00_);[Red]\(0.00\)"/>
    <numFmt numFmtId="170" formatCode="0.00_);\(0.00\)"/>
    <numFmt numFmtId="171" formatCode="0.000"/>
  </numFmts>
  <fonts count="40" x14ac:knownFonts="1">
    <font>
      <sz val="11"/>
      <color theme="1"/>
      <name val="Calibri"/>
      <family val="2"/>
      <scheme val="minor"/>
    </font>
    <font>
      <sz val="10"/>
      <name val="Arial"/>
      <family val="2"/>
    </font>
    <font>
      <sz val="12"/>
      <name val="Times New Roman"/>
      <family val="1"/>
    </font>
    <font>
      <sz val="10"/>
      <color rgb="FF000000"/>
      <name val="Arial"/>
      <family val="2"/>
    </font>
    <font>
      <sz val="10"/>
      <name val="Arial"/>
      <family val="2"/>
    </font>
    <font>
      <b/>
      <sz val="10"/>
      <name val="Cambria"/>
      <family val="1"/>
    </font>
    <font>
      <sz val="10"/>
      <color rgb="FFFF0000"/>
      <name val="Cambria"/>
      <family val="1"/>
    </font>
    <font>
      <sz val="10"/>
      <color theme="1"/>
      <name val="Cambria"/>
      <family val="1"/>
    </font>
    <font>
      <sz val="10"/>
      <name val="Arial"/>
      <family val="2"/>
    </font>
    <font>
      <sz val="11"/>
      <color theme="1"/>
      <name val="Calibri"/>
      <family val="2"/>
      <scheme val="minor"/>
    </font>
    <font>
      <sz val="8"/>
      <name val="Calibri"/>
      <family val="2"/>
      <scheme val="minor"/>
    </font>
    <font>
      <sz val="10"/>
      <name val="Cambria"/>
      <family val="1"/>
    </font>
    <font>
      <sz val="10"/>
      <name val="Times New Roman"/>
      <family val="1"/>
    </font>
    <font>
      <b/>
      <sz val="10"/>
      <name val="Times New Roman"/>
      <family val="1"/>
    </font>
    <font>
      <vertAlign val="superscript"/>
      <sz val="10"/>
      <name val="Cambria"/>
      <family val="1"/>
    </font>
    <font>
      <sz val="11"/>
      <name val="Calibri"/>
      <family val="2"/>
      <scheme val="minor"/>
    </font>
    <font>
      <b/>
      <sz val="10"/>
      <name val="Calibri"/>
      <family val="2"/>
      <scheme val="minor"/>
    </font>
    <font>
      <sz val="11"/>
      <name val="Cambria"/>
      <family val="1"/>
    </font>
    <font>
      <b/>
      <sz val="11"/>
      <name val="Cambria"/>
      <family val="1"/>
    </font>
    <font>
      <sz val="10"/>
      <name val="Calibri Light"/>
      <family val="1"/>
      <scheme val="major"/>
    </font>
    <font>
      <strike/>
      <sz val="10"/>
      <name val="Cambria"/>
      <family val="1"/>
    </font>
    <font>
      <b/>
      <sz val="12"/>
      <name val="Cambria"/>
      <family val="1"/>
    </font>
    <font>
      <b/>
      <vertAlign val="superscript"/>
      <sz val="10"/>
      <name val="Cambria"/>
      <family val="1"/>
    </font>
    <font>
      <b/>
      <sz val="10"/>
      <color theme="1"/>
      <name val="Cambria"/>
      <family val="1"/>
    </font>
    <font>
      <sz val="11"/>
      <color rgb="FFFF0000"/>
      <name val="Calibri"/>
      <family val="2"/>
      <scheme val="minor"/>
    </font>
    <font>
      <sz val="10"/>
      <color rgb="FFFF0000"/>
      <name val="Times New Roman"/>
      <family val="1"/>
    </font>
    <font>
      <sz val="11"/>
      <color rgb="FFFF0000"/>
      <name val="Cambria"/>
      <family val="1"/>
    </font>
    <font>
      <sz val="10"/>
      <color rgb="FFFF0000"/>
      <name val="Calibri Light"/>
      <family val="1"/>
      <scheme val="major"/>
    </font>
    <font>
      <sz val="10"/>
      <color theme="1"/>
      <name val="Times New Roman"/>
      <family val="1"/>
    </font>
    <font>
      <sz val="10"/>
      <name val="Arial"/>
    </font>
    <font>
      <sz val="10"/>
      <color theme="1"/>
      <name val="Arial"/>
      <family val="2"/>
    </font>
    <font>
      <b/>
      <sz val="12"/>
      <color theme="1"/>
      <name val="Cambria"/>
      <family val="1"/>
    </font>
    <font>
      <b/>
      <sz val="10"/>
      <color theme="1"/>
      <name val="Calibri"/>
      <family val="2"/>
      <scheme val="minor"/>
    </font>
    <font>
      <sz val="10"/>
      <color theme="1"/>
      <name val="Calibri Light"/>
      <family val="1"/>
      <scheme val="major"/>
    </font>
    <font>
      <sz val="10"/>
      <color theme="1"/>
      <name val="Cambria"/>
      <family val="1"/>
      <charset val="1"/>
    </font>
    <font>
      <b/>
      <sz val="10"/>
      <color theme="1"/>
      <name val="Times New Roman"/>
      <family val="1"/>
    </font>
    <font>
      <strike/>
      <sz val="10"/>
      <color theme="1"/>
      <name val="Cambria"/>
      <family val="1"/>
    </font>
    <font>
      <b/>
      <sz val="10"/>
      <color theme="1"/>
      <name val="Cambria"/>
      <family val="1"/>
      <charset val="1"/>
    </font>
    <font>
      <sz val="11"/>
      <color theme="1"/>
      <name val="Times New Roman"/>
      <family val="1"/>
    </font>
    <font>
      <b/>
      <vertAlign val="superscript"/>
      <sz val="10"/>
      <color theme="1"/>
      <name val="Cambria"/>
      <family val="1"/>
    </font>
  </fonts>
  <fills count="2">
    <fill>
      <patternFill patternType="none"/>
    </fill>
    <fill>
      <patternFill patternType="gray125"/>
    </fill>
  </fills>
  <borders count="6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thin">
        <color theme="1"/>
      </left>
      <right style="thin">
        <color theme="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s>
  <cellStyleXfs count="13">
    <xf numFmtId="0" fontId="0" fillId="0" borderId="0"/>
    <xf numFmtId="0" fontId="1" fillId="0" borderId="0"/>
    <xf numFmtId="0" fontId="1" fillId="0" borderId="0"/>
    <xf numFmtId="0" fontId="1" fillId="0" borderId="0"/>
    <xf numFmtId="0" fontId="3" fillId="0" borderId="0"/>
    <xf numFmtId="0" fontId="4" fillId="0" borderId="0"/>
    <xf numFmtId="0" fontId="8" fillId="0" borderId="0"/>
    <xf numFmtId="0" fontId="1" fillId="0" borderId="0"/>
    <xf numFmtId="164" fontId="9" fillId="0" borderId="0" applyFont="0" applyFill="0" applyBorder="0" applyAlignment="0" applyProtection="0"/>
    <xf numFmtId="38" fontId="1" fillId="0" borderId="0" applyFont="0" applyFill="0" applyBorder="0" applyAlignment="0" applyProtection="0">
      <alignment vertical="center"/>
    </xf>
    <xf numFmtId="0" fontId="9" fillId="0" borderId="0"/>
    <xf numFmtId="0" fontId="29" fillId="0" borderId="0"/>
    <xf numFmtId="165" fontId="29" fillId="0" borderId="0" applyFont="0" applyFill="0" applyBorder="0" applyAlignment="0" applyProtection="0"/>
  </cellStyleXfs>
  <cellXfs count="1046">
    <xf numFmtId="0" fontId="0" fillId="0" borderId="0" xfId="0"/>
    <xf numFmtId="40" fontId="11" fillId="0" borderId="32" xfId="8" applyNumberFormat="1" applyFont="1" applyFill="1" applyBorder="1" applyAlignment="1"/>
    <xf numFmtId="4" fontId="11" fillId="0" borderId="32" xfId="9" applyNumberFormat="1" applyFont="1" applyFill="1" applyBorder="1" applyAlignment="1">
      <alignment horizontal="center"/>
    </xf>
    <xf numFmtId="4" fontId="11" fillId="0" borderId="35" xfId="9" applyNumberFormat="1" applyFont="1" applyFill="1" applyBorder="1" applyAlignment="1">
      <alignment horizontal="center"/>
    </xf>
    <xf numFmtId="0" fontId="16" fillId="0" borderId="0" xfId="0" applyFont="1" applyFill="1"/>
    <xf numFmtId="0" fontId="5" fillId="0" borderId="0" xfId="0" applyFont="1" applyFill="1"/>
    <xf numFmtId="0" fontId="11" fillId="0" borderId="0" xfId="0" applyFont="1" applyFill="1"/>
    <xf numFmtId="0" fontId="11" fillId="0" borderId="0" xfId="0" applyFont="1" applyFill="1" applyAlignment="1">
      <alignment wrapText="1"/>
    </xf>
    <xf numFmtId="0" fontId="5" fillId="0" borderId="1" xfId="0" applyFont="1" applyFill="1" applyBorder="1"/>
    <xf numFmtId="0" fontId="5" fillId="0" borderId="2" xfId="0" applyFont="1" applyFill="1" applyBorder="1"/>
    <xf numFmtId="0" fontId="5" fillId="0" borderId="1" xfId="1" applyFont="1" applyFill="1" applyBorder="1"/>
    <xf numFmtId="0" fontId="5" fillId="0" borderId="2" xfId="1" applyFont="1" applyFill="1" applyBorder="1"/>
    <xf numFmtId="0" fontId="11" fillId="0" borderId="2" xfId="1" applyFont="1" applyFill="1" applyBorder="1"/>
    <xf numFmtId="0" fontId="11" fillId="0" borderId="0" xfId="1" applyFont="1" applyFill="1"/>
    <xf numFmtId="0" fontId="11" fillId="0" borderId="32" xfId="1" applyFont="1" applyFill="1" applyBorder="1"/>
    <xf numFmtId="0" fontId="5" fillId="0" borderId="32" xfId="1" applyFont="1" applyFill="1" applyBorder="1" applyAlignment="1">
      <alignment horizontal="center"/>
    </xf>
    <xf numFmtId="2" fontId="11" fillId="0" borderId="32" xfId="1" applyNumberFormat="1" applyFont="1" applyFill="1" applyBorder="1"/>
    <xf numFmtId="0" fontId="11" fillId="0" borderId="32" xfId="0" applyFont="1" applyFill="1" applyBorder="1" applyAlignment="1">
      <alignment wrapText="1"/>
    </xf>
    <xf numFmtId="2" fontId="11" fillId="0" borderId="32" xfId="0" applyNumberFormat="1" applyFont="1" applyFill="1" applyBorder="1" applyAlignment="1">
      <alignment wrapText="1"/>
    </xf>
    <xf numFmtId="0" fontId="11" fillId="0" borderId="32" xfId="1" applyFont="1" applyFill="1" applyBorder="1" applyAlignment="1">
      <alignment horizontal="right"/>
    </xf>
    <xf numFmtId="0" fontId="11" fillId="0" borderId="35" xfId="1" applyFont="1" applyFill="1" applyBorder="1"/>
    <xf numFmtId="0" fontId="11" fillId="0" borderId="35" xfId="1" applyFont="1" applyFill="1" applyBorder="1" applyAlignment="1">
      <alignment horizontal="center"/>
    </xf>
    <xf numFmtId="0" fontId="11" fillId="0" borderId="35" xfId="0" applyFont="1" applyFill="1" applyBorder="1" applyAlignment="1">
      <alignment wrapText="1"/>
    </xf>
    <xf numFmtId="0" fontId="11" fillId="0" borderId="38" xfId="1" applyFont="1" applyFill="1" applyBorder="1" applyAlignment="1">
      <alignment horizontal="left"/>
    </xf>
    <xf numFmtId="0" fontId="11" fillId="0" borderId="39" xfId="1" applyFont="1" applyFill="1" applyBorder="1" applyAlignment="1">
      <alignment wrapText="1"/>
    </xf>
    <xf numFmtId="0" fontId="11" fillId="0" borderId="39" xfId="1" applyFont="1" applyFill="1" applyBorder="1" applyAlignment="1">
      <alignment horizontal="left" wrapText="1"/>
    </xf>
    <xf numFmtId="0" fontId="19" fillId="0" borderId="0" xfId="0" applyFont="1" applyFill="1" applyAlignment="1">
      <alignment horizontal="left" wrapText="1"/>
    </xf>
    <xf numFmtId="0" fontId="5" fillId="0" borderId="4" xfId="0" applyFont="1" applyFill="1" applyBorder="1"/>
    <xf numFmtId="0" fontId="11" fillId="0" borderId="1" xfId="0" applyFont="1" applyFill="1" applyBorder="1"/>
    <xf numFmtId="0" fontId="11" fillId="0" borderId="4" xfId="0" applyFont="1" applyFill="1" applyBorder="1"/>
    <xf numFmtId="2" fontId="11" fillId="0" borderId="4" xfId="0" applyNumberFormat="1" applyFont="1" applyFill="1" applyBorder="1"/>
    <xf numFmtId="1" fontId="11" fillId="0" borderId="4" xfId="0" applyNumberFormat="1" applyFont="1" applyFill="1" applyBorder="1"/>
    <xf numFmtId="1" fontId="11" fillId="0" borderId="4" xfId="0" applyNumberFormat="1" applyFont="1" applyFill="1" applyBorder="1" applyAlignment="1">
      <alignment wrapText="1"/>
    </xf>
    <xf numFmtId="2" fontId="5" fillId="0" borderId="4" xfId="0" applyNumberFormat="1" applyFont="1" applyFill="1" applyBorder="1"/>
    <xf numFmtId="0" fontId="11" fillId="0" borderId="7" xfId="0" applyFont="1" applyFill="1" applyBorder="1"/>
    <xf numFmtId="0" fontId="11" fillId="0" borderId="15" xfId="0" applyFont="1" applyFill="1" applyBorder="1"/>
    <xf numFmtId="0" fontId="11" fillId="0" borderId="44" xfId="0" applyFont="1" applyFill="1" applyBorder="1"/>
    <xf numFmtId="0" fontId="11" fillId="0" borderId="45" xfId="0" applyFont="1" applyFill="1" applyBorder="1"/>
    <xf numFmtId="0" fontId="16" fillId="0" borderId="45" xfId="0" applyFont="1" applyFill="1" applyBorder="1"/>
    <xf numFmtId="0" fontId="5" fillId="0" borderId="45" xfId="0" applyFont="1" applyFill="1" applyBorder="1"/>
    <xf numFmtId="0" fontId="11" fillId="0" borderId="46" xfId="0" applyFont="1" applyFill="1" applyBorder="1"/>
    <xf numFmtId="0" fontId="11" fillId="0" borderId="11" xfId="0" applyFont="1" applyFill="1" applyBorder="1" applyAlignment="1">
      <alignment horizontal="left" wrapText="1"/>
    </xf>
    <xf numFmtId="0" fontId="11" fillId="0" borderId="6" xfId="0" applyFont="1" applyFill="1" applyBorder="1" applyAlignment="1">
      <alignment horizontal="left" wrapText="1"/>
    </xf>
    <xf numFmtId="0" fontId="16" fillId="0" borderId="6" xfId="0" applyFont="1" applyFill="1" applyBorder="1"/>
    <xf numFmtId="0" fontId="5" fillId="0" borderId="6" xfId="0" applyFont="1" applyFill="1" applyBorder="1"/>
    <xf numFmtId="0" fontId="11" fillId="0" borderId="3" xfId="0" applyFont="1" applyFill="1" applyBorder="1"/>
    <xf numFmtId="0" fontId="7" fillId="0" borderId="4" xfId="0" applyFont="1" applyFill="1" applyBorder="1"/>
    <xf numFmtId="2" fontId="7" fillId="0" borderId="4" xfId="0" applyNumberFormat="1" applyFont="1" applyFill="1" applyBorder="1"/>
    <xf numFmtId="1" fontId="7" fillId="0" borderId="4" xfId="0" applyNumberFormat="1" applyFont="1" applyFill="1" applyBorder="1" applyAlignment="1">
      <alignment wrapText="1"/>
    </xf>
    <xf numFmtId="0" fontId="7" fillId="0" borderId="15" xfId="0" applyFont="1" applyFill="1" applyBorder="1"/>
    <xf numFmtId="0" fontId="11" fillId="0" borderId="38" xfId="0" applyFont="1" applyFill="1" applyBorder="1"/>
    <xf numFmtId="0" fontId="11" fillId="0" borderId="39" xfId="0" applyFont="1" applyFill="1" applyBorder="1"/>
    <xf numFmtId="0" fontId="16" fillId="0" borderId="33" xfId="0" applyFont="1" applyFill="1" applyBorder="1"/>
    <xf numFmtId="0" fontId="11" fillId="0" borderId="44" xfId="0" applyFont="1" applyFill="1" applyBorder="1" applyAlignment="1">
      <alignment horizontal="left" wrapText="1"/>
    </xf>
    <xf numFmtId="0" fontId="11" fillId="0" borderId="45" xfId="0" applyFont="1" applyFill="1" applyBorder="1" applyAlignment="1">
      <alignment horizontal="left" wrapText="1"/>
    </xf>
    <xf numFmtId="46" fontId="5" fillId="0" borderId="11" xfId="0" applyNumberFormat="1" applyFont="1" applyFill="1" applyBorder="1" applyAlignment="1">
      <alignment horizontal="left" wrapText="1"/>
    </xf>
    <xf numFmtId="46" fontId="5" fillId="0" borderId="6" xfId="0" applyNumberFormat="1" applyFont="1" applyFill="1" applyBorder="1" applyAlignment="1">
      <alignment horizontal="left" wrapText="1"/>
    </xf>
    <xf numFmtId="0" fontId="5" fillId="0" borderId="3" xfId="0" applyFont="1" applyFill="1" applyBorder="1"/>
    <xf numFmtId="0" fontId="6" fillId="0" borderId="0" xfId="0" applyFont="1" applyFill="1" applyAlignment="1">
      <alignment horizontal="left" wrapText="1"/>
    </xf>
    <xf numFmtId="2" fontId="31" fillId="0" borderId="4" xfId="0" applyNumberFormat="1" applyFont="1" applyFill="1" applyBorder="1"/>
    <xf numFmtId="2" fontId="21" fillId="0" borderId="4" xfId="0" applyNumberFormat="1" applyFont="1" applyFill="1" applyBorder="1"/>
    <xf numFmtId="0" fontId="11" fillId="0" borderId="5" xfId="0" applyFont="1" applyFill="1" applyBorder="1"/>
    <xf numFmtId="0" fontId="11" fillId="0" borderId="34" xfId="0" applyFont="1" applyFill="1" applyBorder="1"/>
    <xf numFmtId="0" fontId="11" fillId="0" borderId="36" xfId="0" applyFont="1" applyFill="1" applyBorder="1"/>
    <xf numFmtId="0" fontId="11" fillId="0" borderId="12" xfId="0" applyFont="1" applyFill="1" applyBorder="1"/>
    <xf numFmtId="0" fontId="6" fillId="0" borderId="0" xfId="0" applyFont="1" applyFill="1"/>
    <xf numFmtId="0" fontId="11" fillId="0" borderId="10" xfId="0" applyFont="1" applyFill="1" applyBorder="1"/>
    <xf numFmtId="0" fontId="7" fillId="0" borderId="12" xfId="0" applyFont="1" applyFill="1" applyBorder="1"/>
    <xf numFmtId="0" fontId="7" fillId="0" borderId="0" xfId="0" applyFont="1" applyFill="1"/>
    <xf numFmtId="0" fontId="6" fillId="0" borderId="11" xfId="0" applyFont="1" applyFill="1" applyBorder="1"/>
    <xf numFmtId="0" fontId="6" fillId="0" borderId="6" xfId="0" applyFont="1" applyFill="1" applyBorder="1"/>
    <xf numFmtId="0" fontId="6" fillId="0" borderId="3" xfId="0" applyFont="1" applyFill="1" applyBorder="1"/>
    <xf numFmtId="0" fontId="11" fillId="0" borderId="11" xfId="0" applyFont="1" applyFill="1" applyBorder="1"/>
    <xf numFmtId="0" fontId="11" fillId="0" borderId="6" xfId="0" applyFont="1" applyFill="1" applyBorder="1"/>
    <xf numFmtId="0" fontId="11" fillId="0" borderId="0" xfId="0" applyFont="1" applyFill="1" applyAlignment="1">
      <alignment vertical="center"/>
    </xf>
    <xf numFmtId="0" fontId="15" fillId="0" borderId="0" xfId="0" applyFont="1" applyFill="1"/>
    <xf numFmtId="0" fontId="11" fillId="0" borderId="4" xfId="0" applyFont="1" applyFill="1" applyBorder="1" applyAlignment="1">
      <alignment vertical="center"/>
    </xf>
    <xf numFmtId="0" fontId="11" fillId="0" borderId="54" xfId="0" applyFont="1" applyFill="1" applyBorder="1"/>
    <xf numFmtId="2" fontId="11" fillId="0" borderId="54" xfId="0" applyNumberFormat="1" applyFont="1" applyFill="1" applyBorder="1"/>
    <xf numFmtId="2" fontId="11" fillId="0" borderId="0" xfId="0" applyNumberFormat="1" applyFont="1" applyFill="1"/>
    <xf numFmtId="0" fontId="11" fillId="0" borderId="4" xfId="0" applyFont="1" applyFill="1" applyBorder="1" applyAlignment="1">
      <alignment horizontal="right" vertical="center"/>
    </xf>
    <xf numFmtId="0" fontId="11" fillId="0" borderId="55" xfId="0" applyFont="1" applyFill="1" applyBorder="1"/>
    <xf numFmtId="0" fontId="11" fillId="0" borderId="53" xfId="0" applyFont="1" applyFill="1" applyBorder="1"/>
    <xf numFmtId="0" fontId="11" fillId="0" borderId="56" xfId="0" applyFont="1" applyFill="1" applyBorder="1" applyAlignment="1">
      <alignment vertical="center"/>
    </xf>
    <xf numFmtId="0" fontId="11" fillId="0" borderId="56" xfId="0" applyFont="1" applyFill="1" applyBorder="1"/>
    <xf numFmtId="0" fontId="11" fillId="0" borderId="12" xfId="0" applyFont="1" applyFill="1" applyBorder="1" applyAlignment="1">
      <alignment vertical="center"/>
    </xf>
    <xf numFmtId="0" fontId="15" fillId="0" borderId="10" xfId="0" applyFont="1" applyFill="1" applyBorder="1"/>
    <xf numFmtId="0" fontId="11" fillId="0" borderId="6" xfId="0" applyFont="1" applyFill="1" applyBorder="1" applyAlignment="1">
      <alignment vertical="center"/>
    </xf>
    <xf numFmtId="0" fontId="15" fillId="0" borderId="6" xfId="0" applyFont="1" applyFill="1" applyBorder="1"/>
    <xf numFmtId="0" fontId="15" fillId="0" borderId="3" xfId="0" applyFont="1" applyFill="1" applyBorder="1"/>
    <xf numFmtId="0" fontId="11" fillId="0" borderId="35" xfId="0" applyFont="1" applyFill="1" applyBorder="1"/>
    <xf numFmtId="0" fontId="5" fillId="0" borderId="24" xfId="1" applyFont="1" applyFill="1" applyBorder="1"/>
    <xf numFmtId="0" fontId="5" fillId="0" borderId="4" xfId="1" applyFont="1" applyFill="1" applyBorder="1"/>
    <xf numFmtId="0" fontId="11" fillId="0" borderId="1" xfId="1" applyFont="1" applyFill="1" applyBorder="1"/>
    <xf numFmtId="0" fontId="11" fillId="0" borderId="4" xfId="1" applyFont="1" applyFill="1" applyBorder="1"/>
    <xf numFmtId="0" fontId="5" fillId="0" borderId="5" xfId="1" applyFont="1" applyFill="1" applyBorder="1"/>
    <xf numFmtId="2" fontId="11" fillId="0" borderId="5" xfId="1" applyNumberFormat="1" applyFont="1" applyFill="1" applyBorder="1"/>
    <xf numFmtId="2" fontId="11" fillId="0" borderId="4" xfId="1" applyNumberFormat="1" applyFont="1" applyFill="1" applyBorder="1"/>
    <xf numFmtId="2" fontId="11" fillId="0" borderId="38" xfId="1" applyNumberFormat="1" applyFont="1" applyFill="1" applyBorder="1" applyAlignment="1">
      <alignment horizontal="center"/>
    </xf>
    <xf numFmtId="2" fontId="11" fillId="0" borderId="39" xfId="1" applyNumberFormat="1" applyFont="1" applyFill="1" applyBorder="1" applyAlignment="1">
      <alignment horizontal="center"/>
    </xf>
    <xf numFmtId="0" fontId="0" fillId="0" borderId="33" xfId="0" applyFill="1" applyBorder="1"/>
    <xf numFmtId="0" fontId="11" fillId="0" borderId="32" xfId="0" applyFont="1" applyFill="1" applyBorder="1"/>
    <xf numFmtId="0" fontId="11" fillId="0" borderId="7" xfId="1" applyFont="1" applyFill="1" applyBorder="1"/>
    <xf numFmtId="0" fontId="11" fillId="0" borderId="15" xfId="1" applyFont="1" applyFill="1" applyBorder="1"/>
    <xf numFmtId="0" fontId="11" fillId="0" borderId="8" xfId="1" applyFont="1" applyFill="1" applyBorder="1"/>
    <xf numFmtId="0" fontId="11" fillId="0" borderId="7" xfId="1" applyFont="1" applyFill="1" applyBorder="1" applyAlignment="1">
      <alignment horizontal="left"/>
    </xf>
    <xf numFmtId="0" fontId="11" fillId="0" borderId="8" xfId="1" applyFont="1" applyFill="1" applyBorder="1" applyAlignment="1">
      <alignment horizontal="left"/>
    </xf>
    <xf numFmtId="0" fontId="11" fillId="0" borderId="8" xfId="0" applyFont="1" applyFill="1" applyBorder="1"/>
    <xf numFmtId="0" fontId="11" fillId="0" borderId="9" xfId="0" applyFont="1" applyFill="1" applyBorder="1"/>
    <xf numFmtId="0" fontId="12" fillId="0" borderId="53" xfId="0" applyFont="1" applyFill="1" applyBorder="1" applyAlignment="1">
      <alignment horizontal="left"/>
    </xf>
    <xf numFmtId="0" fontId="12" fillId="0" borderId="56" xfId="0" applyFont="1" applyFill="1" applyBorder="1" applyAlignment="1">
      <alignment horizontal="left"/>
    </xf>
    <xf numFmtId="0" fontId="12" fillId="0" borderId="12" xfId="0" applyFont="1" applyFill="1" applyBorder="1" applyAlignment="1">
      <alignment horizontal="left"/>
    </xf>
    <xf numFmtId="0" fontId="12" fillId="0" borderId="0" xfId="0" applyFont="1" applyFill="1" applyAlignment="1">
      <alignment horizontal="left"/>
    </xf>
    <xf numFmtId="0" fontId="11" fillId="0" borderId="0" xfId="1" applyFont="1" applyFill="1" applyAlignment="1">
      <alignment horizontal="left"/>
    </xf>
    <xf numFmtId="0" fontId="12" fillId="0" borderId="12" xfId="0" applyFont="1" applyFill="1" applyBorder="1"/>
    <xf numFmtId="0" fontId="28" fillId="0" borderId="12" xfId="0" applyFont="1" applyFill="1" applyBorder="1"/>
    <xf numFmtId="0" fontId="12" fillId="0" borderId="0" xfId="0" applyFont="1" applyFill="1"/>
    <xf numFmtId="0" fontId="25" fillId="0" borderId="11" xfId="0" applyFont="1" applyFill="1" applyBorder="1"/>
    <xf numFmtId="0" fontId="12" fillId="0" borderId="6" xfId="0" applyFont="1" applyFill="1" applyBorder="1"/>
    <xf numFmtId="0" fontId="25" fillId="0" borderId="0" xfId="0" applyFont="1" applyFill="1"/>
    <xf numFmtId="0" fontId="12" fillId="0" borderId="11" xfId="0" applyFont="1" applyFill="1" applyBorder="1"/>
    <xf numFmtId="0" fontId="11" fillId="0" borderId="6" xfId="1" applyFont="1" applyFill="1" applyBorder="1"/>
    <xf numFmtId="0" fontId="11" fillId="0" borderId="24" xfId="1" applyFont="1" applyFill="1" applyBorder="1"/>
    <xf numFmtId="2" fontId="11" fillId="0" borderId="33" xfId="1" applyNumberFormat="1" applyFont="1" applyFill="1" applyBorder="1" applyAlignment="1">
      <alignment horizontal="center"/>
    </xf>
    <xf numFmtId="2" fontId="11" fillId="0" borderId="16" xfId="1" applyNumberFormat="1" applyFont="1" applyFill="1" applyBorder="1"/>
    <xf numFmtId="0" fontId="11" fillId="0" borderId="25" xfId="1" applyFont="1" applyFill="1" applyBorder="1"/>
    <xf numFmtId="0" fontId="11" fillId="0" borderId="44" xfId="1" applyFont="1" applyFill="1" applyBorder="1"/>
    <xf numFmtId="0" fontId="11" fillId="0" borderId="45" xfId="1" applyFont="1" applyFill="1" applyBorder="1"/>
    <xf numFmtId="0" fontId="11" fillId="0" borderId="12" xfId="1" applyFont="1" applyFill="1" applyBorder="1"/>
    <xf numFmtId="0" fontId="6" fillId="0" borderId="6" xfId="1" applyFont="1" applyFill="1" applyBorder="1"/>
    <xf numFmtId="0" fontId="11" fillId="0" borderId="53" xfId="1" applyFont="1" applyFill="1" applyBorder="1"/>
    <xf numFmtId="0" fontId="11" fillId="0" borderId="56" xfId="1" applyFont="1" applyFill="1" applyBorder="1"/>
    <xf numFmtId="0" fontId="6" fillId="0" borderId="11" xfId="1" applyFont="1" applyFill="1" applyBorder="1"/>
    <xf numFmtId="2" fontId="11" fillId="0" borderId="1" xfId="1" applyNumberFormat="1" applyFont="1" applyFill="1" applyBorder="1"/>
    <xf numFmtId="2" fontId="11" fillId="0" borderId="2" xfId="1" applyNumberFormat="1" applyFont="1" applyFill="1" applyBorder="1"/>
    <xf numFmtId="39" fontId="11" fillId="0" borderId="4" xfId="1" applyNumberFormat="1" applyFont="1" applyFill="1" applyBorder="1"/>
    <xf numFmtId="165" fontId="11" fillId="0" borderId="4" xfId="1" applyNumberFormat="1" applyFont="1" applyFill="1" applyBorder="1"/>
    <xf numFmtId="1" fontId="11" fillId="0" borderId="15" xfId="1" applyNumberFormat="1" applyFont="1" applyFill="1" applyBorder="1"/>
    <xf numFmtId="0" fontId="5" fillId="0" borderId="11" xfId="1" applyFont="1" applyFill="1" applyBorder="1"/>
    <xf numFmtId="0" fontId="5" fillId="0" borderId="3" xfId="1" applyFont="1" applyFill="1" applyBorder="1"/>
    <xf numFmtId="0" fontId="5" fillId="0" borderId="16" xfId="1" applyFont="1" applyFill="1" applyBorder="1"/>
    <xf numFmtId="170" fontId="11" fillId="0" borderId="4" xfId="1" applyNumberFormat="1" applyFont="1" applyFill="1" applyBorder="1"/>
    <xf numFmtId="165" fontId="11" fillId="0" borderId="4" xfId="1" applyNumberFormat="1" applyFont="1" applyFill="1" applyBorder="1" applyAlignment="1">
      <alignment wrapText="1"/>
    </xf>
    <xf numFmtId="0" fontId="11" fillId="0" borderId="53" xfId="1" applyFont="1" applyFill="1" applyBorder="1" applyAlignment="1">
      <alignment horizontal="left"/>
    </xf>
    <xf numFmtId="0" fontId="11" fillId="0" borderId="56" xfId="1" applyFont="1" applyFill="1" applyBorder="1" applyAlignment="1">
      <alignment horizontal="left"/>
    </xf>
    <xf numFmtId="0" fontId="11" fillId="0" borderId="12" xfId="1" applyFont="1" applyFill="1" applyBorder="1" applyAlignment="1">
      <alignment horizontal="left"/>
    </xf>
    <xf numFmtId="0" fontId="11" fillId="0" borderId="11" xfId="1" applyFont="1" applyFill="1" applyBorder="1" applyAlignment="1">
      <alignment horizontal="left"/>
    </xf>
    <xf numFmtId="0" fontId="11" fillId="0" borderId="6" xfId="1" applyFont="1" applyFill="1" applyBorder="1" applyAlignment="1">
      <alignment horizontal="left"/>
    </xf>
    <xf numFmtId="0" fontId="6" fillId="0" borderId="56" xfId="1" applyFont="1" applyFill="1" applyBorder="1" applyAlignment="1">
      <alignment horizontal="left"/>
    </xf>
    <xf numFmtId="0" fontId="5" fillId="0" borderId="52" xfId="1" applyFont="1" applyFill="1" applyBorder="1"/>
    <xf numFmtId="0" fontId="5" fillId="0" borderId="58" xfId="1" applyFont="1" applyFill="1" applyBorder="1"/>
    <xf numFmtId="0" fontId="5" fillId="0" borderId="54" xfId="1" applyFont="1" applyFill="1" applyBorder="1"/>
    <xf numFmtId="0" fontId="11" fillId="0" borderId="34" xfId="1" applyFont="1" applyFill="1" applyBorder="1"/>
    <xf numFmtId="1" fontId="11" fillId="0" borderId="35" xfId="1" applyNumberFormat="1" applyFont="1" applyFill="1" applyBorder="1"/>
    <xf numFmtId="0" fontId="12" fillId="0" borderId="35" xfId="0" applyFont="1" applyFill="1" applyBorder="1"/>
    <xf numFmtId="0" fontId="11" fillId="0" borderId="44" xfId="1" applyFont="1" applyFill="1" applyBorder="1" applyAlignment="1">
      <alignment horizontal="left"/>
    </xf>
    <xf numFmtId="0" fontId="11" fillId="0" borderId="45" xfId="1" applyFont="1" applyFill="1" applyBorder="1" applyAlignment="1">
      <alignment horizontal="left"/>
    </xf>
    <xf numFmtId="0" fontId="12" fillId="0" borderId="12" xfId="0" applyFont="1" applyFill="1" applyBorder="1" applyAlignment="1">
      <alignment horizontal="left" wrapText="1"/>
    </xf>
    <xf numFmtId="0" fontId="12" fillId="0" borderId="0" xfId="0" applyFont="1" applyFill="1" applyAlignment="1">
      <alignment horizontal="left" wrapText="1"/>
    </xf>
    <xf numFmtId="2" fontId="6" fillId="0" borderId="4" xfId="0" applyNumberFormat="1" applyFont="1" applyFill="1" applyBorder="1"/>
    <xf numFmtId="0" fontId="11" fillId="0" borderId="34" xfId="1" applyFont="1" applyFill="1" applyBorder="1" applyAlignment="1">
      <alignment vertical="top" wrapText="1"/>
    </xf>
    <xf numFmtId="0" fontId="11" fillId="0" borderId="36" xfId="1" applyFont="1" applyFill="1" applyBorder="1" applyAlignment="1">
      <alignment vertical="top" wrapText="1"/>
    </xf>
    <xf numFmtId="0" fontId="11" fillId="0" borderId="34" xfId="1" applyFont="1" applyFill="1" applyBorder="1" applyAlignment="1">
      <alignment vertical="top"/>
    </xf>
    <xf numFmtId="0" fontId="6" fillId="0" borderId="12" xfId="1" applyFont="1" applyFill="1" applyBorder="1" applyAlignment="1">
      <alignment vertical="top"/>
    </xf>
    <xf numFmtId="0" fontId="11" fillId="0" borderId="0" xfId="1" applyFont="1" applyFill="1" applyAlignment="1">
      <alignment vertical="top" wrapText="1"/>
    </xf>
    <xf numFmtId="0" fontId="11" fillId="0" borderId="0" xfId="1" applyFont="1" applyFill="1" applyAlignment="1">
      <alignment wrapText="1"/>
    </xf>
    <xf numFmtId="0" fontId="6" fillId="0" borderId="11" xfId="1" applyFont="1" applyFill="1" applyBorder="1" applyAlignment="1">
      <alignment vertical="top"/>
    </xf>
    <xf numFmtId="0" fontId="11" fillId="0" borderId="6" xfId="1" applyFont="1" applyFill="1" applyBorder="1" applyAlignment="1">
      <alignment vertical="top" wrapText="1"/>
    </xf>
    <xf numFmtId="0" fontId="11" fillId="0" borderId="6" xfId="1" applyFont="1" applyFill="1" applyBorder="1" applyAlignment="1">
      <alignment wrapText="1"/>
    </xf>
    <xf numFmtId="0" fontId="11" fillId="0" borderId="0" xfId="0" applyFont="1" applyFill="1" applyAlignment="1">
      <alignment horizontal="left"/>
    </xf>
    <xf numFmtId="0" fontId="5" fillId="0" borderId="35" xfId="1" applyFont="1" applyFill="1" applyBorder="1"/>
    <xf numFmtId="0" fontId="5" fillId="0" borderId="36" xfId="1" applyFont="1" applyFill="1" applyBorder="1"/>
    <xf numFmtId="0" fontId="5" fillId="0" borderId="35" xfId="0" applyFont="1" applyFill="1" applyBorder="1"/>
    <xf numFmtId="0" fontId="5" fillId="0" borderId="32" xfId="0" applyFont="1" applyFill="1" applyBorder="1"/>
    <xf numFmtId="2" fontId="11" fillId="0" borderId="32" xfId="0" applyNumberFormat="1" applyFont="1" applyFill="1" applyBorder="1"/>
    <xf numFmtId="2" fontId="11" fillId="0" borderId="32" xfId="1" applyNumberFormat="1" applyFont="1" applyFill="1" applyBorder="1" applyAlignment="1">
      <alignment horizontal="right"/>
    </xf>
    <xf numFmtId="0" fontId="11" fillId="0" borderId="55" xfId="1" applyFont="1" applyFill="1" applyBorder="1"/>
    <xf numFmtId="1" fontId="11" fillId="0" borderId="55" xfId="1" applyNumberFormat="1" applyFont="1" applyFill="1" applyBorder="1"/>
    <xf numFmtId="0" fontId="11" fillId="0" borderId="52" xfId="1" applyFont="1" applyFill="1" applyBorder="1" applyAlignment="1">
      <alignment horizontal="left" vertical="center" wrapText="1"/>
    </xf>
    <xf numFmtId="0" fontId="11" fillId="0" borderId="59" xfId="1" applyFont="1" applyFill="1" applyBorder="1" applyAlignment="1">
      <alignment horizontal="left" vertical="center" wrapText="1"/>
    </xf>
    <xf numFmtId="0" fontId="11" fillId="0" borderId="58" xfId="1" applyFont="1" applyFill="1" applyBorder="1" applyAlignment="1">
      <alignment horizontal="left" vertical="center" wrapText="1"/>
    </xf>
    <xf numFmtId="0" fontId="11" fillId="0" borderId="5" xfId="1" applyFont="1" applyFill="1" applyBorder="1"/>
    <xf numFmtId="0" fontId="11" fillId="0" borderId="55" xfId="1" applyFont="1" applyFill="1" applyBorder="1" applyAlignment="1">
      <alignment horizontal="left"/>
    </xf>
    <xf numFmtId="0" fontId="11" fillId="0" borderId="0" xfId="1" applyFont="1" applyFill="1" applyAlignment="1">
      <alignment horizontal="left" wrapText="1"/>
    </xf>
    <xf numFmtId="0" fontId="5" fillId="0" borderId="32" xfId="1" applyFont="1" applyFill="1" applyBorder="1"/>
    <xf numFmtId="0" fontId="11" fillId="0" borderId="32" xfId="1" applyFont="1" applyFill="1" applyBorder="1" applyAlignment="1">
      <alignment horizontal="right" wrapText="1"/>
    </xf>
    <xf numFmtId="2" fontId="7" fillId="0" borderId="32" xfId="1" applyNumberFormat="1" applyFont="1" applyFill="1" applyBorder="1" applyAlignment="1">
      <alignment horizontal="right" wrapText="1"/>
    </xf>
    <xf numFmtId="0" fontId="7" fillId="0" borderId="32" xfId="1" applyFont="1" applyFill="1" applyBorder="1" applyAlignment="1">
      <alignment horizontal="right" wrapText="1"/>
    </xf>
    <xf numFmtId="0" fontId="11" fillId="0" borderId="32" xfId="1" applyFont="1" applyFill="1" applyBorder="1" applyAlignment="1">
      <alignment horizontal="left"/>
    </xf>
    <xf numFmtId="0" fontId="7" fillId="0" borderId="32" xfId="1" applyFont="1" applyFill="1" applyBorder="1" applyAlignment="1">
      <alignment horizontal="left"/>
    </xf>
    <xf numFmtId="0" fontId="6" fillId="0" borderId="32" xfId="1" applyFont="1" applyFill="1" applyBorder="1" applyAlignment="1">
      <alignment horizontal="left"/>
    </xf>
    <xf numFmtId="165" fontId="7" fillId="0" borderId="4" xfId="1" applyNumberFormat="1" applyFont="1" applyFill="1" applyBorder="1" applyAlignment="1">
      <alignment horizontal="right"/>
    </xf>
    <xf numFmtId="0" fontId="11" fillId="0" borderId="38" xfId="1" applyFont="1" applyFill="1" applyBorder="1"/>
    <xf numFmtId="0" fontId="11" fillId="0" borderId="39" xfId="1" applyFont="1" applyFill="1" applyBorder="1"/>
    <xf numFmtId="0" fontId="11" fillId="0" borderId="33" xfId="1" applyFont="1" applyFill="1" applyBorder="1"/>
    <xf numFmtId="0" fontId="11" fillId="0" borderId="44" xfId="0" applyFont="1" applyFill="1" applyBorder="1" applyAlignment="1">
      <alignment vertical="center"/>
    </xf>
    <xf numFmtId="0" fontId="11" fillId="0" borderId="45" xfId="0" applyFont="1" applyFill="1" applyBorder="1" applyAlignment="1">
      <alignment vertical="center"/>
    </xf>
    <xf numFmtId="0" fontId="6" fillId="0" borderId="11" xfId="0" applyFont="1" applyFill="1" applyBorder="1" applyAlignment="1">
      <alignment vertical="center"/>
    </xf>
    <xf numFmtId="0" fontId="5" fillId="0" borderId="5" xfId="0" applyFont="1" applyFill="1" applyBorder="1"/>
    <xf numFmtId="171" fontId="11" fillId="0" borderId="0" xfId="0" applyNumberFormat="1" applyFont="1" applyFill="1"/>
    <xf numFmtId="0" fontId="5" fillId="0" borderId="4" xfId="0" applyFont="1" applyFill="1" applyBorder="1" applyAlignment="1">
      <alignment horizontal="right" vertical="center"/>
    </xf>
    <xf numFmtId="2" fontId="11" fillId="0" borderId="4" xfId="0" applyNumberFormat="1" applyFont="1" applyFill="1" applyBorder="1" applyAlignment="1">
      <alignment horizontal="right" vertical="center"/>
    </xf>
    <xf numFmtId="2" fontId="11" fillId="0" borderId="4" xfId="0" applyNumberFormat="1" applyFont="1" applyFill="1" applyBorder="1" applyAlignment="1">
      <alignment vertical="center"/>
    </xf>
    <xf numFmtId="0" fontId="11" fillId="0" borderId="35" xfId="0" applyFont="1" applyFill="1" applyBorder="1" applyAlignment="1">
      <alignment horizontal="right" vertical="center"/>
    </xf>
    <xf numFmtId="0" fontId="11" fillId="0" borderId="35" xfId="0" applyFont="1" applyFill="1" applyBorder="1" applyAlignment="1">
      <alignment vertical="center"/>
    </xf>
    <xf numFmtId="0" fontId="11" fillId="0" borderId="45" xfId="0" applyFont="1" applyFill="1" applyBorder="1" applyAlignment="1">
      <alignment horizontal="right" vertical="center"/>
    </xf>
    <xf numFmtId="0" fontId="6" fillId="0" borderId="12" xfId="0" applyFont="1" applyFill="1" applyBorder="1"/>
    <xf numFmtId="0" fontId="5" fillId="0" borderId="11" xfId="0" applyFont="1" applyFill="1" applyBorder="1"/>
    <xf numFmtId="0" fontId="11"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xf>
    <xf numFmtId="2" fontId="11" fillId="0" borderId="4" xfId="0" applyNumberFormat="1" applyFont="1" applyFill="1" applyBorder="1" applyAlignment="1">
      <alignment horizontal="right" vertical="center" wrapText="1"/>
    </xf>
    <xf numFmtId="2" fontId="11" fillId="0" borderId="4" xfId="0" applyNumberFormat="1" applyFont="1" applyFill="1" applyBorder="1" applyAlignment="1">
      <alignment horizontal="right"/>
    </xf>
    <xf numFmtId="0" fontId="11" fillId="0" borderId="15" xfId="0" applyFont="1" applyFill="1" applyBorder="1" applyAlignment="1">
      <alignment horizontal="left" vertical="center" wrapText="1"/>
    </xf>
    <xf numFmtId="0" fontId="11" fillId="0" borderId="15" xfId="0" applyFont="1" applyFill="1" applyBorder="1" applyAlignment="1">
      <alignment horizontal="center" vertical="center" wrapText="1"/>
    </xf>
    <xf numFmtId="0" fontId="11" fillId="0" borderId="15" xfId="0" applyFont="1" applyFill="1" applyBorder="1" applyAlignment="1">
      <alignment horizontal="center"/>
    </xf>
    <xf numFmtId="0" fontId="11" fillId="0" borderId="44" xfId="0" applyFont="1" applyFill="1" applyBorder="1" applyAlignment="1">
      <alignment horizontal="left"/>
    </xf>
    <xf numFmtId="0" fontId="11" fillId="0" borderId="45" xfId="0" applyFont="1" applyFill="1" applyBorder="1" applyAlignment="1">
      <alignment horizontal="left"/>
    </xf>
    <xf numFmtId="0" fontId="11" fillId="0" borderId="44" xfId="0" applyFont="1" applyFill="1" applyBorder="1" applyAlignment="1">
      <alignment horizontal="left"/>
    </xf>
    <xf numFmtId="0" fontId="11" fillId="0" borderId="12" xfId="0" applyFont="1" applyFill="1" applyBorder="1" applyAlignment="1">
      <alignment horizontal="left"/>
    </xf>
    <xf numFmtId="0" fontId="6" fillId="0" borderId="11" xfId="0" applyFont="1" applyFill="1" applyBorder="1" applyAlignment="1">
      <alignment horizontal="left"/>
    </xf>
    <xf numFmtId="2" fontId="11" fillId="0" borderId="4" xfId="0" applyNumberFormat="1" applyFont="1" applyFill="1" applyBorder="1" applyAlignment="1">
      <alignment horizontal="left" vertical="center" wrapText="1"/>
    </xf>
    <xf numFmtId="0" fontId="7" fillId="0" borderId="12" xfId="0" applyFont="1" applyFill="1" applyBorder="1" applyAlignment="1">
      <alignment horizontal="left"/>
    </xf>
    <xf numFmtId="0" fontId="6" fillId="0" borderId="0" xfId="0" applyFont="1" applyFill="1" applyAlignment="1">
      <alignment horizontal="left"/>
    </xf>
    <xf numFmtId="1" fontId="7" fillId="0" borderId="4" xfId="0" quotePrefix="1" applyNumberFormat="1" applyFont="1" applyFill="1" applyBorder="1" applyAlignment="1">
      <alignment wrapText="1"/>
    </xf>
    <xf numFmtId="0" fontId="11" fillId="0" borderId="16"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11" fillId="0" borderId="35" xfId="0" applyFont="1" applyFill="1" applyBorder="1" applyAlignment="1">
      <alignment horizontal="left" vertical="center" wrapText="1"/>
    </xf>
    <xf numFmtId="0" fontId="5" fillId="0" borderId="35" xfId="0" applyFont="1" applyFill="1" applyBorder="1" applyAlignment="1">
      <alignment horizontal="center" vertical="center" wrapText="1"/>
    </xf>
    <xf numFmtId="0" fontId="11" fillId="0" borderId="16" xfId="0" applyFont="1" applyFill="1" applyBorder="1"/>
    <xf numFmtId="0" fontId="11" fillId="0" borderId="60" xfId="0" applyFont="1" applyFill="1" applyBorder="1"/>
    <xf numFmtId="0" fontId="5" fillId="0" borderId="5" xfId="0" applyFont="1" applyFill="1" applyBorder="1" applyAlignment="1">
      <alignment horizontal="center"/>
    </xf>
    <xf numFmtId="0" fontId="5" fillId="0" borderId="2" xfId="0" applyFont="1" applyFill="1" applyBorder="1" applyAlignment="1">
      <alignment horizontal="center"/>
    </xf>
    <xf numFmtId="2" fontId="11" fillId="0" borderId="5" xfId="0" applyNumberFormat="1" applyFont="1" applyFill="1" applyBorder="1" applyAlignment="1">
      <alignment horizontal="right"/>
    </xf>
    <xf numFmtId="2" fontId="11" fillId="0" borderId="2" xfId="0" applyNumberFormat="1" applyFont="1" applyFill="1" applyBorder="1" applyAlignment="1">
      <alignment horizontal="right"/>
    </xf>
    <xf numFmtId="49" fontId="11" fillId="0" borderId="4" xfId="0" applyNumberFormat="1" applyFont="1" applyFill="1" applyBorder="1" applyAlignment="1">
      <alignment wrapText="1"/>
    </xf>
    <xf numFmtId="49" fontId="11" fillId="0" borderId="2" xfId="0" applyNumberFormat="1" applyFont="1" applyFill="1" applyBorder="1" applyAlignment="1">
      <alignment wrapText="1"/>
    </xf>
    <xf numFmtId="0" fontId="11" fillId="0" borderId="35" xfId="0" applyFont="1" applyFill="1" applyBorder="1" applyAlignment="1">
      <alignment horizontal="center"/>
    </xf>
    <xf numFmtId="0" fontId="11" fillId="0" borderId="45" xfId="0" applyFont="1" applyFill="1" applyBorder="1" applyAlignment="1">
      <alignment horizontal="center"/>
    </xf>
    <xf numFmtId="0" fontId="11" fillId="0" borderId="46" xfId="0" applyFont="1" applyFill="1" applyBorder="1" applyAlignment="1">
      <alignment horizontal="center"/>
    </xf>
    <xf numFmtId="0" fontId="11" fillId="0" borderId="12" xfId="0" applyFont="1" applyFill="1" applyBorder="1" applyAlignment="1">
      <alignment horizontal="left" wrapText="1"/>
    </xf>
    <xf numFmtId="0" fontId="11" fillId="0" borderId="0" xfId="0" applyFont="1" applyFill="1" applyAlignment="1">
      <alignment horizontal="left" wrapText="1"/>
    </xf>
    <xf numFmtId="0" fontId="11" fillId="0" borderId="6" xfId="0" applyFont="1" applyFill="1" applyBorder="1" applyAlignment="1">
      <alignment horizontal="left"/>
    </xf>
    <xf numFmtId="0" fontId="11" fillId="0" borderId="8" xfId="0" applyFont="1" applyFill="1" applyBorder="1" applyAlignment="1">
      <alignment horizontal="center"/>
    </xf>
    <xf numFmtId="0" fontId="11" fillId="0" borderId="9" xfId="0" applyFont="1" applyFill="1" applyBorder="1" applyAlignment="1">
      <alignment horizontal="center"/>
    </xf>
    <xf numFmtId="0" fontId="11" fillId="0" borderId="45" xfId="0" applyFont="1" applyFill="1" applyBorder="1" applyAlignment="1">
      <alignment horizontal="center"/>
    </xf>
    <xf numFmtId="0" fontId="11" fillId="0" borderId="0" xfId="0" applyFont="1" applyFill="1" applyAlignment="1">
      <alignment horizontal="left" wrapText="1"/>
    </xf>
    <xf numFmtId="0" fontId="11" fillId="0" borderId="6" xfId="0" applyFont="1" applyFill="1" applyBorder="1" applyAlignment="1">
      <alignment horizontal="left" wrapText="1"/>
    </xf>
    <xf numFmtId="0" fontId="5" fillId="0" borderId="32" xfId="0" applyFont="1" applyFill="1" applyBorder="1" applyAlignment="1">
      <alignment horizontal="center"/>
    </xf>
    <xf numFmtId="2" fontId="11" fillId="0" borderId="32" xfId="0" applyNumberFormat="1" applyFont="1" applyFill="1" applyBorder="1" applyAlignment="1">
      <alignment horizontal="right"/>
    </xf>
    <xf numFmtId="2" fontId="11" fillId="0" borderId="5" xfId="0" applyNumberFormat="1" applyFont="1" applyFill="1" applyBorder="1"/>
    <xf numFmtId="2" fontId="11" fillId="0" borderId="2" xfId="0" applyNumberFormat="1" applyFont="1" applyFill="1" applyBorder="1"/>
    <xf numFmtId="2" fontId="7" fillId="0" borderId="4" xfId="0" applyNumberFormat="1" applyFont="1" applyFill="1" applyBorder="1" applyAlignment="1">
      <alignment horizontal="right"/>
    </xf>
    <xf numFmtId="49" fontId="11" fillId="0" borderId="4" xfId="0" applyNumberFormat="1" applyFont="1" applyFill="1" applyBorder="1"/>
    <xf numFmtId="49" fontId="11" fillId="0" borderId="2" xfId="0" applyNumberFormat="1" applyFont="1" applyFill="1" applyBorder="1"/>
    <xf numFmtId="49" fontId="7" fillId="0" borderId="4" xfId="0" applyNumberFormat="1" applyFont="1" applyFill="1" applyBorder="1" applyAlignment="1">
      <alignment wrapText="1"/>
    </xf>
    <xf numFmtId="0" fontId="7" fillId="0" borderId="4" xfId="0" quotePrefix="1" applyFont="1" applyFill="1" applyBorder="1" applyAlignment="1">
      <alignment wrapText="1"/>
    </xf>
    <xf numFmtId="0" fontId="7" fillId="0" borderId="15" xfId="0" applyFont="1" applyFill="1" applyBorder="1" applyAlignment="1">
      <alignment horizontal="center"/>
    </xf>
    <xf numFmtId="0" fontId="7" fillId="0" borderId="32" xfId="0" applyFont="1" applyFill="1" applyBorder="1" applyAlignment="1">
      <alignment horizontal="center"/>
    </xf>
    <xf numFmtId="0" fontId="11" fillId="0" borderId="4" xfId="0" applyFont="1" applyFill="1" applyBorder="1" applyAlignment="1">
      <alignment wrapText="1"/>
    </xf>
    <xf numFmtId="0" fontId="7" fillId="0" borderId="54" xfId="0" quotePrefix="1" applyFont="1" applyFill="1" applyBorder="1" applyAlignment="1">
      <alignment wrapText="1"/>
    </xf>
    <xf numFmtId="0" fontId="6" fillId="0" borderId="12" xfId="0" applyFont="1" applyFill="1" applyBorder="1" applyAlignment="1">
      <alignment horizontal="left"/>
    </xf>
    <xf numFmtId="0" fontId="12" fillId="0" borderId="1" xfId="0" applyFont="1" applyFill="1" applyBorder="1"/>
    <xf numFmtId="0" fontId="13" fillId="0" borderId="4" xfId="0" applyFont="1" applyFill="1" applyBorder="1"/>
    <xf numFmtId="0" fontId="13" fillId="0" borderId="5" xfId="0" applyFont="1" applyFill="1" applyBorder="1"/>
    <xf numFmtId="0" fontId="1" fillId="0" borderId="0" xfId="0" applyFont="1" applyFill="1"/>
    <xf numFmtId="2" fontId="12" fillId="0" borderId="4" xfId="0" applyNumberFormat="1" applyFont="1" applyFill="1" applyBorder="1" applyAlignment="1">
      <alignment horizontal="right" vertical="center"/>
    </xf>
    <xf numFmtId="2" fontId="12" fillId="0" borderId="2" xfId="0" applyNumberFormat="1" applyFont="1" applyFill="1" applyBorder="1" applyAlignment="1">
      <alignment horizontal="right" vertical="center"/>
    </xf>
    <xf numFmtId="0" fontId="12" fillId="0" borderId="4" xfId="0" applyFont="1" applyFill="1" applyBorder="1" applyAlignment="1">
      <alignment horizontal="right"/>
    </xf>
    <xf numFmtId="2" fontId="12" fillId="0" borderId="4" xfId="0" applyNumberFormat="1" applyFont="1" applyFill="1" applyBorder="1" applyAlignment="1">
      <alignment horizontal="right"/>
    </xf>
    <xf numFmtId="0" fontId="12" fillId="0" borderId="5" xfId="0" applyFont="1" applyFill="1" applyBorder="1" applyAlignment="1">
      <alignment horizontal="right"/>
    </xf>
    <xf numFmtId="0" fontId="12" fillId="0" borderId="2" xfId="0" applyFont="1" applyFill="1" applyBorder="1" applyAlignment="1">
      <alignment horizontal="right"/>
    </xf>
    <xf numFmtId="0" fontId="12" fillId="0" borderId="7" xfId="0" applyFont="1" applyFill="1" applyBorder="1"/>
    <xf numFmtId="0" fontId="12" fillId="0" borderId="15" xfId="0" applyFont="1" applyFill="1" applyBorder="1" applyAlignment="1">
      <alignment horizontal="right"/>
    </xf>
    <xf numFmtId="0" fontId="12" fillId="0" borderId="8" xfId="0" applyFont="1" applyFill="1" applyBorder="1" applyAlignment="1">
      <alignment horizontal="right"/>
    </xf>
    <xf numFmtId="0" fontId="12" fillId="0" borderId="44" xfId="0" applyFont="1" applyFill="1" applyBorder="1"/>
    <xf numFmtId="0" fontId="12" fillId="0" borderId="45" xfId="0" applyFont="1" applyFill="1" applyBorder="1"/>
    <xf numFmtId="0" fontId="28" fillId="0" borderId="11" xfId="0" applyFont="1" applyFill="1" applyBorder="1"/>
    <xf numFmtId="0" fontId="28" fillId="0" borderId="6" xfId="0" applyFont="1" applyFill="1" applyBorder="1"/>
    <xf numFmtId="0" fontId="30" fillId="0" borderId="3" xfId="0" applyFont="1" applyFill="1" applyBorder="1"/>
    <xf numFmtId="0" fontId="30" fillId="0" borderId="0" xfId="0" applyFont="1" applyFill="1"/>
    <xf numFmtId="2" fontId="12" fillId="0" borderId="4" xfId="0" applyNumberFormat="1" applyFont="1" applyFill="1" applyBorder="1" applyAlignment="1">
      <alignment vertical="center"/>
    </xf>
    <xf numFmtId="2" fontId="12" fillId="0" borderId="2" xfId="0" applyNumberFormat="1" applyFont="1" applyFill="1" applyBorder="1" applyAlignment="1">
      <alignment vertical="center"/>
    </xf>
    <xf numFmtId="0" fontId="12" fillId="0" borderId="4" xfId="0" applyFont="1" applyFill="1" applyBorder="1"/>
    <xf numFmtId="2" fontId="12" fillId="0" borderId="4" xfId="0" applyNumberFormat="1" applyFont="1" applyFill="1" applyBorder="1"/>
    <xf numFmtId="2" fontId="28" fillId="0" borderId="4" xfId="0" applyNumberFormat="1" applyFont="1" applyFill="1" applyBorder="1" applyAlignment="1">
      <alignment horizontal="right"/>
    </xf>
    <xf numFmtId="20" fontId="12" fillId="0" borderId="44" xfId="0" applyNumberFormat="1" applyFont="1" applyFill="1" applyBorder="1"/>
    <xf numFmtId="20" fontId="12" fillId="0" borderId="12" xfId="0" applyNumberFormat="1" applyFont="1" applyFill="1" applyBorder="1"/>
    <xf numFmtId="20" fontId="12" fillId="0" borderId="11" xfId="0" applyNumberFormat="1" applyFont="1" applyFill="1" applyBorder="1"/>
    <xf numFmtId="0" fontId="13" fillId="0" borderId="4" xfId="0" applyFont="1" applyFill="1" applyBorder="1" applyAlignment="1">
      <alignment horizontal="right"/>
    </xf>
    <xf numFmtId="0" fontId="13" fillId="0" borderId="5" xfId="0" applyFont="1" applyFill="1" applyBorder="1" applyAlignment="1">
      <alignment horizontal="right"/>
    </xf>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2" fillId="0" borderId="35" xfId="0" applyFont="1" applyFill="1" applyBorder="1" applyAlignment="1">
      <alignment horizontal="right"/>
    </xf>
    <xf numFmtId="0" fontId="12" fillId="0" borderId="45" xfId="0" applyFont="1" applyFill="1" applyBorder="1" applyAlignment="1">
      <alignment horizontal="right"/>
    </xf>
    <xf numFmtId="20" fontId="25" fillId="0" borderId="12" xfId="0" applyNumberFormat="1" applyFont="1" applyFill="1" applyBorder="1"/>
    <xf numFmtId="20" fontId="25" fillId="0" borderId="11" xfId="0" applyNumberFormat="1" applyFont="1" applyFill="1" applyBorder="1"/>
    <xf numFmtId="0" fontId="11" fillId="0" borderId="11" xfId="0" applyFont="1" applyFill="1" applyBorder="1" applyAlignment="1">
      <alignment horizontal="left"/>
    </xf>
    <xf numFmtId="0" fontId="11" fillId="0" borderId="11" xfId="1" applyFont="1" applyFill="1" applyBorder="1"/>
    <xf numFmtId="0" fontId="11" fillId="0" borderId="16" xfId="1" applyFont="1" applyFill="1" applyBorder="1"/>
    <xf numFmtId="0" fontId="5" fillId="0" borderId="4" xfId="1" applyFont="1" applyFill="1" applyBorder="1" applyAlignment="1">
      <alignment horizontal="center"/>
    </xf>
    <xf numFmtId="166" fontId="11" fillId="0" borderId="4" xfId="1" applyNumberFormat="1" applyFont="1" applyFill="1" applyBorder="1"/>
    <xf numFmtId="166" fontId="11" fillId="0" borderId="4" xfId="1" applyNumberFormat="1" applyFont="1" applyFill="1" applyBorder="1" applyAlignment="1">
      <alignment horizontal="right"/>
    </xf>
    <xf numFmtId="0" fontId="11" fillId="0" borderId="4" xfId="1" applyFont="1" applyFill="1" applyBorder="1" applyAlignment="1">
      <alignment horizontal="right" wrapText="1"/>
    </xf>
    <xf numFmtId="0" fontId="11" fillId="0" borderId="4" xfId="1" applyFont="1" applyFill="1" applyBorder="1" applyAlignment="1">
      <alignment horizontal="right"/>
    </xf>
    <xf numFmtId="0" fontId="11" fillId="0" borderId="45" xfId="1" applyFont="1" applyFill="1" applyBorder="1" applyAlignment="1">
      <alignment horizontal="center"/>
    </xf>
    <xf numFmtId="0" fontId="11" fillId="0" borderId="11" xfId="1" applyFont="1" applyFill="1" applyBorder="1" applyAlignment="1">
      <alignment horizontal="left" vertical="center"/>
    </xf>
    <xf numFmtId="0" fontId="11" fillId="0" borderId="6" xfId="1" applyFont="1" applyFill="1" applyBorder="1" applyAlignment="1">
      <alignment horizontal="left" vertical="center"/>
    </xf>
    <xf numFmtId="0" fontId="11" fillId="0" borderId="45" xfId="1" applyFont="1" applyFill="1" applyBorder="1" applyAlignment="1">
      <alignment wrapText="1"/>
    </xf>
    <xf numFmtId="0" fontId="11" fillId="0" borderId="6" xfId="1" applyFont="1" applyFill="1" applyBorder="1" applyAlignment="1">
      <alignment horizontal="left" wrapText="1"/>
    </xf>
    <xf numFmtId="0" fontId="5" fillId="0" borderId="12" xfId="1" applyFont="1" applyFill="1" applyBorder="1"/>
    <xf numFmtId="0" fontId="5" fillId="0" borderId="10" xfId="1" applyFont="1" applyFill="1" applyBorder="1"/>
    <xf numFmtId="0" fontId="5" fillId="0" borderId="9" xfId="1" applyFont="1" applyFill="1" applyBorder="1"/>
    <xf numFmtId="2" fontId="11" fillId="0" borderId="4" xfId="1" applyNumberFormat="1" applyFont="1" applyFill="1" applyBorder="1" applyAlignment="1">
      <alignment horizontal="right"/>
    </xf>
    <xf numFmtId="49" fontId="11" fillId="0" borderId="4" xfId="1" applyNumberFormat="1" applyFont="1" applyFill="1" applyBorder="1" applyAlignment="1">
      <alignment horizontal="right"/>
    </xf>
    <xf numFmtId="0" fontId="11" fillId="0" borderId="11" xfId="1" applyFont="1" applyFill="1" applyBorder="1" applyAlignment="1">
      <alignment horizontal="left" wrapText="1"/>
    </xf>
    <xf numFmtId="0" fontId="11" fillId="0" borderId="6" xfId="1" applyFont="1" applyFill="1" applyBorder="1" applyAlignment="1">
      <alignment horizontal="left" wrapText="1"/>
    </xf>
    <xf numFmtId="0" fontId="11" fillId="0" borderId="35" xfId="1" applyFont="1" applyFill="1" applyBorder="1" applyAlignment="1">
      <alignment wrapText="1"/>
    </xf>
    <xf numFmtId="0" fontId="6" fillId="0" borderId="12" xfId="1" applyFont="1" applyFill="1" applyBorder="1"/>
    <xf numFmtId="2" fontId="11" fillId="0" borderId="4" xfId="1" quotePrefix="1" applyNumberFormat="1" applyFont="1" applyFill="1" applyBorder="1" applyAlignment="1">
      <alignment horizontal="right"/>
    </xf>
    <xf numFmtId="0" fontId="11" fillId="0" borderId="44" xfId="1" applyFont="1" applyFill="1" applyBorder="1" applyAlignment="1">
      <alignment wrapText="1"/>
    </xf>
    <xf numFmtId="0" fontId="6" fillId="0" borderId="11" xfId="1" applyFont="1" applyFill="1" applyBorder="1" applyAlignment="1">
      <alignment horizontal="left"/>
    </xf>
    <xf numFmtId="0" fontId="5" fillId="0" borderId="38" xfId="1" applyFont="1" applyFill="1" applyBorder="1"/>
    <xf numFmtId="0" fontId="5" fillId="0" borderId="33" xfId="1" applyFont="1" applyFill="1" applyBorder="1"/>
    <xf numFmtId="0" fontId="11" fillId="0" borderId="32" xfId="1" applyFont="1" applyFill="1" applyBorder="1" applyAlignment="1">
      <alignment horizontal="left" wrapText="1"/>
    </xf>
    <xf numFmtId="0" fontId="11" fillId="0" borderId="32" xfId="1" applyFont="1" applyFill="1" applyBorder="1" applyAlignment="1">
      <alignment wrapText="1"/>
    </xf>
    <xf numFmtId="2" fontId="11" fillId="0" borderId="32" xfId="1" applyNumberFormat="1" applyFont="1" applyFill="1" applyBorder="1" applyAlignment="1">
      <alignment horizontal="right" wrapText="1"/>
    </xf>
    <xf numFmtId="0" fontId="11" fillId="0" borderId="32" xfId="1" quotePrefix="1" applyFont="1" applyFill="1" applyBorder="1" applyAlignment="1">
      <alignment horizontal="left" wrapText="1"/>
    </xf>
    <xf numFmtId="0" fontId="11" fillId="0" borderId="35" xfId="1" applyFont="1" applyFill="1" applyBorder="1" applyAlignment="1">
      <alignment horizontal="left" wrapText="1"/>
    </xf>
    <xf numFmtId="0" fontId="5" fillId="0" borderId="16" xfId="1" applyFont="1" applyFill="1" applyBorder="1" applyAlignment="1">
      <alignment horizontal="center"/>
    </xf>
    <xf numFmtId="0" fontId="11" fillId="0" borderId="44" xfId="1" applyFont="1" applyFill="1" applyBorder="1" applyAlignment="1">
      <alignment horizontal="left" wrapText="1"/>
    </xf>
    <xf numFmtId="0" fontId="11" fillId="0" borderId="45" xfId="1" applyFont="1" applyFill="1" applyBorder="1" applyAlignment="1">
      <alignment horizontal="left" wrapText="1"/>
    </xf>
    <xf numFmtId="0" fontId="5" fillId="0" borderId="3" xfId="0" applyFont="1" applyFill="1" applyBorder="1" applyAlignment="1">
      <alignment horizontal="center"/>
    </xf>
    <xf numFmtId="0" fontId="5" fillId="0" borderId="16" xfId="0" applyFont="1" applyFill="1" applyBorder="1" applyAlignment="1">
      <alignment horizontal="center"/>
    </xf>
    <xf numFmtId="2" fontId="11" fillId="0" borderId="4" xfId="1" applyNumberFormat="1" applyFont="1" applyFill="1" applyBorder="1" applyProtection="1">
      <protection locked="0"/>
    </xf>
    <xf numFmtId="2" fontId="11" fillId="0" borderId="4" xfId="1" applyNumberFormat="1" applyFont="1" applyFill="1" applyBorder="1" applyAlignment="1" applyProtection="1">
      <alignment horizontal="center" vertical="center" wrapText="1"/>
      <protection locked="0"/>
    </xf>
    <xf numFmtId="2" fontId="11" fillId="0" borderId="4" xfId="0" applyNumberFormat="1" applyFont="1" applyFill="1" applyBorder="1" applyAlignment="1">
      <alignment horizontal="center" vertical="center" wrapText="1"/>
    </xf>
    <xf numFmtId="0" fontId="5" fillId="0" borderId="45" xfId="0" applyFont="1" applyFill="1" applyBorder="1" applyAlignment="1">
      <alignment horizontal="center"/>
    </xf>
    <xf numFmtId="0" fontId="5" fillId="0" borderId="0" xfId="0" applyFont="1" applyFill="1" applyAlignment="1">
      <alignment horizontal="center"/>
    </xf>
    <xf numFmtId="0" fontId="5" fillId="0" borderId="6" xfId="0" applyFont="1" applyFill="1" applyBorder="1" applyAlignment="1">
      <alignment horizontal="center"/>
    </xf>
    <xf numFmtId="2" fontId="11" fillId="0" borderId="4" xfId="0" applyNumberFormat="1" applyFont="1" applyFill="1" applyBorder="1" applyAlignment="1">
      <alignment wrapText="1"/>
    </xf>
    <xf numFmtId="2" fontId="11" fillId="0" borderId="1" xfId="0" applyNumberFormat="1" applyFont="1" applyFill="1" applyBorder="1"/>
    <xf numFmtId="0" fontId="11" fillId="0" borderId="11" xfId="0" applyFont="1" applyFill="1" applyBorder="1" applyProtection="1">
      <protection locked="0"/>
    </xf>
    <xf numFmtId="0" fontId="11" fillId="0" borderId="6" xfId="0" applyFont="1" applyFill="1" applyBorder="1" applyAlignment="1" applyProtection="1">
      <alignment wrapText="1"/>
      <protection locked="0"/>
    </xf>
    <xf numFmtId="0" fontId="11" fillId="0" borderId="4" xfId="0" applyFont="1" applyFill="1" applyBorder="1" applyAlignment="1">
      <alignment horizontal="center" vertical="center" wrapText="1"/>
    </xf>
    <xf numFmtId="0" fontId="11" fillId="0" borderId="12" xfId="1" applyFont="1" applyFill="1" applyBorder="1" applyAlignment="1">
      <alignment horizontal="left" vertical="top" wrapText="1"/>
    </xf>
    <xf numFmtId="0" fontId="11" fillId="0" borderId="0" xfId="1" applyFont="1" applyFill="1" applyAlignment="1">
      <alignment horizontal="left" vertical="top" wrapText="1"/>
    </xf>
    <xf numFmtId="0" fontId="11" fillId="0" borderId="11" xfId="1" applyFont="1" applyFill="1" applyBorder="1" applyAlignment="1">
      <alignment horizontal="left" vertical="top"/>
    </xf>
    <xf numFmtId="0" fontId="11" fillId="0" borderId="6" xfId="1" applyFont="1" applyFill="1" applyBorder="1" applyAlignment="1">
      <alignment horizontal="left" vertical="top" wrapText="1"/>
    </xf>
    <xf numFmtId="2" fontId="11" fillId="0" borderId="4" xfId="1" applyNumberFormat="1" applyFont="1" applyFill="1" applyBorder="1" applyAlignment="1" applyProtection="1">
      <alignment horizontal="right"/>
      <protection locked="0"/>
    </xf>
    <xf numFmtId="0" fontId="11" fillId="0" borderId="4" xfId="0" applyFont="1" applyFill="1" applyBorder="1" applyAlignment="1">
      <alignment horizontal="center" wrapText="1"/>
    </xf>
    <xf numFmtId="0" fontId="5" fillId="0" borderId="15" xfId="0" applyFont="1" applyFill="1" applyBorder="1" applyAlignment="1">
      <alignment horizontal="center"/>
    </xf>
    <xf numFmtId="0" fontId="5" fillId="0" borderId="36" xfId="0" applyFont="1" applyFill="1" applyBorder="1" applyAlignment="1">
      <alignment horizontal="center"/>
    </xf>
    <xf numFmtId="0" fontId="11" fillId="0" borderId="12" xfId="0" applyFont="1" applyFill="1" applyBorder="1" applyAlignment="1">
      <alignment vertical="top"/>
    </xf>
    <xf numFmtId="0" fontId="11" fillId="0" borderId="0" xfId="0" applyFont="1" applyFill="1" applyAlignment="1">
      <alignment vertical="top" wrapText="1"/>
    </xf>
    <xf numFmtId="0" fontId="11" fillId="0" borderId="11" xfId="0" applyFont="1" applyFill="1" applyBorder="1" applyAlignment="1">
      <alignment vertical="top"/>
    </xf>
    <xf numFmtId="0" fontId="11" fillId="0" borderId="6" xfId="0" applyFont="1" applyFill="1" applyBorder="1" applyAlignment="1">
      <alignment vertical="top" wrapText="1"/>
    </xf>
    <xf numFmtId="2" fontId="11" fillId="0" borderId="7" xfId="0" applyNumberFormat="1" applyFont="1" applyFill="1" applyBorder="1"/>
    <xf numFmtId="2" fontId="11" fillId="0" borderId="15" xfId="0" applyNumberFormat="1" applyFont="1" applyFill="1" applyBorder="1"/>
    <xf numFmtId="0" fontId="11" fillId="0" borderId="11" xfId="0" applyFont="1" applyFill="1" applyBorder="1" applyAlignment="1">
      <alignment vertical="center"/>
    </xf>
    <xf numFmtId="0" fontId="11" fillId="0" borderId="6" xfId="0" applyFont="1" applyFill="1" applyBorder="1" applyAlignment="1">
      <alignment vertical="center" wrapText="1"/>
    </xf>
    <xf numFmtId="2" fontId="11" fillId="0" borderId="4" xfId="1" applyNumberFormat="1" applyFont="1" applyFill="1" applyBorder="1" applyAlignment="1" applyProtection="1">
      <alignment horizontal="right" vertical="center" wrapText="1"/>
      <protection locked="0"/>
    </xf>
    <xf numFmtId="0" fontId="11" fillId="0" borderId="0" xfId="0" applyFont="1" applyFill="1" applyAlignment="1">
      <alignment horizontal="left" vertical="center" wrapText="1"/>
    </xf>
    <xf numFmtId="1" fontId="11" fillId="0" borderId="5" xfId="0" applyNumberFormat="1" applyFont="1" applyFill="1" applyBorder="1"/>
    <xf numFmtId="1" fontId="11" fillId="0" borderId="2" xfId="0" applyNumberFormat="1" applyFont="1" applyFill="1" applyBorder="1"/>
    <xf numFmtId="1" fontId="11" fillId="0" borderId="35" xfId="0" applyNumberFormat="1" applyFont="1" applyFill="1" applyBorder="1" applyAlignment="1">
      <alignment horizontal="right"/>
    </xf>
    <xf numFmtId="0" fontId="5" fillId="0" borderId="1" xfId="0" applyFont="1" applyFill="1" applyBorder="1" applyAlignment="1">
      <alignment wrapText="1"/>
    </xf>
    <xf numFmtId="0" fontId="5" fillId="0" borderId="2" xfId="0" applyFont="1" applyFill="1" applyBorder="1" applyAlignment="1">
      <alignment wrapText="1"/>
    </xf>
    <xf numFmtId="0" fontId="5" fillId="0" borderId="4" xfId="0" applyFont="1" applyFill="1" applyBorder="1" applyAlignment="1">
      <alignment wrapText="1"/>
    </xf>
    <xf numFmtId="0" fontId="11" fillId="0" borderId="1" xfId="0" applyFont="1" applyFill="1" applyBorder="1" applyAlignment="1">
      <alignment wrapText="1"/>
    </xf>
    <xf numFmtId="0" fontId="5" fillId="0" borderId="4" xfId="0" applyFont="1" applyFill="1" applyBorder="1" applyAlignment="1">
      <alignment horizontal="center" wrapText="1"/>
    </xf>
    <xf numFmtId="0" fontId="5" fillId="0" borderId="5" xfId="0" applyFont="1" applyFill="1" applyBorder="1" applyAlignment="1">
      <alignment horizontal="center" wrapText="1"/>
    </xf>
    <xf numFmtId="2" fontId="11" fillId="0" borderId="5" xfId="0" applyNumberFormat="1" applyFont="1" applyFill="1" applyBorder="1" applyAlignment="1">
      <alignment wrapText="1"/>
    </xf>
    <xf numFmtId="0" fontId="11" fillId="0" borderId="5" xfId="0" applyFont="1" applyFill="1" applyBorder="1" applyAlignment="1">
      <alignment wrapText="1"/>
    </xf>
    <xf numFmtId="0" fontId="11" fillId="0" borderId="44" xfId="0" applyFont="1" applyFill="1" applyBorder="1" applyAlignment="1">
      <alignment wrapText="1"/>
    </xf>
    <xf numFmtId="0" fontId="11" fillId="0" borderId="46" xfId="0" applyFont="1" applyFill="1" applyBorder="1" applyAlignment="1">
      <alignment horizontal="left" wrapText="1"/>
    </xf>
    <xf numFmtId="0" fontId="11" fillId="0" borderId="45" xfId="0" applyFont="1" applyFill="1" applyBorder="1" applyAlignment="1">
      <alignment wrapText="1"/>
    </xf>
    <xf numFmtId="0" fontId="7" fillId="0" borderId="0" xfId="0" applyFont="1" applyFill="1" applyAlignment="1">
      <alignment horizontal="left" wrapText="1"/>
    </xf>
    <xf numFmtId="0" fontId="7" fillId="0" borderId="0" xfId="0" applyFont="1" applyFill="1" applyAlignment="1">
      <alignment wrapText="1"/>
    </xf>
    <xf numFmtId="0" fontId="7" fillId="0" borderId="10" xfId="0" applyFont="1" applyFill="1" applyBorder="1" applyAlignment="1">
      <alignment wrapText="1"/>
    </xf>
    <xf numFmtId="0" fontId="11" fillId="0" borderId="6" xfId="0" applyFont="1" applyFill="1" applyBorder="1" applyAlignment="1">
      <alignment wrapText="1"/>
    </xf>
    <xf numFmtId="0" fontId="11" fillId="0" borderId="0" xfId="2" applyFont="1" applyFill="1"/>
    <xf numFmtId="0" fontId="5" fillId="0" borderId="5" xfId="1" applyFont="1" applyFill="1" applyBorder="1" applyAlignment="1">
      <alignment horizontal="center"/>
    </xf>
    <xf numFmtId="0" fontId="5" fillId="0" borderId="2" xfId="1" applyFont="1" applyFill="1" applyBorder="1" applyAlignment="1">
      <alignment horizontal="center"/>
    </xf>
    <xf numFmtId="1" fontId="11" fillId="0" borderId="60" xfId="1" applyNumberFormat="1" applyFont="1" applyFill="1" applyBorder="1" applyAlignment="1">
      <alignment horizontal="center"/>
    </xf>
    <xf numFmtId="0" fontId="11" fillId="0" borderId="53" xfId="0" applyFont="1" applyFill="1" applyBorder="1" applyAlignment="1">
      <alignment horizontal="left" vertical="center" wrapText="1"/>
    </xf>
    <xf numFmtId="0" fontId="11" fillId="0" borderId="56" xfId="0" applyFont="1" applyFill="1" applyBorder="1" applyAlignment="1">
      <alignment vertical="center" wrapText="1"/>
    </xf>
    <xf numFmtId="0" fontId="11" fillId="0" borderId="0" xfId="0" applyFont="1" applyFill="1" applyAlignment="1">
      <alignment vertical="center" wrapText="1"/>
    </xf>
    <xf numFmtId="0" fontId="5" fillId="0" borderId="4" xfId="0" applyFont="1" applyFill="1" applyBorder="1" applyAlignment="1">
      <alignment vertical="center"/>
    </xf>
    <xf numFmtId="0" fontId="15" fillId="0" borderId="32" xfId="0" applyFont="1" applyFill="1" applyBorder="1"/>
    <xf numFmtId="2" fontId="21" fillId="0" borderId="4" xfId="0" applyNumberFormat="1" applyFont="1" applyFill="1" applyBorder="1" applyAlignment="1">
      <alignment horizontal="right" vertical="center"/>
    </xf>
    <xf numFmtId="0" fontId="15" fillId="0" borderId="35" xfId="0" applyFont="1" applyFill="1" applyBorder="1"/>
    <xf numFmtId="0" fontId="15" fillId="0" borderId="45" xfId="0" applyFont="1" applyFill="1" applyBorder="1"/>
    <xf numFmtId="0" fontId="6" fillId="0" borderId="6" xfId="0" applyFont="1" applyFill="1" applyBorder="1" applyAlignment="1">
      <alignment vertical="center"/>
    </xf>
    <xf numFmtId="0" fontId="24" fillId="0" borderId="0" xfId="0" applyFont="1" applyFill="1"/>
    <xf numFmtId="0" fontId="5" fillId="0" borderId="1" xfId="2" applyFont="1" applyFill="1" applyBorder="1"/>
    <xf numFmtId="0" fontId="5" fillId="0" borderId="2" xfId="2" applyFont="1" applyFill="1" applyBorder="1"/>
    <xf numFmtId="0" fontId="20" fillId="0" borderId="0" xfId="2" applyFont="1" applyFill="1"/>
    <xf numFmtId="0" fontId="5" fillId="0" borderId="11" xfId="2" applyFont="1" applyFill="1" applyBorder="1"/>
    <xf numFmtId="0" fontId="5" fillId="0" borderId="3" xfId="2" applyFont="1" applyFill="1" applyBorder="1"/>
    <xf numFmtId="0" fontId="11" fillId="0" borderId="11" xfId="2" applyFont="1" applyFill="1" applyBorder="1"/>
    <xf numFmtId="1" fontId="5" fillId="0" borderId="16" xfId="2" applyNumberFormat="1" applyFont="1" applyFill="1" applyBorder="1" applyAlignment="1">
      <alignment horizontal="center" vertical="top"/>
    </xf>
    <xf numFmtId="1" fontId="5" fillId="0" borderId="4" xfId="2" applyNumberFormat="1" applyFont="1" applyFill="1" applyBorder="1" applyAlignment="1">
      <alignment horizontal="center" vertical="top"/>
    </xf>
    <xf numFmtId="0" fontId="11" fillId="0" borderId="1" xfId="2" applyFont="1" applyFill="1" applyBorder="1"/>
    <xf numFmtId="40" fontId="11" fillId="0" borderId="4" xfId="2" applyNumberFormat="1" applyFont="1" applyFill="1" applyBorder="1"/>
    <xf numFmtId="0" fontId="11" fillId="0" borderId="34" xfId="2" applyFont="1" applyFill="1" applyBorder="1"/>
    <xf numFmtId="40" fontId="11" fillId="0" borderId="35" xfId="2" applyNumberFormat="1" applyFont="1" applyFill="1" applyBorder="1"/>
    <xf numFmtId="167" fontId="11" fillId="0" borderId="35" xfId="2" applyNumberFormat="1" applyFont="1" applyFill="1" applyBorder="1"/>
    <xf numFmtId="0" fontId="11" fillId="0" borderId="44" xfId="2" applyFont="1" applyFill="1" applyBorder="1"/>
    <xf numFmtId="40" fontId="11" fillId="0" borderId="45" xfId="2" applyNumberFormat="1" applyFont="1" applyFill="1" applyBorder="1"/>
    <xf numFmtId="0" fontId="15" fillId="0" borderId="46" xfId="0" applyFont="1" applyFill="1" applyBorder="1"/>
    <xf numFmtId="0" fontId="11" fillId="0" borderId="45" xfId="2" applyFont="1" applyFill="1" applyBorder="1"/>
    <xf numFmtId="0" fontId="12" fillId="0" borderId="45" xfId="2" applyFont="1" applyFill="1" applyBorder="1"/>
    <xf numFmtId="0" fontId="11" fillId="0" borderId="12" xfId="2" applyFont="1" applyFill="1" applyBorder="1"/>
    <xf numFmtId="0" fontId="12" fillId="0" borderId="0" xfId="2" applyFont="1" applyFill="1"/>
    <xf numFmtId="0" fontId="6" fillId="0" borderId="12" xfId="2" applyFont="1" applyFill="1" applyBorder="1"/>
    <xf numFmtId="0" fontId="19" fillId="0" borderId="0" xfId="0" applyFont="1" applyFill="1"/>
    <xf numFmtId="0" fontId="19" fillId="0" borderId="10" xfId="0" applyFont="1" applyFill="1" applyBorder="1"/>
    <xf numFmtId="0" fontId="11" fillId="0" borderId="0" xfId="2" applyFont="1" applyFill="1" applyAlignment="1">
      <alignment horizontal="left"/>
    </xf>
    <xf numFmtId="168" fontId="11" fillId="0" borderId="0" xfId="2" applyNumberFormat="1" applyFont="1" applyFill="1"/>
    <xf numFmtId="0" fontId="11" fillId="0" borderId="0" xfId="2" applyFont="1" applyFill="1" applyAlignment="1">
      <alignment horizontal="center"/>
    </xf>
    <xf numFmtId="0" fontId="11" fillId="0" borderId="6" xfId="2" applyFont="1" applyFill="1" applyBorder="1"/>
    <xf numFmtId="0" fontId="12" fillId="0" borderId="6" xfId="2" applyFont="1" applyFill="1" applyBorder="1"/>
    <xf numFmtId="0" fontId="17" fillId="0" borderId="0" xfId="0" applyFont="1" applyFill="1"/>
    <xf numFmtId="2" fontId="11" fillId="0" borderId="4" xfId="2" applyNumberFormat="1" applyFont="1" applyFill="1" applyBorder="1"/>
    <xf numFmtId="0" fontId="11" fillId="0" borderId="7" xfId="2" applyFont="1" applyFill="1" applyBorder="1"/>
    <xf numFmtId="0" fontId="11" fillId="0" borderId="15" xfId="2" applyFont="1" applyFill="1" applyBorder="1"/>
    <xf numFmtId="0" fontId="11" fillId="0" borderId="15" xfId="2" applyFont="1" applyFill="1" applyBorder="1" applyAlignment="1">
      <alignment horizontal="center"/>
    </xf>
    <xf numFmtId="0" fontId="17" fillId="0" borderId="45" xfId="0" applyFont="1" applyFill="1" applyBorder="1"/>
    <xf numFmtId="0" fontId="17" fillId="0" borderId="46" xfId="0" applyFont="1" applyFill="1" applyBorder="1"/>
    <xf numFmtId="0" fontId="17" fillId="0" borderId="10" xfId="0" applyFont="1" applyFill="1" applyBorder="1"/>
    <xf numFmtId="0" fontId="11" fillId="0" borderId="12" xfId="3" applyFont="1" applyFill="1" applyBorder="1" applyAlignment="1">
      <alignment horizontal="left"/>
    </xf>
    <xf numFmtId="0" fontId="20" fillId="0" borderId="0" xfId="0" applyFont="1" applyFill="1"/>
    <xf numFmtId="0" fontId="20" fillId="0" borderId="10" xfId="0" applyFont="1" applyFill="1" applyBorder="1"/>
    <xf numFmtId="0" fontId="11" fillId="0" borderId="12" xfId="3" applyFont="1" applyFill="1" applyBorder="1"/>
    <xf numFmtId="0" fontId="11" fillId="0" borderId="0" xfId="3" applyFont="1" applyFill="1"/>
    <xf numFmtId="0" fontId="11" fillId="0" borderId="12" xfId="3" applyFont="1" applyFill="1" applyBorder="1" applyAlignment="1">
      <alignment horizontal="left" wrapText="1"/>
    </xf>
    <xf numFmtId="0" fontId="11" fillId="0" borderId="0" xfId="3" applyFont="1" applyFill="1" applyAlignment="1">
      <alignment horizontal="left" wrapText="1"/>
    </xf>
    <xf numFmtId="0" fontId="6" fillId="0" borderId="11" xfId="3" applyFont="1" applyFill="1" applyBorder="1"/>
    <xf numFmtId="0" fontId="6" fillId="0" borderId="6" xfId="3" applyFont="1" applyFill="1" applyBorder="1"/>
    <xf numFmtId="0" fontId="6" fillId="0" borderId="6" xfId="2" applyFont="1" applyFill="1" applyBorder="1"/>
    <xf numFmtId="0" fontId="26" fillId="0" borderId="6" xfId="0" applyFont="1" applyFill="1" applyBorder="1"/>
    <xf numFmtId="0" fontId="26" fillId="0" borderId="3" xfId="0" applyFont="1" applyFill="1" applyBorder="1"/>
    <xf numFmtId="0" fontId="26" fillId="0" borderId="0" xfId="0" applyFont="1" applyFill="1"/>
    <xf numFmtId="0" fontId="5" fillId="0" borderId="16" xfId="2" applyFont="1" applyFill="1" applyBorder="1" applyAlignment="1">
      <alignment horizontal="center" vertical="top"/>
    </xf>
    <xf numFmtId="0" fontId="5" fillId="0" borderId="4" xfId="2" applyFont="1" applyFill="1" applyBorder="1" applyAlignment="1">
      <alignment horizontal="center" vertical="top"/>
    </xf>
    <xf numFmtId="1" fontId="5" fillId="0" borderId="32" xfId="2" applyNumberFormat="1" applyFont="1" applyFill="1" applyBorder="1" applyAlignment="1">
      <alignment horizontal="center" vertical="top"/>
    </xf>
    <xf numFmtId="1" fontId="11" fillId="0" borderId="4" xfId="2" applyNumberFormat="1" applyFont="1" applyFill="1" applyBorder="1"/>
    <xf numFmtId="4" fontId="11" fillId="0" borderId="32" xfId="8" applyNumberFormat="1" applyFont="1" applyFill="1" applyBorder="1" applyAlignment="1">
      <alignment horizontal="right"/>
    </xf>
    <xf numFmtId="2" fontId="11" fillId="0" borderId="4" xfId="2" applyNumberFormat="1" applyFont="1" applyFill="1" applyBorder="1" applyAlignment="1">
      <alignment horizontal="right"/>
    </xf>
    <xf numFmtId="169" fontId="11" fillId="0" borderId="35" xfId="2" applyNumberFormat="1" applyFont="1" applyFill="1" applyBorder="1"/>
    <xf numFmtId="1" fontId="11" fillId="0" borderId="35" xfId="2" applyNumberFormat="1" applyFont="1" applyFill="1" applyBorder="1"/>
    <xf numFmtId="0" fontId="11" fillId="0" borderId="35" xfId="2" applyFont="1" applyFill="1" applyBorder="1"/>
    <xf numFmtId="0" fontId="11" fillId="0" borderId="12" xfId="2" applyFont="1" applyFill="1" applyBorder="1" applyAlignment="1">
      <alignment horizontal="left"/>
    </xf>
    <xf numFmtId="0" fontId="11" fillId="0" borderId="0" xfId="3" applyFont="1" applyFill="1" applyAlignment="1">
      <alignment wrapText="1"/>
    </xf>
    <xf numFmtId="0" fontId="11" fillId="0" borderId="6" xfId="3" applyFont="1" applyFill="1" applyBorder="1"/>
    <xf numFmtId="0" fontId="19" fillId="0" borderId="6" xfId="0" applyFont="1" applyFill="1" applyBorder="1"/>
    <xf numFmtId="0" fontId="19" fillId="0" borderId="3" xfId="0" applyFont="1" applyFill="1" applyBorder="1"/>
    <xf numFmtId="0" fontId="6" fillId="0" borderId="11" xfId="3" applyFont="1" applyFill="1" applyBorder="1" applyAlignment="1">
      <alignment horizontal="left"/>
    </xf>
    <xf numFmtId="0" fontId="5" fillId="0" borderId="4" xfId="2" applyFont="1" applyFill="1" applyBorder="1"/>
    <xf numFmtId="2" fontId="15" fillId="0" borderId="0" xfId="0" applyNumberFormat="1" applyFont="1" applyFill="1"/>
    <xf numFmtId="0" fontId="5" fillId="0" borderId="7" xfId="2" applyFont="1" applyFill="1" applyBorder="1"/>
    <xf numFmtId="0" fontId="11" fillId="0" borderId="4" xfId="2" applyFont="1" applyFill="1" applyBorder="1"/>
    <xf numFmtId="1" fontId="5" fillId="0" borderId="2" xfId="2" applyNumberFormat="1" applyFont="1" applyFill="1" applyBorder="1" applyAlignment="1">
      <alignment horizontal="center" vertical="top"/>
    </xf>
    <xf numFmtId="1" fontId="5" fillId="0" borderId="13" xfId="2" applyNumberFormat="1" applyFont="1" applyFill="1" applyBorder="1" applyAlignment="1">
      <alignment horizontal="center" vertical="top"/>
    </xf>
    <xf numFmtId="2" fontId="11" fillId="0" borderId="2" xfId="2" applyNumberFormat="1" applyFont="1" applyFill="1" applyBorder="1"/>
    <xf numFmtId="2" fontId="7" fillId="0" borderId="4" xfId="2" applyNumberFormat="1" applyFont="1" applyFill="1" applyBorder="1" applyAlignment="1">
      <alignment horizontal="right"/>
    </xf>
    <xf numFmtId="0" fontId="7" fillId="0" borderId="12" xfId="2" applyFont="1" applyFill="1" applyBorder="1" applyAlignment="1">
      <alignment horizontal="left"/>
    </xf>
    <xf numFmtId="0" fontId="6" fillId="0" borderId="11" xfId="2" applyFont="1" applyFill="1" applyBorder="1" applyAlignment="1">
      <alignment horizontal="left"/>
    </xf>
    <xf numFmtId="0" fontId="11" fillId="0" borderId="6" xfId="2" applyFont="1" applyFill="1" applyBorder="1" applyAlignment="1">
      <alignment horizontal="left"/>
    </xf>
    <xf numFmtId="2" fontId="11" fillId="0" borderId="5" xfId="2" applyNumberFormat="1" applyFont="1" applyFill="1" applyBorder="1"/>
    <xf numFmtId="0" fontId="11" fillId="0" borderId="46" xfId="2" applyFont="1" applyFill="1" applyBorder="1"/>
    <xf numFmtId="0" fontId="6" fillId="0" borderId="11" xfId="2" applyFont="1" applyFill="1" applyBorder="1"/>
    <xf numFmtId="40" fontId="11" fillId="0" borderId="15" xfId="2" applyNumberFormat="1" applyFont="1" applyFill="1" applyBorder="1"/>
    <xf numFmtId="40" fontId="11" fillId="0" borderId="8" xfId="2" applyNumberFormat="1" applyFont="1" applyFill="1" applyBorder="1"/>
    <xf numFmtId="40" fontId="11" fillId="0" borderId="9" xfId="2" applyNumberFormat="1" applyFont="1" applyFill="1" applyBorder="1"/>
    <xf numFmtId="0" fontId="7" fillId="0" borderId="12" xfId="2" applyFont="1" applyFill="1" applyBorder="1"/>
    <xf numFmtId="0" fontId="7" fillId="0" borderId="12" xfId="0" applyFont="1" applyFill="1" applyBorder="1" applyAlignment="1">
      <alignment horizontal="left" vertical="center"/>
    </xf>
    <xf numFmtId="0" fontId="6" fillId="0" borderId="0" xfId="2" applyFont="1" applyFill="1"/>
    <xf numFmtId="0" fontId="5" fillId="0" borderId="38" xfId="2" applyFont="1" applyFill="1" applyBorder="1"/>
    <xf numFmtId="0" fontId="5" fillId="0" borderId="32" xfId="2" applyFont="1" applyFill="1" applyBorder="1"/>
    <xf numFmtId="0" fontId="11" fillId="0" borderId="38" xfId="2" applyFont="1" applyFill="1" applyBorder="1"/>
    <xf numFmtId="40" fontId="11" fillId="0" borderId="32" xfId="2" applyNumberFormat="1" applyFont="1" applyFill="1" applyBorder="1"/>
    <xf numFmtId="40" fontId="11" fillId="0" borderId="38" xfId="2" applyNumberFormat="1" applyFont="1" applyFill="1" applyBorder="1"/>
    <xf numFmtId="4" fontId="11" fillId="0" borderId="32" xfId="9" applyNumberFormat="1" applyFont="1" applyFill="1" applyBorder="1" applyAlignment="1">
      <alignment horizontal="right"/>
    </xf>
    <xf numFmtId="40" fontId="11" fillId="0" borderId="34" xfId="2" applyNumberFormat="1" applyFont="1" applyFill="1" applyBorder="1"/>
    <xf numFmtId="0" fontId="7" fillId="0" borderId="11" xfId="2" applyFont="1" applyFill="1" applyBorder="1"/>
    <xf numFmtId="0" fontId="27" fillId="0" borderId="0" xfId="0" applyFont="1" applyFill="1"/>
    <xf numFmtId="0" fontId="11" fillId="0" borderId="0" xfId="0" applyFont="1" applyFill="1" applyAlignment="1">
      <alignment horizontal="left" vertical="center"/>
    </xf>
    <xf numFmtId="0" fontId="19" fillId="0" borderId="37" xfId="0" applyFont="1" applyFill="1" applyBorder="1"/>
    <xf numFmtId="0" fontId="11" fillId="0" borderId="36" xfId="2" applyFont="1" applyFill="1" applyBorder="1"/>
    <xf numFmtId="166" fontId="11" fillId="0" borderId="4" xfId="1" applyNumberFormat="1" applyFont="1" applyFill="1" applyBorder="1" applyAlignment="1">
      <alignment horizontal="right" vertical="center"/>
    </xf>
    <xf numFmtId="0" fontId="11" fillId="0" borderId="39" xfId="1" applyFont="1" applyFill="1" applyBorder="1" applyAlignment="1">
      <alignment horizontal="left"/>
    </xf>
    <xf numFmtId="2" fontId="11" fillId="0" borderId="4" xfId="1" applyNumberFormat="1" applyFont="1" applyFill="1" applyBorder="1" applyAlignment="1">
      <alignment vertical="center" wrapText="1"/>
    </xf>
    <xf numFmtId="0" fontId="7" fillId="0" borderId="11" xfId="1" applyFont="1" applyFill="1" applyBorder="1" applyAlignment="1">
      <alignment horizontal="left"/>
    </xf>
    <xf numFmtId="0" fontId="23" fillId="0" borderId="32" xfId="1" applyFont="1" applyFill="1" applyBorder="1" applyAlignment="1">
      <alignment horizontal="center"/>
    </xf>
    <xf numFmtId="2" fontId="7" fillId="0" borderId="32" xfId="0" applyNumberFormat="1" applyFont="1" applyFill="1" applyBorder="1"/>
    <xf numFmtId="0" fontId="7" fillId="0" borderId="32" xfId="0" applyFont="1" applyFill="1" applyBorder="1" applyAlignment="1">
      <alignment horizontal="right"/>
    </xf>
    <xf numFmtId="0" fontId="7" fillId="0" borderId="35" xfId="0" applyFont="1" applyFill="1" applyBorder="1" applyAlignment="1">
      <alignment horizontal="center"/>
    </xf>
    <xf numFmtId="0" fontId="11" fillId="0" borderId="0" xfId="1" applyFont="1" applyFill="1" applyAlignment="1">
      <alignment horizontal="center"/>
    </xf>
    <xf numFmtId="0" fontId="11" fillId="0" borderId="0" xfId="0" applyFont="1" applyFill="1" applyAlignment="1">
      <alignment horizontal="center"/>
    </xf>
    <xf numFmtId="0" fontId="23" fillId="0" borderId="32" xfId="0" applyFont="1" applyFill="1" applyBorder="1" applyAlignment="1">
      <alignment horizontal="center"/>
    </xf>
    <xf numFmtId="0" fontId="7" fillId="0" borderId="32" xfId="1" applyFont="1" applyFill="1" applyBorder="1" applyAlignment="1">
      <alignment horizontal="right"/>
    </xf>
    <xf numFmtId="0" fontId="11" fillId="0" borderId="15" xfId="1" applyFont="1" applyFill="1" applyBorder="1" applyAlignment="1">
      <alignment horizontal="center"/>
    </xf>
    <xf numFmtId="0" fontId="7" fillId="0" borderId="32" xfId="0" applyFont="1" applyFill="1" applyBorder="1" applyAlignment="1">
      <alignment wrapText="1"/>
    </xf>
    <xf numFmtId="2" fontId="11" fillId="0" borderId="4" xfId="1" applyNumberFormat="1" applyFont="1" applyFill="1" applyBorder="1" applyAlignment="1">
      <alignment horizontal="right" wrapText="1"/>
    </xf>
    <xf numFmtId="2" fontId="7" fillId="0" borderId="32" xfId="1" applyNumberFormat="1" applyFont="1" applyFill="1" applyBorder="1"/>
    <xf numFmtId="2" fontId="7" fillId="0" borderId="32" xfId="1" applyNumberFormat="1" applyFont="1" applyFill="1" applyBorder="1" applyAlignment="1">
      <alignment horizontal="right"/>
    </xf>
    <xf numFmtId="2" fontId="11" fillId="0" borderId="1" xfId="0" applyNumberFormat="1" applyFont="1" applyFill="1" applyBorder="1" applyAlignment="1">
      <alignment horizontal="center"/>
    </xf>
    <xf numFmtId="2" fontId="11" fillId="0" borderId="5" xfId="0" applyNumberFormat="1" applyFont="1" applyFill="1" applyBorder="1" applyAlignment="1">
      <alignment horizontal="center"/>
    </xf>
    <xf numFmtId="2" fontId="11" fillId="0" borderId="2" xfId="0" applyNumberFormat="1" applyFont="1" applyFill="1" applyBorder="1" applyAlignment="1">
      <alignment horizontal="center"/>
    </xf>
    <xf numFmtId="2" fontId="11" fillId="0" borderId="4" xfId="0" applyNumberFormat="1" applyFont="1" applyFill="1" applyBorder="1" applyAlignment="1">
      <alignment horizontal="center" vertical="center"/>
    </xf>
    <xf numFmtId="2" fontId="11" fillId="0" borderId="2" xfId="0" applyNumberFormat="1" applyFont="1" applyFill="1" applyBorder="1" applyAlignment="1">
      <alignment horizontal="center" vertical="center"/>
    </xf>
    <xf numFmtId="1" fontId="11" fillId="0" borderId="35" xfId="0" applyNumberFormat="1" applyFont="1" applyFill="1" applyBorder="1" applyAlignment="1">
      <alignment horizontal="center"/>
    </xf>
    <xf numFmtId="0" fontId="5" fillId="0" borderId="53" xfId="0" applyFont="1" applyFill="1" applyBorder="1"/>
    <xf numFmtId="0" fontId="5" fillId="0" borderId="57" xfId="0" applyFont="1" applyFill="1" applyBorder="1"/>
    <xf numFmtId="0" fontId="5" fillId="0" borderId="60" xfId="0" applyFont="1" applyFill="1" applyBorder="1"/>
    <xf numFmtId="0" fontId="11" fillId="0" borderId="54" xfId="0" applyFont="1" applyFill="1" applyBorder="1" applyAlignment="1">
      <alignment horizontal="center"/>
    </xf>
    <xf numFmtId="0" fontId="11" fillId="0" borderId="54" xfId="1" applyFont="1" applyFill="1" applyBorder="1" applyAlignment="1">
      <alignment wrapText="1"/>
    </xf>
    <xf numFmtId="2" fontId="11" fillId="0" borderId="54" xfId="0" applyNumberFormat="1" applyFont="1" applyFill="1" applyBorder="1" applyAlignment="1">
      <alignment horizontal="center"/>
    </xf>
    <xf numFmtId="2" fontId="11" fillId="0" borderId="54" xfId="1" applyNumberFormat="1" applyFont="1" applyFill="1" applyBorder="1" applyAlignment="1">
      <alignment wrapText="1"/>
    </xf>
    <xf numFmtId="0" fontId="11" fillId="0" borderId="52" xfId="0" applyFont="1" applyFill="1" applyBorder="1"/>
    <xf numFmtId="0" fontId="0" fillId="0" borderId="59" xfId="0" applyFill="1" applyBorder="1"/>
    <xf numFmtId="0" fontId="0" fillId="0" borderId="58" xfId="0" applyFill="1" applyBorder="1"/>
    <xf numFmtId="0" fontId="11" fillId="0" borderId="44" xfId="0" applyFont="1" applyFill="1" applyBorder="1" applyAlignment="1">
      <alignment horizontal="left" vertical="center" wrapText="1"/>
    </xf>
    <xf numFmtId="0" fontId="11" fillId="0" borderId="45"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12" xfId="0" applyFont="1" applyFill="1" applyBorder="1" applyAlignment="1">
      <alignment horizontal="left" vertical="center"/>
    </xf>
    <xf numFmtId="0" fontId="6" fillId="0" borderId="11" xfId="0" applyFont="1" applyFill="1" applyBorder="1" applyAlignment="1">
      <alignment horizontal="left" vertical="center"/>
    </xf>
    <xf numFmtId="0" fontId="11" fillId="0" borderId="6" xfId="0" applyFont="1" applyFill="1" applyBorder="1" applyAlignment="1">
      <alignment horizontal="left" vertical="center" wrapText="1"/>
    </xf>
    <xf numFmtId="0" fontId="11" fillId="0" borderId="4" xfId="0" applyFont="1" applyFill="1" applyBorder="1" applyAlignment="1">
      <alignment horizontal="center"/>
    </xf>
    <xf numFmtId="2" fontId="11" fillId="0" borderId="4" xfId="0" applyNumberFormat="1" applyFont="1" applyFill="1" applyBorder="1" applyAlignment="1">
      <alignment horizontal="center"/>
    </xf>
    <xf numFmtId="0" fontId="5" fillId="0" borderId="16" xfId="0" applyFont="1" applyFill="1" applyBorder="1"/>
    <xf numFmtId="0" fontId="5" fillId="0" borderId="2" xfId="0" applyFont="1" applyFill="1" applyBorder="1" applyAlignment="1">
      <alignment horizontal="left"/>
    </xf>
    <xf numFmtId="0" fontId="5" fillId="0" borderId="1" xfId="0" applyFont="1" applyFill="1" applyBorder="1" applyAlignment="1">
      <alignment horizontal="center"/>
    </xf>
    <xf numFmtId="0" fontId="11" fillId="0" borderId="7" xfId="0" applyFont="1" applyFill="1" applyBorder="1" applyAlignment="1">
      <alignment horizontal="center"/>
    </xf>
    <xf numFmtId="0" fontId="11" fillId="0" borderId="44" xfId="0" applyFont="1" applyFill="1" applyBorder="1" applyAlignment="1">
      <alignment horizontal="center"/>
    </xf>
    <xf numFmtId="0" fontId="11" fillId="0" borderId="44" xfId="1" applyFont="1" applyFill="1" applyBorder="1" applyAlignment="1">
      <alignment horizontal="left"/>
    </xf>
    <xf numFmtId="0" fontId="11" fillId="0" borderId="45" xfId="1" applyFont="1" applyFill="1" applyBorder="1" applyAlignment="1">
      <alignment horizontal="left"/>
    </xf>
    <xf numFmtId="1" fontId="11" fillId="0" borderId="32" xfId="0" applyNumberFormat="1" applyFont="1" applyFill="1" applyBorder="1" applyAlignment="1">
      <alignment horizontal="center"/>
    </xf>
    <xf numFmtId="1" fontId="11" fillId="0" borderId="15" xfId="0" applyNumberFormat="1" applyFont="1" applyFill="1" applyBorder="1" applyAlignment="1">
      <alignment horizontal="center"/>
    </xf>
    <xf numFmtId="0" fontId="11" fillId="0" borderId="44" xfId="0" applyFont="1" applyFill="1" applyBorder="1" applyAlignment="1">
      <alignment horizontal="left" vertical="top" wrapText="1"/>
    </xf>
    <xf numFmtId="0" fontId="11" fillId="0" borderId="45" xfId="0" applyFont="1" applyFill="1" applyBorder="1" applyAlignment="1">
      <alignment horizontal="left" vertical="top" wrapText="1"/>
    </xf>
    <xf numFmtId="0" fontId="11" fillId="0" borderId="46"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0" xfId="0" applyFont="1" applyFill="1" applyAlignment="1">
      <alignment horizontal="left" vertical="top" wrapText="1"/>
    </xf>
    <xf numFmtId="0" fontId="11"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3" xfId="0" applyFont="1" applyFill="1" applyBorder="1" applyAlignment="1">
      <alignment horizontal="left" vertical="top" wrapText="1"/>
    </xf>
    <xf numFmtId="0" fontId="5" fillId="0" borderId="33" xfId="0" applyFont="1" applyFill="1" applyBorder="1" applyAlignment="1">
      <alignment horizontal="left"/>
    </xf>
    <xf numFmtId="49" fontId="11" fillId="0" borderId="32" xfId="1" applyNumberFormat="1" applyFont="1" applyFill="1" applyBorder="1" applyAlignment="1">
      <alignment horizontal="center" wrapText="1"/>
    </xf>
    <xf numFmtId="0" fontId="11" fillId="0" borderId="32" xfId="0" applyFont="1" applyFill="1" applyBorder="1" applyAlignment="1">
      <alignment horizontal="center"/>
    </xf>
    <xf numFmtId="49" fontId="11" fillId="0" borderId="4" xfId="1" applyNumberFormat="1" applyFont="1" applyFill="1" applyBorder="1" applyAlignment="1">
      <alignment horizontal="center" wrapText="1"/>
    </xf>
    <xf numFmtId="0" fontId="11" fillId="0" borderId="6" xfId="0" applyFont="1" applyFill="1" applyBorder="1" applyAlignment="1">
      <alignment horizontal="center"/>
    </xf>
    <xf numFmtId="2" fontId="11" fillId="0" borderId="13" xfId="0" applyNumberFormat="1" applyFont="1" applyFill="1" applyBorder="1" applyAlignment="1">
      <alignment horizontal="right"/>
    </xf>
    <xf numFmtId="0" fontId="11" fillId="0" borderId="34" xfId="0" applyFont="1" applyFill="1" applyBorder="1" applyAlignment="1">
      <alignment vertical="center"/>
    </xf>
    <xf numFmtId="2" fontId="21" fillId="0" borderId="4" xfId="0" applyNumberFormat="1" applyFont="1" applyFill="1" applyBorder="1" applyAlignment="1">
      <alignment horizontal="right"/>
    </xf>
    <xf numFmtId="2" fontId="11" fillId="0" borderId="45" xfId="0" applyNumberFormat="1" applyFont="1" applyFill="1" applyBorder="1"/>
    <xf numFmtId="0" fontId="7" fillId="0" borderId="11" xfId="0" applyFont="1" applyFill="1" applyBorder="1"/>
    <xf numFmtId="0" fontId="5" fillId="0" borderId="52" xfId="11" applyFont="1" applyFill="1" applyBorder="1"/>
    <xf numFmtId="0" fontId="5" fillId="0" borderId="58" xfId="11" applyFont="1" applyFill="1" applyBorder="1"/>
    <xf numFmtId="0" fontId="11" fillId="0" borderId="0" xfId="11" applyFont="1" applyFill="1" applyAlignment="1">
      <alignment horizontal="left"/>
    </xf>
    <xf numFmtId="0" fontId="11" fillId="0" borderId="0" xfId="11" applyFont="1" applyFill="1"/>
    <xf numFmtId="0" fontId="11" fillId="0" borderId="11" xfId="11" applyFont="1" applyFill="1" applyBorder="1"/>
    <xf numFmtId="0" fontId="5" fillId="0" borderId="16" xfId="11" applyFont="1" applyFill="1" applyBorder="1" applyAlignment="1">
      <alignment horizontal="center"/>
    </xf>
    <xf numFmtId="0" fontId="5" fillId="0" borderId="54" xfId="11" applyFont="1" applyFill="1" applyBorder="1" applyAlignment="1">
      <alignment horizontal="center"/>
    </xf>
    <xf numFmtId="0" fontId="5" fillId="0" borderId="54" xfId="11" applyFont="1" applyFill="1" applyBorder="1"/>
    <xf numFmtId="0" fontId="11" fillId="0" borderId="52" xfId="11" applyFont="1" applyFill="1" applyBorder="1"/>
    <xf numFmtId="0" fontId="19" fillId="0" borderId="54" xfId="11" applyFont="1" applyFill="1" applyBorder="1"/>
    <xf numFmtId="0" fontId="19" fillId="0" borderId="59" xfId="11" applyFont="1" applyFill="1" applyBorder="1"/>
    <xf numFmtId="0" fontId="19" fillId="0" borderId="58" xfId="11" applyFont="1" applyFill="1" applyBorder="1"/>
    <xf numFmtId="49" fontId="11" fillId="0" borderId="4" xfId="0" applyNumberFormat="1" applyFont="1" applyFill="1" applyBorder="1" applyAlignment="1">
      <alignment horizontal="center"/>
    </xf>
    <xf numFmtId="0" fontId="11" fillId="0" borderId="7" xfId="1" applyFont="1" applyFill="1" applyBorder="1" applyAlignment="1">
      <alignment horizontal="left" vertical="top"/>
    </xf>
    <xf numFmtId="0" fontId="11" fillId="0" borderId="8" xfId="1" applyFont="1" applyFill="1" applyBorder="1" applyAlignment="1">
      <alignment horizontal="left" vertical="top"/>
    </xf>
    <xf numFmtId="0" fontId="11" fillId="0" borderId="12" xfId="1" applyFont="1" applyFill="1" applyBorder="1" applyAlignment="1">
      <alignment horizontal="left" vertical="top"/>
    </xf>
    <xf numFmtId="0" fontId="11" fillId="0" borderId="0" xfId="1" applyFont="1" applyFill="1" applyAlignment="1">
      <alignment horizontal="left" vertical="top"/>
    </xf>
    <xf numFmtId="0" fontId="11" fillId="0" borderId="32" xfId="0" quotePrefix="1" applyFont="1" applyFill="1" applyBorder="1" applyAlignment="1">
      <alignment horizontal="center"/>
    </xf>
    <xf numFmtId="0" fontId="11" fillId="0" borderId="32" xfId="0" applyFont="1" applyFill="1" applyBorder="1" applyAlignment="1">
      <alignment horizontal="right"/>
    </xf>
    <xf numFmtId="0" fontId="11" fillId="0" borderId="32" xfId="0" applyFont="1" applyFill="1" applyBorder="1" applyAlignment="1">
      <alignment horizontal="left"/>
    </xf>
    <xf numFmtId="0" fontId="11" fillId="0" borderId="35" xfId="0" applyFont="1" applyFill="1" applyBorder="1" applyAlignment="1">
      <alignment horizontal="left"/>
    </xf>
    <xf numFmtId="0" fontId="11" fillId="0" borderId="45" xfId="0" applyFont="1" applyFill="1" applyBorder="1" applyAlignment="1">
      <alignment horizontal="left"/>
    </xf>
    <xf numFmtId="0" fontId="11" fillId="0" borderId="7" xfId="1" applyFont="1" applyFill="1" applyBorder="1" applyAlignment="1">
      <alignment horizontal="left"/>
    </xf>
    <xf numFmtId="0" fontId="11" fillId="0" borderId="8" xfId="1" applyFont="1" applyFill="1" applyBorder="1" applyAlignment="1">
      <alignment horizontal="left"/>
    </xf>
    <xf numFmtId="1" fontId="5" fillId="0" borderId="4" xfId="0" applyNumberFormat="1" applyFont="1" applyFill="1" applyBorder="1" applyAlignment="1">
      <alignment horizontal="center"/>
    </xf>
    <xf numFmtId="1" fontId="5" fillId="0" borderId="5" xfId="0" applyNumberFormat="1" applyFont="1" applyFill="1" applyBorder="1" applyAlignment="1">
      <alignment horizontal="center"/>
    </xf>
    <xf numFmtId="0" fontId="5" fillId="0" borderId="9" xfId="0" applyFont="1" applyFill="1" applyBorder="1" applyAlignment="1">
      <alignment horizontal="left"/>
    </xf>
    <xf numFmtId="0" fontId="5" fillId="0" borderId="15" xfId="0" applyFont="1" applyFill="1" applyBorder="1"/>
    <xf numFmtId="0" fontId="5" fillId="0" borderId="2" xfId="0" applyFont="1" applyFill="1" applyBorder="1" applyAlignment="1">
      <alignment horizontal="center" vertical="top" wrapText="1"/>
    </xf>
    <xf numFmtId="0" fontId="5" fillId="0" borderId="13" xfId="0" applyFont="1" applyFill="1" applyBorder="1" applyAlignment="1">
      <alignment horizontal="center" vertical="top" wrapText="1"/>
    </xf>
    <xf numFmtId="2" fontId="11" fillId="0" borderId="14" xfId="0" applyNumberFormat="1" applyFont="1" applyFill="1" applyBorder="1"/>
    <xf numFmtId="0" fontId="6" fillId="0" borderId="6" xfId="0" applyFont="1" applyFill="1" applyBorder="1" applyAlignment="1">
      <alignment horizontal="left" wrapText="1"/>
    </xf>
    <xf numFmtId="0" fontId="5" fillId="0" borderId="17" xfId="4" applyFont="1" applyFill="1" applyBorder="1"/>
    <xf numFmtId="0" fontId="5" fillId="0" borderId="18" xfId="4" applyFont="1" applyFill="1" applyBorder="1"/>
    <xf numFmtId="0" fontId="11" fillId="0" borderId="0" xfId="4" applyFont="1" applyFill="1"/>
    <xf numFmtId="0" fontId="5" fillId="0" borderId="20" xfId="4" applyFont="1" applyFill="1" applyBorder="1"/>
    <xf numFmtId="0" fontId="5" fillId="0" borderId="4" xfId="4" applyFont="1" applyFill="1" applyBorder="1"/>
    <xf numFmtId="0" fontId="11" fillId="0" borderId="17" xfId="4" applyFont="1" applyFill="1" applyBorder="1"/>
    <xf numFmtId="0" fontId="11" fillId="0" borderId="19" xfId="4" applyFont="1" applyFill="1" applyBorder="1"/>
    <xf numFmtId="0" fontId="5" fillId="0" borderId="26" xfId="4" applyFont="1" applyFill="1" applyBorder="1" applyAlignment="1">
      <alignment horizontal="center"/>
    </xf>
    <xf numFmtId="0" fontId="5" fillId="0" borderId="18" xfId="4" applyFont="1" applyFill="1" applyBorder="1" applyAlignment="1">
      <alignment horizontal="center"/>
    </xf>
    <xf numFmtId="0" fontId="5" fillId="0" borderId="20" xfId="4" applyFont="1" applyFill="1" applyBorder="1" applyAlignment="1">
      <alignment horizontal="center"/>
    </xf>
    <xf numFmtId="2" fontId="11" fillId="0" borderId="19" xfId="4" applyNumberFormat="1" applyFont="1" applyFill="1" applyBorder="1" applyAlignment="1">
      <alignment horizontal="right"/>
    </xf>
    <xf numFmtId="2" fontId="11" fillId="0" borderId="19" xfId="4" applyNumberFormat="1" applyFont="1" applyFill="1" applyBorder="1" applyAlignment="1">
      <alignment horizontal="left"/>
    </xf>
    <xf numFmtId="2" fontId="11" fillId="0" borderId="19" xfId="4" applyNumberFormat="1" applyFont="1" applyFill="1" applyBorder="1"/>
    <xf numFmtId="2" fontId="11" fillId="0" borderId="22" xfId="4" applyNumberFormat="1" applyFont="1" applyFill="1" applyBorder="1" applyAlignment="1">
      <alignment horizontal="center"/>
    </xf>
    <xf numFmtId="2" fontId="11" fillId="0" borderId="22" xfId="4" applyNumberFormat="1" applyFont="1" applyFill="1" applyBorder="1"/>
    <xf numFmtId="2" fontId="11" fillId="0" borderId="21" xfId="4" applyNumberFormat="1" applyFont="1" applyFill="1" applyBorder="1"/>
    <xf numFmtId="0" fontId="11" fillId="0" borderId="27" xfId="4" applyFont="1" applyFill="1" applyBorder="1"/>
    <xf numFmtId="0" fontId="11" fillId="0" borderId="28" xfId="4" applyFont="1" applyFill="1" applyBorder="1"/>
    <xf numFmtId="0" fontId="11" fillId="0" borderId="28" xfId="4" applyFont="1" applyFill="1" applyBorder="1" applyAlignment="1">
      <alignment horizontal="center"/>
    </xf>
    <xf numFmtId="0" fontId="11" fillId="0" borderId="23" xfId="4" applyFont="1" applyFill="1" applyBorder="1" applyAlignment="1">
      <alignment horizontal="center"/>
    </xf>
    <xf numFmtId="0" fontId="11" fillId="0" borderId="0" xfId="4" applyFont="1" applyFill="1" applyAlignment="1">
      <alignment horizontal="center"/>
    </xf>
    <xf numFmtId="0" fontId="11" fillId="0" borderId="44" xfId="4" applyFont="1" applyFill="1" applyBorder="1"/>
    <xf numFmtId="0" fontId="11" fillId="0" borderId="45" xfId="4" applyFont="1" applyFill="1" applyBorder="1"/>
    <xf numFmtId="0" fontId="11" fillId="0" borderId="45" xfId="4" applyFont="1" applyFill="1" applyBorder="1" applyAlignment="1">
      <alignment horizontal="center"/>
    </xf>
    <xf numFmtId="0" fontId="11" fillId="0" borderId="12" xfId="4" applyFont="1" applyFill="1" applyBorder="1"/>
    <xf numFmtId="0" fontId="11" fillId="0" borderId="6" xfId="4" applyFont="1" applyFill="1" applyBorder="1"/>
    <xf numFmtId="0" fontId="11" fillId="0" borderId="6" xfId="4" applyFont="1" applyFill="1" applyBorder="1" applyAlignment="1">
      <alignment horizontal="center"/>
    </xf>
    <xf numFmtId="2" fontId="11" fillId="0" borderId="19" xfId="4" applyNumberFormat="1" applyFont="1" applyFill="1" applyBorder="1" applyAlignment="1">
      <alignment horizontal="center"/>
    </xf>
    <xf numFmtId="2" fontId="11" fillId="0" borderId="28" xfId="4" applyNumberFormat="1" applyFont="1" applyFill="1" applyBorder="1" applyAlignment="1">
      <alignment horizontal="right"/>
    </xf>
    <xf numFmtId="0" fontId="11" fillId="0" borderId="38" xfId="4" applyFont="1" applyFill="1" applyBorder="1"/>
    <xf numFmtId="0" fontId="11" fillId="0" borderId="39" xfId="4" applyFont="1" applyFill="1" applyBorder="1"/>
    <xf numFmtId="0" fontId="11" fillId="0" borderId="39" xfId="4" applyFont="1" applyFill="1" applyBorder="1" applyAlignment="1">
      <alignment horizontal="center"/>
    </xf>
    <xf numFmtId="0" fontId="11" fillId="0" borderId="11" xfId="4" applyFont="1" applyFill="1" applyBorder="1"/>
    <xf numFmtId="0" fontId="5" fillId="0" borderId="19" xfId="4" applyFont="1" applyFill="1" applyBorder="1" applyAlignment="1">
      <alignment horizontal="center"/>
    </xf>
    <xf numFmtId="0" fontId="11" fillId="0" borderId="45" xfId="4" applyFont="1" applyFill="1" applyBorder="1" applyAlignment="1">
      <alignment wrapText="1"/>
    </xf>
    <xf numFmtId="0" fontId="11" fillId="0" borderId="0" xfId="4" applyFont="1" applyFill="1" applyAlignment="1">
      <alignment wrapText="1"/>
    </xf>
    <xf numFmtId="0" fontId="11" fillId="0" borderId="12" xfId="4" applyFont="1" applyFill="1" applyBorder="1" applyAlignment="1">
      <alignment horizontal="left"/>
    </xf>
    <xf numFmtId="0" fontId="11" fillId="0" borderId="0" xfId="4" applyFont="1" applyFill="1" applyAlignment="1">
      <alignment horizontal="left" wrapText="1"/>
    </xf>
    <xf numFmtId="0" fontId="6" fillId="0" borderId="11" xfId="4" applyFont="1" applyFill="1" applyBorder="1"/>
    <xf numFmtId="0" fontId="11" fillId="0" borderId="6" xfId="4" applyFont="1" applyFill="1" applyBorder="1" applyAlignment="1">
      <alignment wrapText="1"/>
    </xf>
    <xf numFmtId="0" fontId="11" fillId="0" borderId="6" xfId="4" applyFont="1" applyFill="1" applyBorder="1" applyAlignment="1">
      <alignment horizontal="left" wrapText="1"/>
    </xf>
    <xf numFmtId="2" fontId="11" fillId="0" borderId="19" xfId="4" quotePrefix="1" applyNumberFormat="1" applyFont="1" applyFill="1" applyBorder="1"/>
    <xf numFmtId="2" fontId="11" fillId="0" borderId="19" xfId="4" applyNumberFormat="1" applyFont="1" applyFill="1" applyBorder="1" applyAlignment="1">
      <alignment wrapText="1"/>
    </xf>
    <xf numFmtId="2" fontId="11" fillId="0" borderId="4" xfId="4" applyNumberFormat="1" applyFont="1" applyFill="1" applyBorder="1"/>
    <xf numFmtId="2" fontId="7" fillId="0" borderId="19" xfId="0" applyNumberFormat="1" applyFont="1" applyFill="1" applyBorder="1"/>
    <xf numFmtId="0" fontId="11" fillId="0" borderId="29" xfId="4" applyFont="1" applyFill="1" applyBorder="1" applyAlignment="1">
      <alignment horizontal="center"/>
    </xf>
    <xf numFmtId="0" fontId="5" fillId="0" borderId="21" xfId="4" applyFont="1" applyFill="1" applyBorder="1" applyAlignment="1">
      <alignment horizontal="center"/>
    </xf>
    <xf numFmtId="0" fontId="23" fillId="0" borderId="19" xfId="0" applyFont="1" applyFill="1" applyBorder="1" applyAlignment="1">
      <alignment horizontal="center"/>
    </xf>
    <xf numFmtId="2" fontId="11" fillId="0" borderId="22" xfId="4" applyNumberFormat="1" applyFont="1" applyFill="1" applyBorder="1" applyAlignment="1">
      <alignment horizontal="right"/>
    </xf>
    <xf numFmtId="0" fontId="7" fillId="0" borderId="28" xfId="0" applyFont="1" applyFill="1" applyBorder="1" applyAlignment="1">
      <alignment horizontal="center"/>
    </xf>
    <xf numFmtId="0" fontId="5" fillId="0" borderId="0" xfId="4" applyFont="1" applyFill="1" applyAlignment="1">
      <alignment horizontal="center"/>
    </xf>
    <xf numFmtId="0" fontId="5" fillId="0" borderId="28" xfId="4" applyFont="1" applyFill="1" applyBorder="1" applyAlignment="1">
      <alignment horizontal="center"/>
    </xf>
    <xf numFmtId="2" fontId="11" fillId="0" borderId="4" xfId="4" applyNumberFormat="1" applyFont="1" applyFill="1" applyBorder="1" applyAlignment="1">
      <alignment horizontal="right"/>
    </xf>
    <xf numFmtId="2" fontId="11" fillId="0" borderId="26" xfId="4" applyNumberFormat="1" applyFont="1" applyFill="1" applyBorder="1" applyAlignment="1">
      <alignment horizontal="right"/>
    </xf>
    <xf numFmtId="0" fontId="11" fillId="0" borderId="19" xfId="4" applyFont="1" applyFill="1" applyBorder="1" applyAlignment="1">
      <alignment horizontal="right"/>
    </xf>
    <xf numFmtId="0" fontId="11" fillId="0" borderId="20" xfId="4" applyFont="1" applyFill="1" applyBorder="1"/>
    <xf numFmtId="0" fontId="7" fillId="0" borderId="19" xfId="0" applyFont="1" applyFill="1" applyBorder="1"/>
    <xf numFmtId="49" fontId="11" fillId="0" borderId="4" xfId="1" quotePrefix="1" applyNumberFormat="1" applyFont="1" applyFill="1" applyBorder="1" applyAlignment="1">
      <alignment horizontal="center" wrapText="1"/>
    </xf>
    <xf numFmtId="49" fontId="11" fillId="0" borderId="4" xfId="1" applyNumberFormat="1" applyFont="1" applyFill="1" applyBorder="1" applyAlignment="1">
      <alignment horizontal="right" wrapText="1"/>
    </xf>
    <xf numFmtId="0" fontId="11" fillId="0" borderId="36" xfId="0" applyFont="1" applyFill="1" applyBorder="1" applyAlignment="1">
      <alignment wrapText="1"/>
    </xf>
    <xf numFmtId="0" fontId="32" fillId="0" borderId="0" xfId="0" applyFont="1" applyFill="1"/>
    <xf numFmtId="0" fontId="23" fillId="0" borderId="0" xfId="0" applyFont="1" applyFill="1"/>
    <xf numFmtId="0" fontId="23" fillId="0" borderId="2" xfId="1" applyFont="1" applyFill="1" applyBorder="1"/>
    <xf numFmtId="0" fontId="7" fillId="0" borderId="2" xfId="1" applyFont="1" applyFill="1" applyBorder="1"/>
    <xf numFmtId="0" fontId="7" fillId="0" borderId="0" xfId="1" applyFont="1" applyFill="1"/>
    <xf numFmtId="2" fontId="7" fillId="0" borderId="32" xfId="0" applyNumberFormat="1" applyFont="1" applyFill="1" applyBorder="1" applyAlignment="1">
      <alignment wrapText="1"/>
    </xf>
    <xf numFmtId="0" fontId="7" fillId="0" borderId="35" xfId="1" applyFont="1" applyFill="1" applyBorder="1"/>
    <xf numFmtId="0" fontId="7" fillId="0" borderId="35" xfId="1" applyFont="1" applyFill="1" applyBorder="1" applyAlignment="1">
      <alignment horizontal="center"/>
    </xf>
    <xf numFmtId="0" fontId="7" fillId="0" borderId="35" xfId="0" applyFont="1" applyFill="1" applyBorder="1" applyAlignment="1">
      <alignment wrapText="1"/>
    </xf>
    <xf numFmtId="0" fontId="7" fillId="0" borderId="39" xfId="1" applyFont="1" applyFill="1" applyBorder="1" applyAlignment="1">
      <alignment wrapText="1"/>
    </xf>
    <xf numFmtId="0" fontId="7" fillId="0" borderId="39" xfId="0" applyFont="1" applyFill="1" applyBorder="1" applyAlignment="1">
      <alignment wrapText="1"/>
    </xf>
    <xf numFmtId="0" fontId="7" fillId="0" borderId="33" xfId="0" applyFont="1" applyFill="1" applyBorder="1" applyAlignment="1">
      <alignment wrapText="1"/>
    </xf>
    <xf numFmtId="0" fontId="33" fillId="0" borderId="0" xfId="0" applyFont="1" applyFill="1" applyAlignment="1">
      <alignment horizontal="left" wrapText="1"/>
    </xf>
    <xf numFmtId="0" fontId="23" fillId="0" borderId="4" xfId="0" applyFont="1" applyFill="1" applyBorder="1"/>
    <xf numFmtId="1" fontId="7" fillId="0" borderId="4" xfId="0" applyNumberFormat="1" applyFont="1" applyFill="1" applyBorder="1"/>
    <xf numFmtId="2" fontId="23" fillId="0" borderId="4" xfId="0" applyNumberFormat="1" applyFont="1" applyFill="1" applyBorder="1"/>
    <xf numFmtId="0" fontId="7" fillId="0" borderId="45" xfId="0" applyFont="1" applyFill="1" applyBorder="1"/>
    <xf numFmtId="0" fontId="32" fillId="0" borderId="45" xfId="0" applyFont="1" applyFill="1" applyBorder="1"/>
    <xf numFmtId="0" fontId="23" fillId="0" borderId="45" xfId="0" applyFont="1" applyFill="1" applyBorder="1"/>
    <xf numFmtId="0" fontId="7" fillId="0" borderId="46" xfId="0" applyFont="1" applyFill="1" applyBorder="1"/>
    <xf numFmtId="0" fontId="32" fillId="0" borderId="6" xfId="0" applyFont="1" applyFill="1" applyBorder="1"/>
    <xf numFmtId="0" fontId="23" fillId="0" borderId="6" xfId="0" applyFont="1" applyFill="1" applyBorder="1"/>
    <xf numFmtId="0" fontId="7" fillId="0" borderId="3" xfId="0" applyFont="1" applyFill="1" applyBorder="1"/>
    <xf numFmtId="0" fontId="7" fillId="0" borderId="39" xfId="0" applyFont="1" applyFill="1" applyBorder="1"/>
    <xf numFmtId="0" fontId="32" fillId="0" borderId="33" xfId="0" applyFont="1" applyFill="1" applyBorder="1"/>
    <xf numFmtId="0" fontId="23" fillId="0" borderId="46" xfId="0" applyFont="1" applyFill="1" applyBorder="1"/>
    <xf numFmtId="0" fontId="23" fillId="0" borderId="3" xfId="0" applyFont="1" applyFill="1" applyBorder="1"/>
    <xf numFmtId="0" fontId="7" fillId="0" borderId="5" xfId="0" applyFont="1" applyFill="1" applyBorder="1"/>
    <xf numFmtId="0" fontId="7" fillId="0" borderId="2" xfId="0" applyFont="1" applyFill="1" applyBorder="1"/>
    <xf numFmtId="0" fontId="7" fillId="0" borderId="36" xfId="0" applyFont="1" applyFill="1" applyBorder="1"/>
    <xf numFmtId="0" fontId="7" fillId="0" borderId="37" xfId="0" applyFont="1" applyFill="1" applyBorder="1"/>
    <xf numFmtId="0" fontId="7" fillId="0" borderId="10" xfId="0" applyFont="1" applyFill="1" applyBorder="1"/>
    <xf numFmtId="0" fontId="7" fillId="0" borderId="6" xfId="0" applyFont="1" applyFill="1" applyBorder="1"/>
    <xf numFmtId="0" fontId="7" fillId="0" borderId="0" xfId="0" applyFont="1" applyFill="1" applyAlignment="1">
      <alignment vertical="center"/>
    </xf>
    <xf numFmtId="0" fontId="0" fillId="0" borderId="0" xfId="0" applyFont="1" applyFill="1"/>
    <xf numFmtId="0" fontId="7" fillId="0" borderId="4" xfId="0" applyFont="1" applyFill="1" applyBorder="1" applyAlignment="1">
      <alignment vertical="center"/>
    </xf>
    <xf numFmtId="0" fontId="7" fillId="0" borderId="54" xfId="0" applyFont="1" applyFill="1" applyBorder="1" applyAlignment="1">
      <alignment vertical="center"/>
    </xf>
    <xf numFmtId="0" fontId="7" fillId="0" borderId="54" xfId="0" applyFont="1" applyFill="1" applyBorder="1"/>
    <xf numFmtId="2" fontId="7" fillId="0" borderId="54" xfId="0" applyNumberFormat="1" applyFont="1" applyFill="1" applyBorder="1"/>
    <xf numFmtId="2" fontId="7" fillId="0" borderId="0" xfId="0" applyNumberFormat="1" applyFont="1" applyFill="1"/>
    <xf numFmtId="0" fontId="7" fillId="0" borderId="4" xfId="0" applyFont="1" applyFill="1" applyBorder="1" applyAlignment="1">
      <alignment horizontal="right" vertical="center"/>
    </xf>
    <xf numFmtId="2" fontId="31" fillId="0" borderId="4" xfId="0" applyNumberFormat="1" applyFont="1" applyFill="1" applyBorder="1" applyAlignment="1">
      <alignment vertical="center"/>
    </xf>
    <xf numFmtId="0" fontId="7" fillId="0" borderId="55" xfId="0" applyFont="1" applyFill="1" applyBorder="1"/>
    <xf numFmtId="0" fontId="7" fillId="0" borderId="53" xfId="0" applyFont="1" applyFill="1" applyBorder="1"/>
    <xf numFmtId="0" fontId="7" fillId="0" borderId="56" xfId="0" applyFont="1" applyFill="1" applyBorder="1"/>
    <xf numFmtId="0" fontId="0" fillId="0" borderId="56" xfId="0" applyFont="1" applyFill="1" applyBorder="1"/>
    <xf numFmtId="0" fontId="0" fillId="0" borderId="57" xfId="0" applyFont="1" applyFill="1" applyBorder="1"/>
    <xf numFmtId="0" fontId="0" fillId="0" borderId="10" xfId="0" applyFont="1" applyFill="1" applyBorder="1"/>
    <xf numFmtId="0" fontId="0" fillId="0" borderId="6" xfId="0" applyFont="1" applyFill="1" applyBorder="1"/>
    <xf numFmtId="0" fontId="0" fillId="0" borderId="3" xfId="0" applyFont="1" applyFill="1" applyBorder="1"/>
    <xf numFmtId="0" fontId="7" fillId="0" borderId="35" xfId="0" applyFont="1" applyFill="1" applyBorder="1"/>
    <xf numFmtId="0" fontId="7" fillId="0" borderId="57" xfId="0" applyFont="1" applyFill="1" applyBorder="1"/>
    <xf numFmtId="0" fontId="23" fillId="0" borderId="4" xfId="1" applyFont="1" applyFill="1" applyBorder="1"/>
    <xf numFmtId="0" fontId="7" fillId="0" borderId="4" xfId="1" applyFont="1" applyFill="1" applyBorder="1"/>
    <xf numFmtId="2" fontId="7" fillId="0" borderId="5" xfId="1" applyNumberFormat="1" applyFont="1" applyFill="1" applyBorder="1"/>
    <xf numFmtId="2" fontId="7" fillId="0" borderId="4" xfId="1" applyNumberFormat="1" applyFont="1" applyFill="1" applyBorder="1"/>
    <xf numFmtId="0" fontId="7" fillId="0" borderId="32" xfId="0" applyFont="1" applyFill="1" applyBorder="1"/>
    <xf numFmtId="0" fontId="7" fillId="0" borderId="15" xfId="1" applyFont="1" applyFill="1" applyBorder="1"/>
    <xf numFmtId="0" fontId="7" fillId="0" borderId="8" xfId="1" applyFont="1" applyFill="1" applyBorder="1"/>
    <xf numFmtId="0" fontId="7" fillId="0" borderId="8" xfId="0" applyFont="1" applyFill="1" applyBorder="1"/>
    <xf numFmtId="0" fontId="7" fillId="0" borderId="9" xfId="0" applyFont="1" applyFill="1" applyBorder="1"/>
    <xf numFmtId="0" fontId="7" fillId="0" borderId="0" xfId="1" applyFont="1" applyFill="1" applyAlignment="1">
      <alignment horizontal="left"/>
    </xf>
    <xf numFmtId="0" fontId="28" fillId="0" borderId="0" xfId="0" applyFont="1" applyFill="1"/>
    <xf numFmtId="0" fontId="7" fillId="0" borderId="6" xfId="1" applyFont="1" applyFill="1" applyBorder="1"/>
    <xf numFmtId="0" fontId="7" fillId="0" borderId="33" xfId="0" applyFont="1" applyFill="1" applyBorder="1"/>
    <xf numFmtId="2" fontId="7" fillId="0" borderId="16" xfId="1" applyNumberFormat="1" applyFont="1" applyFill="1" applyBorder="1"/>
    <xf numFmtId="2" fontId="34" fillId="0" borderId="16" xfId="1" applyNumberFormat="1" applyFont="1" applyFill="1" applyBorder="1"/>
    <xf numFmtId="0" fontId="7" fillId="0" borderId="45" xfId="1" applyFont="1" applyFill="1" applyBorder="1"/>
    <xf numFmtId="0" fontId="7" fillId="0" borderId="56" xfId="1" applyFont="1" applyFill="1" applyBorder="1"/>
    <xf numFmtId="2" fontId="7" fillId="0" borderId="2" xfId="1" applyNumberFormat="1" applyFont="1" applyFill="1" applyBorder="1"/>
    <xf numFmtId="39" fontId="7" fillId="0" borderId="4" xfId="1" applyNumberFormat="1" applyFont="1" applyFill="1" applyBorder="1"/>
    <xf numFmtId="39" fontId="7" fillId="0" borderId="2" xfId="1" applyNumberFormat="1" applyFont="1" applyFill="1" applyBorder="1"/>
    <xf numFmtId="165" fontId="7" fillId="0" borderId="4" xfId="1" applyNumberFormat="1" applyFont="1" applyFill="1" applyBorder="1"/>
    <xf numFmtId="3" fontId="7" fillId="0" borderId="2" xfId="1" applyNumberFormat="1" applyFont="1" applyFill="1" applyBorder="1"/>
    <xf numFmtId="0" fontId="28" fillId="0" borderId="54" xfId="11" applyFont="1" applyFill="1" applyBorder="1"/>
    <xf numFmtId="1" fontId="7" fillId="0" borderId="15" xfId="1" applyNumberFormat="1" applyFont="1" applyFill="1" applyBorder="1"/>
    <xf numFmtId="170" fontId="7" fillId="0" borderId="4" xfId="1" applyNumberFormat="1" applyFont="1" applyFill="1" applyBorder="1"/>
    <xf numFmtId="170" fontId="7" fillId="0" borderId="2" xfId="1" applyNumberFormat="1" applyFont="1" applyFill="1" applyBorder="1"/>
    <xf numFmtId="165" fontId="7" fillId="0" borderId="4" xfId="1" applyNumberFormat="1" applyFont="1" applyFill="1" applyBorder="1" applyAlignment="1">
      <alignment wrapText="1"/>
    </xf>
    <xf numFmtId="4" fontId="7" fillId="0" borderId="2" xfId="1" applyNumberFormat="1" applyFont="1" applyFill="1" applyBorder="1"/>
    <xf numFmtId="0" fontId="7" fillId="0" borderId="56" xfId="1" applyFont="1" applyFill="1" applyBorder="1" applyAlignment="1">
      <alignment horizontal="left"/>
    </xf>
    <xf numFmtId="0" fontId="7" fillId="0" borderId="6" xfId="1" applyFont="1" applyFill="1" applyBorder="1" applyAlignment="1">
      <alignment horizontal="left"/>
    </xf>
    <xf numFmtId="0" fontId="35" fillId="0" borderId="32" xfId="0" applyFont="1" applyFill="1" applyBorder="1"/>
    <xf numFmtId="0" fontId="28" fillId="0" borderId="32" xfId="0" applyFont="1" applyFill="1" applyBorder="1"/>
    <xf numFmtId="0" fontId="28" fillId="0" borderId="32" xfId="0" applyFont="1" applyFill="1" applyBorder="1" applyAlignment="1">
      <alignment horizontal="right"/>
    </xf>
    <xf numFmtId="4" fontId="28" fillId="0" borderId="33" xfId="0" applyNumberFormat="1" applyFont="1" applyFill="1" applyBorder="1"/>
    <xf numFmtId="4" fontId="7" fillId="0" borderId="4" xfId="1" applyNumberFormat="1" applyFont="1" applyFill="1" applyBorder="1"/>
    <xf numFmtId="1" fontId="7" fillId="0" borderId="35" xfId="1" applyNumberFormat="1" applyFont="1" applyFill="1" applyBorder="1"/>
    <xf numFmtId="0" fontId="28" fillId="0" borderId="35" xfId="0" applyFont="1" applyFill="1" applyBorder="1"/>
    <xf numFmtId="0" fontId="7" fillId="0" borderId="9" xfId="1" applyFont="1" applyFill="1" applyBorder="1"/>
    <xf numFmtId="0" fontId="7" fillId="0" borderId="36" xfId="1" applyFont="1" applyFill="1" applyBorder="1" applyAlignment="1">
      <alignment vertical="top" wrapText="1"/>
    </xf>
    <xf numFmtId="0" fontId="7" fillId="0" borderId="37" xfId="1" applyFont="1" applyFill="1" applyBorder="1" applyAlignment="1">
      <alignment vertical="top" wrapText="1"/>
    </xf>
    <xf numFmtId="0" fontId="7" fillId="0" borderId="36" xfId="1" applyFont="1" applyFill="1" applyBorder="1" applyAlignment="1">
      <alignment wrapText="1"/>
    </xf>
    <xf numFmtId="0" fontId="7" fillId="0" borderId="0" xfId="1" applyFont="1" applyFill="1" applyAlignment="1">
      <alignment vertical="top" wrapText="1"/>
    </xf>
    <xf numFmtId="0" fontId="7" fillId="0" borderId="0" xfId="1" applyFont="1" applyFill="1" applyAlignment="1">
      <alignment wrapText="1"/>
    </xf>
    <xf numFmtId="0" fontId="7" fillId="0" borderId="6" xfId="1" applyFont="1" applyFill="1" applyBorder="1" applyAlignment="1">
      <alignment wrapText="1"/>
    </xf>
    <xf numFmtId="0" fontId="7" fillId="0" borderId="0" xfId="0" applyFont="1" applyFill="1" applyAlignment="1">
      <alignment horizontal="left"/>
    </xf>
    <xf numFmtId="0" fontId="23" fillId="0" borderId="37" xfId="1" applyFont="1" applyFill="1" applyBorder="1"/>
    <xf numFmtId="0" fontId="23" fillId="0" borderId="35" xfId="0" applyFont="1" applyFill="1" applyBorder="1"/>
    <xf numFmtId="0" fontId="23" fillId="0" borderId="32" xfId="0" applyFont="1" applyFill="1" applyBorder="1"/>
    <xf numFmtId="0" fontId="23" fillId="0" borderId="52" xfId="0" applyFont="1" applyFill="1" applyBorder="1"/>
    <xf numFmtId="0" fontId="23" fillId="0" borderId="54" xfId="0" applyFont="1" applyFill="1" applyBorder="1"/>
    <xf numFmtId="0" fontId="7" fillId="0" borderId="52" xfId="0" applyFont="1" applyFill="1" applyBorder="1"/>
    <xf numFmtId="2" fontId="7" fillId="0" borderId="52" xfId="0" applyNumberFormat="1" applyFont="1" applyFill="1" applyBorder="1"/>
    <xf numFmtId="1" fontId="7" fillId="0" borderId="55" xfId="1" applyNumberFormat="1" applyFont="1" applyFill="1" applyBorder="1"/>
    <xf numFmtId="165" fontId="7" fillId="0" borderId="2" xfId="1" applyNumberFormat="1" applyFont="1" applyFill="1" applyBorder="1"/>
    <xf numFmtId="0" fontId="7" fillId="0" borderId="5" xfId="1" applyFont="1" applyFill="1" applyBorder="1"/>
    <xf numFmtId="2" fontId="7" fillId="0" borderId="55" xfId="0" applyNumberFormat="1" applyFont="1" applyFill="1" applyBorder="1"/>
    <xf numFmtId="0" fontId="7" fillId="0" borderId="0" xfId="1" applyFont="1" applyFill="1" applyAlignment="1">
      <alignment horizontal="left" wrapText="1"/>
    </xf>
    <xf numFmtId="0" fontId="7" fillId="0" borderId="39" xfId="1" applyFont="1" applyFill="1" applyBorder="1"/>
    <xf numFmtId="0" fontId="7" fillId="0" borderId="45" xfId="0" applyFont="1" applyFill="1" applyBorder="1" applyAlignment="1">
      <alignment vertical="center"/>
    </xf>
    <xf numFmtId="0" fontId="7" fillId="0" borderId="46" xfId="0" applyFont="1" applyFill="1" applyBorder="1" applyAlignment="1">
      <alignment vertical="center"/>
    </xf>
    <xf numFmtId="0" fontId="7" fillId="0" borderId="10" xfId="0" applyFont="1" applyFill="1" applyBorder="1" applyAlignment="1">
      <alignment vertical="center"/>
    </xf>
    <xf numFmtId="0" fontId="23" fillId="0" borderId="4" xfId="0" applyFont="1" applyFill="1" applyBorder="1" applyAlignment="1">
      <alignment horizontal="right" vertical="center"/>
    </xf>
    <xf numFmtId="2" fontId="7" fillId="0" borderId="4" xfId="0" applyNumberFormat="1" applyFont="1" applyFill="1" applyBorder="1" applyAlignment="1">
      <alignment horizontal="right" vertical="center"/>
    </xf>
    <xf numFmtId="0" fontId="7" fillId="0" borderId="4" xfId="0" applyFont="1" applyFill="1" applyBorder="1" applyAlignment="1">
      <alignment horizontal="left" vertical="center" wrapText="1"/>
    </xf>
    <xf numFmtId="0" fontId="23" fillId="0" borderId="4" xfId="0" applyFont="1" applyFill="1" applyBorder="1" applyAlignment="1">
      <alignment horizontal="center" vertical="center" wrapText="1"/>
    </xf>
    <xf numFmtId="0" fontId="23" fillId="0" borderId="4" xfId="0" applyFont="1" applyFill="1" applyBorder="1" applyAlignment="1">
      <alignment horizontal="center"/>
    </xf>
    <xf numFmtId="2" fontId="7" fillId="0" borderId="4" xfId="0" applyNumberFormat="1" applyFont="1" applyFill="1" applyBorder="1" applyAlignment="1">
      <alignment horizontal="right" vertical="center" wrapText="1"/>
    </xf>
    <xf numFmtId="0" fontId="7" fillId="0" borderId="15" xfId="0" applyFont="1" applyFill="1" applyBorder="1" applyAlignment="1">
      <alignment horizontal="left" vertical="center" wrapText="1"/>
    </xf>
    <xf numFmtId="0" fontId="7" fillId="0" borderId="15" xfId="0" applyFont="1" applyFill="1" applyBorder="1" applyAlignment="1">
      <alignment horizontal="center" vertical="center" wrapText="1"/>
    </xf>
    <xf numFmtId="2" fontId="7" fillId="0" borderId="4" xfId="0" applyNumberFormat="1" applyFont="1" applyFill="1" applyBorder="1" applyAlignment="1">
      <alignment horizontal="left" vertical="center" wrapText="1"/>
    </xf>
    <xf numFmtId="2" fontId="7" fillId="0" borderId="16" xfId="0" applyNumberFormat="1" applyFont="1" applyFill="1" applyBorder="1" applyAlignment="1">
      <alignment horizontal="right"/>
    </xf>
    <xf numFmtId="0" fontId="23" fillId="0" borderId="35" xfId="0" applyFont="1" applyFill="1" applyBorder="1" applyAlignment="1">
      <alignment horizontal="center" vertical="center" wrapText="1"/>
    </xf>
    <xf numFmtId="0" fontId="23" fillId="0" borderId="35" xfId="0" applyFont="1" applyFill="1" applyBorder="1" applyAlignment="1">
      <alignment horizontal="center"/>
    </xf>
    <xf numFmtId="0" fontId="7" fillId="0" borderId="16" xfId="0" applyFont="1" applyFill="1" applyBorder="1"/>
    <xf numFmtId="0" fontId="7" fillId="0" borderId="60" xfId="0" applyFont="1" applyFill="1" applyBorder="1"/>
    <xf numFmtId="0" fontId="23" fillId="0" borderId="2" xfId="0" applyFont="1" applyFill="1" applyBorder="1" applyAlignment="1">
      <alignment horizontal="center"/>
    </xf>
    <xf numFmtId="2" fontId="7" fillId="0" borderId="2" xfId="0" applyNumberFormat="1" applyFont="1" applyFill="1" applyBorder="1" applyAlignment="1">
      <alignment horizontal="right"/>
    </xf>
    <xf numFmtId="49" fontId="7" fillId="0" borderId="2" xfId="0" applyNumberFormat="1" applyFont="1" applyFill="1" applyBorder="1" applyAlignment="1">
      <alignment wrapText="1"/>
    </xf>
    <xf numFmtId="49" fontId="7" fillId="0" borderId="58" xfId="0" applyNumberFormat="1" applyFont="1" applyFill="1" applyBorder="1" applyAlignment="1">
      <alignment wrapText="1"/>
    </xf>
    <xf numFmtId="0" fontId="7" fillId="0" borderId="45" xfId="0" applyFont="1" applyFill="1" applyBorder="1" applyAlignment="1">
      <alignment horizontal="center"/>
    </xf>
    <xf numFmtId="0" fontId="7" fillId="0" borderId="46" xfId="0" applyFont="1" applyFill="1" applyBorder="1" applyAlignment="1">
      <alignment horizontal="center"/>
    </xf>
    <xf numFmtId="0" fontId="7" fillId="0" borderId="6" xfId="0" applyFont="1" applyFill="1" applyBorder="1" applyAlignment="1">
      <alignment horizontal="left"/>
    </xf>
    <xf numFmtId="0" fontId="7" fillId="0" borderId="4" xfId="0" quotePrefix="1" applyFont="1" applyFill="1" applyBorder="1"/>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9" xfId="0" applyFont="1" applyFill="1" applyBorder="1" applyAlignment="1">
      <alignment horizontal="center" vertical="center" wrapText="1"/>
    </xf>
    <xf numFmtId="0" fontId="7" fillId="0" borderId="6" xfId="0" applyFont="1" applyFill="1" applyBorder="1" applyAlignment="1">
      <alignment horizontal="left" wrapText="1"/>
    </xf>
    <xf numFmtId="2" fontId="7" fillId="0" borderId="32" xfId="0" applyNumberFormat="1" applyFont="1" applyFill="1" applyBorder="1" applyAlignment="1">
      <alignment horizontal="right"/>
    </xf>
    <xf numFmtId="2" fontId="7" fillId="0" borderId="54" xfId="0" applyNumberFormat="1" applyFont="1" applyFill="1" applyBorder="1" applyAlignment="1">
      <alignment horizontal="right"/>
    </xf>
    <xf numFmtId="2" fontId="7" fillId="0" borderId="35" xfId="0" applyNumberFormat="1" applyFont="1" applyFill="1" applyBorder="1" applyAlignment="1">
      <alignment horizontal="right"/>
    </xf>
    <xf numFmtId="2" fontId="7" fillId="0" borderId="2" xfId="0" applyNumberFormat="1" applyFont="1" applyFill="1" applyBorder="1"/>
    <xf numFmtId="49" fontId="7" fillId="0" borderId="2" xfId="0" applyNumberFormat="1" applyFont="1" applyFill="1" applyBorder="1"/>
    <xf numFmtId="0" fontId="7" fillId="0" borderId="4" xfId="0" applyFont="1" applyFill="1" applyBorder="1" applyAlignment="1">
      <alignment wrapText="1"/>
    </xf>
    <xf numFmtId="0" fontId="35" fillId="0" borderId="2" xfId="0" applyFont="1" applyFill="1" applyBorder="1"/>
    <xf numFmtId="2" fontId="28" fillId="0" borderId="4" xfId="0" applyNumberFormat="1" applyFont="1" applyFill="1" applyBorder="1" applyAlignment="1">
      <alignment horizontal="right" vertical="center"/>
    </xf>
    <xf numFmtId="2" fontId="28" fillId="0" borderId="2" xfId="0" applyNumberFormat="1" applyFont="1" applyFill="1" applyBorder="1" applyAlignment="1">
      <alignment horizontal="right" vertical="center"/>
    </xf>
    <xf numFmtId="0" fontId="28" fillId="0" borderId="4" xfId="0" applyFont="1" applyFill="1" applyBorder="1" applyAlignment="1">
      <alignment horizontal="right"/>
    </xf>
    <xf numFmtId="0" fontId="28" fillId="0" borderId="2" xfId="0" applyFont="1" applyFill="1" applyBorder="1" applyAlignment="1">
      <alignment horizontal="right"/>
    </xf>
    <xf numFmtId="0" fontId="28" fillId="0" borderId="9" xfId="0" applyFont="1" applyFill="1" applyBorder="1" applyAlignment="1">
      <alignment horizontal="right"/>
    </xf>
    <xf numFmtId="0" fontId="28" fillId="0" borderId="45" xfId="0" applyFont="1" applyFill="1" applyBorder="1"/>
    <xf numFmtId="0" fontId="28" fillId="0" borderId="46" xfId="0" applyFont="1" applyFill="1" applyBorder="1"/>
    <xf numFmtId="0" fontId="30" fillId="0" borderId="46" xfId="0" applyFont="1" applyFill="1" applyBorder="1"/>
    <xf numFmtId="0" fontId="30" fillId="0" borderId="10" xfId="0" applyFont="1" applyFill="1" applyBorder="1"/>
    <xf numFmtId="2" fontId="28" fillId="0" borderId="4" xfId="0" applyNumberFormat="1" applyFont="1" applyFill="1" applyBorder="1" applyAlignment="1">
      <alignment vertical="center"/>
    </xf>
    <xf numFmtId="2" fontId="28" fillId="0" borderId="2" xfId="0" applyNumberFormat="1" applyFont="1" applyFill="1" applyBorder="1" applyAlignment="1">
      <alignment vertical="center"/>
    </xf>
    <xf numFmtId="0" fontId="30" fillId="0" borderId="32" xfId="0" applyFont="1" applyFill="1" applyBorder="1"/>
    <xf numFmtId="2" fontId="28" fillId="0" borderId="4" xfId="0" applyNumberFormat="1" applyFont="1" applyFill="1" applyBorder="1"/>
    <xf numFmtId="2" fontId="28" fillId="0" borderId="32" xfId="0" applyNumberFormat="1" applyFont="1" applyFill="1" applyBorder="1"/>
    <xf numFmtId="0" fontId="28" fillId="0" borderId="2" xfId="0" applyFont="1" applyFill="1" applyBorder="1"/>
    <xf numFmtId="0" fontId="30" fillId="0" borderId="35" xfId="0" applyFont="1" applyFill="1" applyBorder="1"/>
    <xf numFmtId="0" fontId="30" fillId="0" borderId="45" xfId="0" applyFont="1" applyFill="1" applyBorder="1"/>
    <xf numFmtId="0" fontId="30" fillId="0" borderId="6" xfId="0" applyFont="1" applyFill="1" applyBorder="1"/>
    <xf numFmtId="0" fontId="35" fillId="0" borderId="2" xfId="0" applyFont="1" applyFill="1" applyBorder="1" applyAlignment="1">
      <alignment horizontal="right"/>
    </xf>
    <xf numFmtId="2" fontId="28" fillId="0" borderId="2" xfId="0" applyNumberFormat="1" applyFont="1" applyFill="1" applyBorder="1" applyAlignment="1">
      <alignment horizontal="right" vertical="center" wrapText="1"/>
    </xf>
    <xf numFmtId="2" fontId="28" fillId="0" borderId="2" xfId="0" applyNumberFormat="1" applyFont="1" applyFill="1" applyBorder="1" applyAlignment="1">
      <alignment horizontal="right"/>
    </xf>
    <xf numFmtId="0" fontId="28" fillId="0" borderId="35" xfId="0" applyFont="1" applyFill="1" applyBorder="1" applyAlignment="1">
      <alignment horizontal="right"/>
    </xf>
    <xf numFmtId="0" fontId="28" fillId="0" borderId="46" xfId="0" applyFont="1" applyFill="1" applyBorder="1" applyAlignment="1">
      <alignment horizontal="right"/>
    </xf>
    <xf numFmtId="0" fontId="7" fillId="0" borderId="10" xfId="0" applyFont="1" applyFill="1" applyBorder="1" applyAlignment="1">
      <alignment horizontal="left" wrapText="1"/>
    </xf>
    <xf numFmtId="0" fontId="7" fillId="0" borderId="3" xfId="0" applyFont="1" applyFill="1" applyBorder="1" applyAlignment="1">
      <alignment horizontal="left" wrapText="1"/>
    </xf>
    <xf numFmtId="0" fontId="23" fillId="0" borderId="4" xfId="1" applyFont="1" applyFill="1" applyBorder="1" applyAlignment="1">
      <alignment horizontal="center"/>
    </xf>
    <xf numFmtId="0" fontId="23" fillId="0" borderId="32" xfId="0" applyFont="1" applyFill="1" applyBorder="1" applyAlignment="1">
      <alignment horizontal="center" vertical="center"/>
    </xf>
    <xf numFmtId="0" fontId="7" fillId="0" borderId="4" xfId="1" applyFont="1" applyFill="1" applyBorder="1" applyAlignment="1">
      <alignment horizontal="right" wrapText="1"/>
    </xf>
    <xf numFmtId="0" fontId="7" fillId="0" borderId="4" xfId="1" applyFont="1" applyFill="1" applyBorder="1" applyAlignment="1">
      <alignment horizontal="right"/>
    </xf>
    <xf numFmtId="0" fontId="7" fillId="0" borderId="35" xfId="0" applyFont="1" applyFill="1" applyBorder="1" applyAlignment="1">
      <alignment horizontal="center" vertical="center"/>
    </xf>
    <xf numFmtId="0" fontId="7" fillId="0" borderId="45" xfId="1" applyFont="1" applyFill="1" applyBorder="1" applyAlignment="1">
      <alignment horizontal="center"/>
    </xf>
    <xf numFmtId="0" fontId="7" fillId="0" borderId="6" xfId="1" applyFont="1" applyFill="1" applyBorder="1" applyAlignment="1">
      <alignment horizontal="left" vertical="center"/>
    </xf>
    <xf numFmtId="0" fontId="7" fillId="0" borderId="45" xfId="1" applyFont="1" applyFill="1" applyBorder="1" applyAlignment="1">
      <alignment wrapText="1"/>
    </xf>
    <xf numFmtId="0" fontId="7" fillId="0" borderId="6" xfId="1" applyFont="1" applyFill="1" applyBorder="1" applyAlignment="1">
      <alignment horizontal="left" wrapText="1"/>
    </xf>
    <xf numFmtId="2" fontId="7" fillId="0" borderId="4" xfId="1" applyNumberFormat="1" applyFont="1" applyFill="1" applyBorder="1" applyAlignment="1">
      <alignment horizontal="right"/>
    </xf>
    <xf numFmtId="49" fontId="7" fillId="0" borderId="4" xfId="1" applyNumberFormat="1" applyFont="1" applyFill="1" applyBorder="1" applyAlignment="1">
      <alignment horizontal="right"/>
    </xf>
    <xf numFmtId="0" fontId="7" fillId="0" borderId="35" xfId="1" applyFont="1" applyFill="1" applyBorder="1" applyAlignment="1">
      <alignment wrapText="1"/>
    </xf>
    <xf numFmtId="0" fontId="7" fillId="0" borderId="3" xfId="1" applyFont="1" applyFill="1" applyBorder="1" applyAlignment="1">
      <alignment wrapText="1"/>
    </xf>
    <xf numFmtId="2" fontId="7" fillId="0" borderId="4" xfId="1" quotePrefix="1" applyNumberFormat="1" applyFont="1" applyFill="1" applyBorder="1" applyAlignment="1">
      <alignment horizontal="right"/>
    </xf>
    <xf numFmtId="0" fontId="7" fillId="0" borderId="46" xfId="1" applyFont="1" applyFill="1" applyBorder="1" applyAlignment="1">
      <alignment wrapText="1"/>
    </xf>
    <xf numFmtId="0" fontId="7" fillId="0" borderId="32" xfId="1" applyFont="1" applyFill="1" applyBorder="1" applyAlignment="1">
      <alignment horizontal="left" wrapText="1"/>
    </xf>
    <xf numFmtId="0" fontId="7" fillId="0" borderId="32" xfId="1" applyFont="1" applyFill="1" applyBorder="1" applyAlignment="1">
      <alignment wrapText="1"/>
    </xf>
    <xf numFmtId="0" fontId="7" fillId="0" borderId="32" xfId="1" quotePrefix="1" applyFont="1" applyFill="1" applyBorder="1" applyAlignment="1">
      <alignment horizontal="left" wrapText="1"/>
    </xf>
    <xf numFmtId="0" fontId="7" fillId="0" borderId="35" xfId="1" applyFont="1" applyFill="1" applyBorder="1" applyAlignment="1">
      <alignment horizontal="left" wrapText="1"/>
    </xf>
    <xf numFmtId="0" fontId="7" fillId="0" borderId="33" xfId="1" applyFont="1" applyFill="1" applyBorder="1" applyAlignment="1">
      <alignment wrapText="1"/>
    </xf>
    <xf numFmtId="2" fontId="7" fillId="0" borderId="4" xfId="1" applyNumberFormat="1" applyFont="1" applyFill="1" applyBorder="1" applyProtection="1">
      <protection locked="0"/>
    </xf>
    <xf numFmtId="2" fontId="7" fillId="0" borderId="4" xfId="0" applyNumberFormat="1" applyFont="1" applyFill="1" applyBorder="1" applyAlignment="1">
      <alignment horizontal="center" vertical="center" wrapText="1"/>
    </xf>
    <xf numFmtId="2" fontId="7" fillId="0" borderId="4" xfId="0" applyNumberFormat="1" applyFont="1" applyFill="1" applyBorder="1" applyAlignment="1">
      <alignment horizontal="center" wrapText="1"/>
    </xf>
    <xf numFmtId="0" fontId="23" fillId="0" borderId="45" xfId="0" applyFont="1" applyFill="1" applyBorder="1" applyAlignment="1">
      <alignment horizontal="center"/>
    </xf>
    <xf numFmtId="0" fontId="23" fillId="0" borderId="0" xfId="0" applyFont="1" applyFill="1" applyAlignment="1">
      <alignment horizontal="center"/>
    </xf>
    <xf numFmtId="0" fontId="23" fillId="0" borderId="6" xfId="0" applyFont="1" applyFill="1" applyBorder="1" applyAlignment="1">
      <alignment horizontal="center"/>
    </xf>
    <xf numFmtId="49" fontId="7" fillId="0" borderId="4" xfId="0" applyNumberFormat="1" applyFont="1" applyFill="1" applyBorder="1" applyAlignment="1">
      <alignment horizontal="center" wrapText="1"/>
    </xf>
    <xf numFmtId="2" fontId="7" fillId="0" borderId="4" xfId="0" applyNumberFormat="1" applyFont="1" applyFill="1" applyBorder="1" applyAlignment="1">
      <alignment wrapText="1"/>
    </xf>
    <xf numFmtId="0" fontId="7" fillId="0" borderId="32" xfId="0" applyFont="1" applyFill="1" applyBorder="1" applyAlignment="1">
      <alignment horizontal="left" wrapText="1"/>
    </xf>
    <xf numFmtId="0" fontId="7" fillId="0" borderId="6" xfId="0" applyFont="1" applyFill="1" applyBorder="1" applyAlignment="1" applyProtection="1">
      <alignment wrapText="1"/>
      <protection locked="0"/>
    </xf>
    <xf numFmtId="2" fontId="34" fillId="0" borderId="40" xfId="1" applyNumberFormat="1" applyFont="1" applyFill="1" applyBorder="1" applyProtection="1">
      <protection locked="0"/>
    </xf>
    <xf numFmtId="0" fontId="7" fillId="0" borderId="4" xfId="0" applyFont="1" applyFill="1" applyBorder="1" applyAlignment="1">
      <alignment horizontal="center" vertical="center" wrapText="1"/>
    </xf>
    <xf numFmtId="0" fontId="34" fillId="0" borderId="40" xfId="0" applyFont="1" applyFill="1" applyBorder="1" applyAlignment="1">
      <alignment wrapText="1"/>
    </xf>
    <xf numFmtId="2" fontId="34" fillId="0" borderId="40" xfId="0" applyNumberFormat="1" applyFont="1" applyFill="1" applyBorder="1"/>
    <xf numFmtId="0" fontId="34" fillId="0" borderId="40" xfId="0" applyFont="1" applyFill="1" applyBorder="1"/>
    <xf numFmtId="0" fontId="34" fillId="0" borderId="41" xfId="0" applyFont="1" applyFill="1" applyBorder="1" applyAlignment="1">
      <alignment horizontal="center"/>
    </xf>
    <xf numFmtId="0" fontId="7" fillId="0" borderId="6" xfId="1" applyFont="1" applyFill="1" applyBorder="1" applyAlignment="1">
      <alignment horizontal="left" vertical="top" wrapText="1"/>
    </xf>
    <xf numFmtId="2" fontId="7" fillId="0" borderId="4" xfId="1" applyNumberFormat="1" applyFont="1" applyFill="1" applyBorder="1" applyAlignment="1" applyProtection="1">
      <alignment horizontal="right"/>
      <protection locked="0"/>
    </xf>
    <xf numFmtId="0" fontId="7" fillId="0" borderId="4" xfId="0" applyFont="1" applyFill="1" applyBorder="1" applyAlignment="1">
      <alignment horizontal="center" wrapText="1"/>
    </xf>
    <xf numFmtId="0" fontId="23" fillId="0" borderId="15" xfId="0" applyFont="1" applyFill="1" applyBorder="1" applyAlignment="1">
      <alignment horizontal="center"/>
    </xf>
    <xf numFmtId="0" fontId="23" fillId="0" borderId="36" xfId="0" applyFont="1" applyFill="1" applyBorder="1" applyAlignment="1">
      <alignment horizontal="center"/>
    </xf>
    <xf numFmtId="0" fontId="23" fillId="0" borderId="37" xfId="0" applyFont="1" applyFill="1" applyBorder="1" applyAlignment="1">
      <alignment horizontal="center"/>
    </xf>
    <xf numFmtId="0" fontId="23" fillId="0" borderId="10" xfId="0" applyFont="1" applyFill="1" applyBorder="1" applyAlignment="1">
      <alignment horizontal="center"/>
    </xf>
    <xf numFmtId="0" fontId="7" fillId="0" borderId="0" xfId="0" applyFont="1" applyFill="1" applyAlignment="1">
      <alignment vertical="top" wrapText="1"/>
    </xf>
    <xf numFmtId="0" fontId="7" fillId="0" borderId="10" xfId="0" applyFont="1" applyFill="1" applyBorder="1" applyAlignment="1">
      <alignment vertical="top" wrapText="1"/>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4" xfId="1" applyFont="1" applyFill="1" applyBorder="1" applyAlignment="1" applyProtection="1">
      <alignment horizontal="right"/>
      <protection locked="0"/>
    </xf>
    <xf numFmtId="2" fontId="7" fillId="0" borderId="15" xfId="0" applyNumberFormat="1" applyFont="1" applyFill="1" applyBorder="1"/>
    <xf numFmtId="0" fontId="7" fillId="0" borderId="6" xfId="0" applyFont="1" applyFill="1" applyBorder="1" applyAlignment="1">
      <alignment vertical="center" wrapText="1"/>
    </xf>
    <xf numFmtId="0" fontId="7" fillId="0" borderId="0" xfId="0" applyFont="1" applyFill="1" applyAlignment="1">
      <alignment horizontal="left" vertical="center" wrapText="1"/>
    </xf>
    <xf numFmtId="1" fontId="7" fillId="0" borderId="2" xfId="0" applyNumberFormat="1" applyFont="1" applyFill="1" applyBorder="1"/>
    <xf numFmtId="1" fontId="7" fillId="0" borderId="35" xfId="0" applyNumberFormat="1" applyFont="1" applyFill="1" applyBorder="1" applyAlignment="1">
      <alignment horizontal="right"/>
    </xf>
    <xf numFmtId="0" fontId="23" fillId="0" borderId="4" xfId="0" applyFont="1" applyFill="1" applyBorder="1" applyAlignment="1">
      <alignment horizontal="center" wrapText="1"/>
    </xf>
    <xf numFmtId="2" fontId="7" fillId="0" borderId="2" xfId="0" applyNumberFormat="1" applyFont="1" applyFill="1" applyBorder="1" applyAlignment="1">
      <alignment wrapText="1"/>
    </xf>
    <xf numFmtId="0" fontId="7" fillId="0" borderId="2" xfId="0" applyFont="1" applyFill="1" applyBorder="1" applyAlignment="1">
      <alignment wrapText="1"/>
    </xf>
    <xf numFmtId="0" fontId="7" fillId="0" borderId="15" xfId="0" applyFont="1" applyFill="1" applyBorder="1" applyAlignment="1">
      <alignment wrapText="1"/>
    </xf>
    <xf numFmtId="0" fontId="7" fillId="0" borderId="45" xfId="0" applyFont="1" applyFill="1" applyBorder="1" applyAlignment="1">
      <alignment wrapText="1"/>
    </xf>
    <xf numFmtId="0" fontId="7" fillId="0" borderId="46" xfId="0" applyFont="1" applyFill="1" applyBorder="1" applyAlignment="1">
      <alignment wrapText="1"/>
    </xf>
    <xf numFmtId="0" fontId="7" fillId="0" borderId="6" xfId="0" applyFont="1" applyFill="1" applyBorder="1" applyAlignment="1">
      <alignment wrapText="1"/>
    </xf>
    <xf numFmtId="0" fontId="7" fillId="0" borderId="3" xfId="0" applyFont="1" applyFill="1" applyBorder="1" applyAlignment="1">
      <alignment wrapText="1"/>
    </xf>
    <xf numFmtId="0" fontId="7" fillId="0" borderId="0" xfId="2" applyFont="1" applyFill="1"/>
    <xf numFmtId="0" fontId="23" fillId="0" borderId="5" xfId="1" applyFont="1" applyFill="1" applyBorder="1" applyAlignment="1">
      <alignment horizontal="center"/>
    </xf>
    <xf numFmtId="0" fontId="23" fillId="0" borderId="2" xfId="1" applyFont="1" applyFill="1" applyBorder="1" applyAlignment="1">
      <alignment horizontal="center"/>
    </xf>
    <xf numFmtId="0" fontId="23" fillId="0" borderId="33" xfId="1" applyFont="1" applyFill="1" applyBorder="1" applyAlignment="1">
      <alignment horizontal="center"/>
    </xf>
    <xf numFmtId="1" fontId="7" fillId="0" borderId="32" xfId="0" applyNumberFormat="1" applyFont="1" applyFill="1" applyBorder="1"/>
    <xf numFmtId="1" fontId="7" fillId="0" borderId="60" xfId="1" applyNumberFormat="1" applyFont="1" applyFill="1" applyBorder="1" applyAlignment="1">
      <alignment horizontal="center"/>
    </xf>
    <xf numFmtId="0" fontId="28" fillId="0" borderId="0" xfId="0" applyFont="1" applyFill="1" applyAlignment="1">
      <alignment vertical="center"/>
    </xf>
    <xf numFmtId="0" fontId="23" fillId="0" borderId="4" xfId="0" applyFont="1" applyFill="1" applyBorder="1" applyAlignment="1">
      <alignment vertical="center"/>
    </xf>
    <xf numFmtId="0" fontId="23" fillId="0" borderId="32" xfId="0" applyFont="1" applyFill="1" applyBorder="1" applyAlignment="1">
      <alignment vertical="center"/>
    </xf>
    <xf numFmtId="0" fontId="0" fillId="0" borderId="32" xfId="0" applyFont="1" applyFill="1" applyBorder="1"/>
    <xf numFmtId="2" fontId="31" fillId="0" borderId="4" xfId="0" applyNumberFormat="1" applyFont="1" applyFill="1" applyBorder="1" applyAlignment="1">
      <alignment horizontal="right" vertical="center"/>
    </xf>
    <xf numFmtId="0" fontId="0" fillId="0" borderId="35" xfId="0" applyFont="1" applyFill="1" applyBorder="1"/>
    <xf numFmtId="0" fontId="0" fillId="0" borderId="45" xfId="0" applyFont="1" applyFill="1" applyBorder="1"/>
    <xf numFmtId="0" fontId="36" fillId="0" borderId="0" xfId="2" applyFont="1" applyFill="1"/>
    <xf numFmtId="1" fontId="23" fillId="0" borderId="4" xfId="2" applyNumberFormat="1" applyFont="1" applyFill="1" applyBorder="1" applyAlignment="1">
      <alignment horizontal="center" vertical="top"/>
    </xf>
    <xf numFmtId="40" fontId="7" fillId="0" borderId="4" xfId="2" applyNumberFormat="1" applyFont="1" applyFill="1" applyBorder="1"/>
    <xf numFmtId="40" fontId="7" fillId="0" borderId="35" xfId="2" applyNumberFormat="1" applyFont="1" applyFill="1" applyBorder="1"/>
    <xf numFmtId="40" fontId="7" fillId="0" borderId="45" xfId="2" applyNumberFormat="1" applyFont="1" applyFill="1" applyBorder="1"/>
    <xf numFmtId="0" fontId="7" fillId="0" borderId="45" xfId="2" applyFont="1" applyFill="1" applyBorder="1"/>
    <xf numFmtId="0" fontId="7" fillId="0" borderId="0" xfId="2" applyFont="1" applyFill="1" applyAlignment="1">
      <alignment horizontal="left"/>
    </xf>
    <xf numFmtId="0" fontId="7" fillId="0" borderId="0" xfId="2" applyFont="1" applyFill="1" applyAlignment="1">
      <alignment horizontal="center"/>
    </xf>
    <xf numFmtId="2" fontId="7" fillId="0" borderId="0" xfId="2" applyNumberFormat="1" applyFont="1" applyFill="1" applyAlignment="1">
      <alignment horizontal="center"/>
    </xf>
    <xf numFmtId="0" fontId="7" fillId="0" borderId="6" xfId="2" applyFont="1" applyFill="1" applyBorder="1"/>
    <xf numFmtId="2" fontId="7" fillId="0" borderId="4" xfId="2" applyNumberFormat="1" applyFont="1" applyFill="1" applyBorder="1"/>
    <xf numFmtId="0" fontId="7" fillId="0" borderId="15" xfId="2" applyFont="1" applyFill="1" applyBorder="1"/>
    <xf numFmtId="0" fontId="7" fillId="0" borderId="15" xfId="2" applyFont="1" applyFill="1" applyBorder="1" applyAlignment="1">
      <alignment horizontal="center"/>
    </xf>
    <xf numFmtId="0" fontId="36" fillId="0" borderId="0" xfId="2" applyFont="1" applyFill="1" applyAlignment="1">
      <alignment horizontal="center"/>
    </xf>
    <xf numFmtId="166" fontId="36" fillId="0" borderId="0" xfId="2" applyNumberFormat="1" applyFont="1" applyFill="1" applyAlignment="1">
      <alignment horizontal="center"/>
    </xf>
    <xf numFmtId="0" fontId="7" fillId="0" borderId="0" xfId="3" applyFont="1" applyFill="1"/>
    <xf numFmtId="0" fontId="7" fillId="0" borderId="6" xfId="3" applyFont="1" applyFill="1" applyBorder="1"/>
    <xf numFmtId="0" fontId="23" fillId="0" borderId="4" xfId="2" applyFont="1" applyFill="1" applyBorder="1" applyAlignment="1">
      <alignment horizontal="center" vertical="top"/>
    </xf>
    <xf numFmtId="1" fontId="7" fillId="0" borderId="4" xfId="2" applyNumberFormat="1" applyFont="1" applyFill="1" applyBorder="1"/>
    <xf numFmtId="169" fontId="7" fillId="0" borderId="35" xfId="2" applyNumberFormat="1" applyFont="1" applyFill="1" applyBorder="1"/>
    <xf numFmtId="1" fontId="7" fillId="0" borderId="35" xfId="2" applyNumberFormat="1" applyFont="1" applyFill="1" applyBorder="1"/>
    <xf numFmtId="0" fontId="7" fillId="0" borderId="35" xfId="2" applyFont="1" applyFill="1" applyBorder="1"/>
    <xf numFmtId="166" fontId="7" fillId="0" borderId="0" xfId="2" applyNumberFormat="1" applyFont="1" applyFill="1" applyAlignment="1">
      <alignment horizontal="center"/>
    </xf>
    <xf numFmtId="0" fontId="7" fillId="0" borderId="0" xfId="3" applyFont="1" applyFill="1" applyAlignment="1">
      <alignment wrapText="1"/>
    </xf>
    <xf numFmtId="0" fontId="7" fillId="0" borderId="6" xfId="2" applyFont="1" applyFill="1" applyBorder="1" applyAlignment="1">
      <alignment horizontal="center"/>
    </xf>
    <xf numFmtId="1" fontId="23" fillId="0" borderId="2" xfId="2" applyNumberFormat="1" applyFont="1" applyFill="1" applyBorder="1" applyAlignment="1">
      <alignment horizontal="center" vertical="top"/>
    </xf>
    <xf numFmtId="1" fontId="23" fillId="0" borderId="13" xfId="2" applyNumberFormat="1" applyFont="1" applyFill="1" applyBorder="1" applyAlignment="1">
      <alignment horizontal="center" vertical="top"/>
    </xf>
    <xf numFmtId="2" fontId="7" fillId="0" borderId="2" xfId="2" applyNumberFormat="1" applyFont="1" applyFill="1" applyBorder="1" applyAlignment="1">
      <alignment horizontal="right"/>
    </xf>
    <xf numFmtId="2" fontId="7" fillId="0" borderId="2" xfId="2" applyNumberFormat="1" applyFont="1" applyFill="1" applyBorder="1"/>
    <xf numFmtId="0" fontId="7" fillId="0" borderId="6" xfId="2" applyFont="1" applyFill="1" applyBorder="1" applyAlignment="1">
      <alignment horizontal="left"/>
    </xf>
    <xf numFmtId="0" fontId="7" fillId="0" borderId="46" xfId="2" applyFont="1" applyFill="1" applyBorder="1"/>
    <xf numFmtId="40" fontId="7" fillId="0" borderId="46" xfId="2" applyNumberFormat="1" applyFont="1" applyFill="1" applyBorder="1"/>
    <xf numFmtId="166" fontId="7" fillId="0" borderId="6" xfId="2" applyNumberFormat="1" applyFont="1" applyFill="1" applyBorder="1" applyAlignment="1">
      <alignment horizontal="center"/>
    </xf>
    <xf numFmtId="40" fontId="7" fillId="0" borderId="15" xfId="2" applyNumberFormat="1" applyFont="1" applyFill="1" applyBorder="1"/>
    <xf numFmtId="40" fontId="7" fillId="0" borderId="9" xfId="2" applyNumberFormat="1" applyFont="1" applyFill="1" applyBorder="1"/>
    <xf numFmtId="0" fontId="7" fillId="0" borderId="0" xfId="0" applyFont="1" applyFill="1" applyAlignment="1">
      <alignment horizontal="left" vertical="center"/>
    </xf>
    <xf numFmtId="1" fontId="7" fillId="0" borderId="4" xfId="2" applyNumberFormat="1" applyFont="1" applyFill="1" applyBorder="1" applyAlignment="1">
      <alignment horizontal="center" vertical="top"/>
    </xf>
    <xf numFmtId="0" fontId="7" fillId="0" borderId="46" xfId="1" applyFont="1" applyFill="1" applyBorder="1" applyAlignment="1">
      <alignment horizontal="center"/>
    </xf>
    <xf numFmtId="0" fontId="7" fillId="0" borderId="39" xfId="1" applyFont="1" applyFill="1" applyBorder="1" applyAlignment="1">
      <alignment horizontal="left"/>
    </xf>
    <xf numFmtId="0" fontId="7" fillId="0" borderId="0" xfId="1" applyFont="1" applyFill="1" applyAlignment="1">
      <alignment horizontal="center"/>
    </xf>
    <xf numFmtId="0" fontId="7" fillId="0" borderId="0" xfId="0" applyFont="1" applyFill="1" applyAlignment="1">
      <alignment horizontal="center"/>
    </xf>
    <xf numFmtId="0" fontId="7" fillId="0" borderId="15" xfId="1" applyFont="1" applyFill="1" applyBorder="1" applyAlignment="1">
      <alignment horizontal="center"/>
    </xf>
    <xf numFmtId="3" fontId="7" fillId="0" borderId="32" xfId="0" applyNumberFormat="1" applyFont="1" applyFill="1" applyBorder="1"/>
    <xf numFmtId="2" fontId="7" fillId="0" borderId="4" xfId="1" applyNumberFormat="1" applyFont="1" applyFill="1" applyBorder="1" applyAlignment="1">
      <alignment horizontal="right" wrapText="1"/>
    </xf>
    <xf numFmtId="1" fontId="7" fillId="0" borderId="35" xfId="0" applyNumberFormat="1" applyFont="1" applyFill="1" applyBorder="1" applyAlignment="1">
      <alignment horizontal="center"/>
    </xf>
    <xf numFmtId="0" fontId="30" fillId="0" borderId="39" xfId="0" applyFont="1" applyFill="1" applyBorder="1"/>
    <xf numFmtId="0" fontId="30" fillId="0" borderId="33" xfId="0" applyFont="1" applyFill="1" applyBorder="1"/>
    <xf numFmtId="2" fontId="7" fillId="0" borderId="32" xfId="1" applyNumberFormat="1" applyFont="1" applyFill="1" applyBorder="1" applyAlignment="1">
      <alignment wrapText="1"/>
    </xf>
    <xf numFmtId="2" fontId="7" fillId="0" borderId="32" xfId="1" applyNumberFormat="1" applyFont="1" applyFill="1" applyBorder="1" applyAlignment="1">
      <alignment horizontal="left" wrapText="1"/>
    </xf>
    <xf numFmtId="2" fontId="31" fillId="0" borderId="32" xfId="1" applyNumberFormat="1" applyFont="1" applyFill="1" applyBorder="1" applyAlignment="1">
      <alignment wrapText="1"/>
    </xf>
    <xf numFmtId="2" fontId="31" fillId="0" borderId="32" xfId="1" applyNumberFormat="1" applyFont="1" applyFill="1" applyBorder="1"/>
    <xf numFmtId="2" fontId="7" fillId="0" borderId="35" xfId="1" applyNumberFormat="1" applyFont="1" applyFill="1" applyBorder="1" applyAlignment="1">
      <alignment wrapText="1"/>
    </xf>
    <xf numFmtId="0" fontId="7" fillId="0" borderId="54" xfId="0" applyFont="1" applyFill="1" applyBorder="1" applyAlignment="1">
      <alignment horizontal="center"/>
    </xf>
    <xf numFmtId="0" fontId="7" fillId="0" borderId="54" xfId="1" applyFont="1" applyFill="1" applyBorder="1" applyAlignment="1">
      <alignment wrapText="1"/>
    </xf>
    <xf numFmtId="0" fontId="7" fillId="0" borderId="58" xfId="0" applyFont="1" applyFill="1" applyBorder="1"/>
    <xf numFmtId="2" fontId="7" fillId="0" borderId="54" xfId="1" applyNumberFormat="1" applyFont="1" applyFill="1" applyBorder="1" applyAlignment="1">
      <alignment wrapText="1"/>
    </xf>
    <xf numFmtId="2" fontId="31" fillId="0" borderId="54" xfId="0" applyNumberFormat="1" applyFont="1" applyFill="1" applyBorder="1"/>
    <xf numFmtId="0" fontId="37" fillId="0" borderId="40" xfId="0" applyFont="1" applyFill="1" applyBorder="1" applyAlignment="1">
      <alignment horizontal="center"/>
    </xf>
    <xf numFmtId="2" fontId="34" fillId="0" borderId="42" xfId="0" applyNumberFormat="1" applyFont="1" applyFill="1" applyBorder="1" applyAlignment="1">
      <alignment horizontal="right"/>
    </xf>
    <xf numFmtId="0" fontId="34" fillId="0" borderId="43" xfId="0" applyFont="1" applyFill="1" applyBorder="1" applyAlignment="1">
      <alignment horizontal="center"/>
    </xf>
    <xf numFmtId="0" fontId="7" fillId="0" borderId="6" xfId="0" applyFont="1" applyFill="1" applyBorder="1" applyAlignment="1">
      <alignment horizontal="left" vertical="center" wrapText="1"/>
    </xf>
    <xf numFmtId="2" fontId="7" fillId="0" borderId="42" xfId="0" applyNumberFormat="1" applyFont="1" applyFill="1" applyBorder="1" applyAlignment="1">
      <alignment horizontal="right"/>
    </xf>
    <xf numFmtId="0" fontId="7" fillId="0" borderId="4" xfId="0" applyFont="1" applyFill="1" applyBorder="1" applyAlignment="1">
      <alignment horizontal="center"/>
    </xf>
    <xf numFmtId="0" fontId="37" fillId="0" borderId="30" xfId="0" applyFont="1" applyFill="1" applyBorder="1" applyAlignment="1">
      <alignment horizontal="center"/>
    </xf>
    <xf numFmtId="2" fontId="7" fillId="0" borderId="31" xfId="0" applyNumberFormat="1" applyFont="1" applyFill="1" applyBorder="1"/>
    <xf numFmtId="2" fontId="34" fillId="0" borderId="42" xfId="0" applyNumberFormat="1" applyFont="1" applyFill="1" applyBorder="1"/>
    <xf numFmtId="0" fontId="34" fillId="0" borderId="45" xfId="0" applyFont="1" applyFill="1" applyBorder="1"/>
    <xf numFmtId="0" fontId="34" fillId="0" borderId="46" xfId="0" applyFont="1" applyFill="1" applyBorder="1"/>
    <xf numFmtId="0" fontId="23" fillId="0" borderId="1" xfId="0" applyFont="1" applyFill="1" applyBorder="1" applyAlignment="1">
      <alignment horizontal="center"/>
    </xf>
    <xf numFmtId="0" fontId="7" fillId="0" borderId="44" xfId="0" applyFont="1" applyFill="1" applyBorder="1" applyAlignment="1">
      <alignment horizontal="center"/>
    </xf>
    <xf numFmtId="0" fontId="38" fillId="0" borderId="0" xfId="0" applyFont="1" applyFill="1"/>
    <xf numFmtId="2" fontId="7" fillId="0" borderId="1" xfId="0" applyNumberFormat="1" applyFont="1" applyFill="1" applyBorder="1" applyAlignment="1">
      <alignment horizontal="right" vertical="center" wrapText="1"/>
    </xf>
    <xf numFmtId="2" fontId="7" fillId="0" borderId="1" xfId="0" applyNumberFormat="1" applyFont="1" applyFill="1" applyBorder="1" applyAlignment="1">
      <alignment horizontal="right"/>
    </xf>
    <xf numFmtId="2" fontId="7" fillId="0" borderId="4" xfId="1" quotePrefix="1" applyNumberFormat="1" applyFont="1" applyFill="1" applyBorder="1" applyAlignment="1">
      <alignment horizontal="right" wrapText="1"/>
    </xf>
    <xf numFmtId="0" fontId="7" fillId="0" borderId="45" xfId="1" applyFont="1" applyFill="1" applyBorder="1" applyAlignment="1">
      <alignment horizontal="left"/>
    </xf>
    <xf numFmtId="1" fontId="7" fillId="0" borderId="32" xfId="0" applyNumberFormat="1" applyFont="1" applyFill="1" applyBorder="1" applyAlignment="1">
      <alignment horizontal="center"/>
    </xf>
    <xf numFmtId="1" fontId="7" fillId="0" borderId="15" xfId="0" applyNumberFormat="1" applyFont="1" applyFill="1" applyBorder="1" applyAlignment="1">
      <alignment horizontal="center"/>
    </xf>
    <xf numFmtId="0" fontId="37" fillId="0" borderId="32" xfId="1" applyFont="1" applyFill="1" applyBorder="1" applyAlignment="1">
      <alignment horizontal="center"/>
    </xf>
    <xf numFmtId="2" fontId="34" fillId="0" borderId="32" xfId="1" applyNumberFormat="1" applyFont="1" applyFill="1" applyBorder="1"/>
    <xf numFmtId="0" fontId="34" fillId="0" borderId="32" xfId="1" applyFont="1" applyFill="1" applyBorder="1"/>
    <xf numFmtId="0" fontId="7" fillId="0" borderId="46" xfId="1" applyFont="1" applyFill="1" applyBorder="1"/>
    <xf numFmtId="0" fontId="34" fillId="0" borderId="35" xfId="1" applyFont="1" applyFill="1" applyBorder="1"/>
    <xf numFmtId="49" fontId="7" fillId="0" borderId="32" xfId="1" applyNumberFormat="1" applyFont="1" applyFill="1" applyBorder="1" applyAlignment="1">
      <alignment horizontal="center" wrapText="1"/>
    </xf>
    <xf numFmtId="49" fontId="7" fillId="0" borderId="4" xfId="1" applyNumberFormat="1" applyFont="1" applyFill="1" applyBorder="1" applyAlignment="1">
      <alignment horizontal="center" wrapText="1"/>
    </xf>
    <xf numFmtId="0" fontId="7" fillId="0" borderId="6" xfId="0" applyFont="1" applyFill="1" applyBorder="1" applyAlignment="1">
      <alignment horizontal="center"/>
    </xf>
    <xf numFmtId="2" fontId="7" fillId="0" borderId="13" xfId="0" applyNumberFormat="1" applyFont="1" applyFill="1" applyBorder="1" applyAlignment="1">
      <alignment horizontal="right"/>
    </xf>
    <xf numFmtId="2" fontId="7" fillId="0" borderId="36" xfId="0" applyNumberFormat="1" applyFont="1" applyFill="1" applyBorder="1"/>
    <xf numFmtId="2" fontId="31" fillId="0" borderId="4" xfId="0" applyNumberFormat="1" applyFont="1" applyFill="1" applyBorder="1" applyAlignment="1">
      <alignment horizontal="right"/>
    </xf>
    <xf numFmtId="2" fontId="7" fillId="0" borderId="45" xfId="0" applyNumberFormat="1" applyFont="1" applyFill="1" applyBorder="1"/>
    <xf numFmtId="0" fontId="7" fillId="0" borderId="10" xfId="0" applyFont="1" applyFill="1" applyBorder="1" applyAlignment="1">
      <alignment horizontal="left"/>
    </xf>
    <xf numFmtId="0" fontId="7" fillId="0" borderId="3" xfId="0" applyFont="1" applyFill="1" applyBorder="1" applyAlignment="1">
      <alignment horizontal="left"/>
    </xf>
    <xf numFmtId="49" fontId="7" fillId="0" borderId="4" xfId="0" applyNumberFormat="1" applyFont="1" applyFill="1" applyBorder="1" applyAlignment="1">
      <alignment horizontal="center"/>
    </xf>
    <xf numFmtId="0" fontId="7" fillId="0" borderId="8" xfId="1" applyFont="1" applyFill="1" applyBorder="1" applyAlignment="1">
      <alignment horizontal="left" vertical="top"/>
    </xf>
    <xf numFmtId="0" fontId="7" fillId="0" borderId="9" xfId="1" applyFont="1" applyFill="1" applyBorder="1" applyAlignment="1">
      <alignment horizontal="left" vertical="top"/>
    </xf>
    <xf numFmtId="0" fontId="7" fillId="0" borderId="0" xfId="1" applyFont="1" applyFill="1" applyAlignment="1">
      <alignment horizontal="left" vertical="top"/>
    </xf>
    <xf numFmtId="0" fontId="7" fillId="0" borderId="10" xfId="1" applyFont="1" applyFill="1" applyBorder="1" applyAlignment="1">
      <alignment horizontal="left" vertical="top"/>
    </xf>
    <xf numFmtId="1" fontId="23" fillId="0" borderId="2" xfId="0" applyNumberFormat="1" applyFont="1" applyFill="1" applyBorder="1" applyAlignment="1">
      <alignment horizontal="center"/>
    </xf>
    <xf numFmtId="49" fontId="7" fillId="0" borderId="2" xfId="0" applyNumberFormat="1" applyFont="1" applyFill="1" applyBorder="1" applyAlignment="1">
      <alignment horizontal="center"/>
    </xf>
    <xf numFmtId="2" fontId="31" fillId="0" borderId="32" xfId="0" applyNumberFormat="1" applyFont="1" applyFill="1" applyBorder="1"/>
    <xf numFmtId="0" fontId="23" fillId="0" borderId="45" xfId="0" applyFont="1" applyFill="1" applyBorder="1" applyAlignment="1">
      <alignment horizontal="right"/>
    </xf>
    <xf numFmtId="0" fontId="23" fillId="0" borderId="0" xfId="0" applyFont="1" applyFill="1" applyAlignment="1">
      <alignment horizontal="right"/>
    </xf>
    <xf numFmtId="0" fontId="23" fillId="0" borderId="6" xfId="0" applyFont="1" applyFill="1" applyBorder="1" applyAlignment="1">
      <alignment horizontal="right"/>
    </xf>
    <xf numFmtId="0" fontId="7" fillId="0" borderId="32" xfId="0" applyFont="1" applyFill="1" applyBorder="1" applyAlignment="1">
      <alignment horizontal="center" vertical="center"/>
    </xf>
    <xf numFmtId="2" fontId="23" fillId="0" borderId="2" xfId="0" applyNumberFormat="1" applyFont="1" applyFill="1" applyBorder="1"/>
    <xf numFmtId="0" fontId="7" fillId="0" borderId="0" xfId="4" applyFont="1" applyFill="1"/>
    <xf numFmtId="0" fontId="23" fillId="0" borderId="18" xfId="4" applyFont="1" applyFill="1" applyBorder="1" applyAlignment="1">
      <alignment horizontal="center"/>
    </xf>
    <xf numFmtId="0" fontId="23" fillId="0" borderId="20" xfId="4" applyFont="1" applyFill="1" applyBorder="1" applyAlignment="1">
      <alignment horizontal="center"/>
    </xf>
    <xf numFmtId="0" fontId="23" fillId="0" borderId="48" xfId="4" applyFont="1" applyFill="1" applyBorder="1" applyAlignment="1">
      <alignment horizontal="center"/>
    </xf>
    <xf numFmtId="2" fontId="7" fillId="0" borderId="19" xfId="4" applyNumberFormat="1" applyFont="1" applyFill="1" applyBorder="1" applyAlignment="1">
      <alignment horizontal="right"/>
    </xf>
    <xf numFmtId="2" fontId="7" fillId="0" borderId="17" xfId="4" applyNumberFormat="1" applyFont="1" applyFill="1" applyBorder="1" applyAlignment="1">
      <alignment horizontal="right"/>
    </xf>
    <xf numFmtId="2" fontId="7" fillId="0" borderId="49" xfId="4" applyNumberFormat="1" applyFont="1" applyFill="1" applyBorder="1" applyAlignment="1">
      <alignment horizontal="right"/>
    </xf>
    <xf numFmtId="2" fontId="7" fillId="0" borderId="51" xfId="4" applyNumberFormat="1" applyFont="1" applyFill="1" applyBorder="1" applyAlignment="1">
      <alignment horizontal="right"/>
    </xf>
    <xf numFmtId="2" fontId="7" fillId="0" borderId="19" xfId="4" applyNumberFormat="1" applyFont="1" applyFill="1" applyBorder="1"/>
    <xf numFmtId="2" fontId="7" fillId="0" borderId="21" xfId="4" applyNumberFormat="1" applyFont="1" applyFill="1" applyBorder="1" applyAlignment="1">
      <alignment horizontal="center"/>
    </xf>
    <xf numFmtId="2" fontId="7" fillId="0" borderId="32" xfId="4" applyNumberFormat="1" applyFont="1" applyFill="1" applyBorder="1" applyAlignment="1">
      <alignment horizontal="center"/>
    </xf>
    <xf numFmtId="2" fontId="7" fillId="0" borderId="22" xfId="4" applyNumberFormat="1" applyFont="1" applyFill="1" applyBorder="1"/>
    <xf numFmtId="2" fontId="7" fillId="0" borderId="21" xfId="4" applyNumberFormat="1" applyFont="1" applyFill="1" applyBorder="1"/>
    <xf numFmtId="2" fontId="7" fillId="0" borderId="50" xfId="4" applyNumberFormat="1" applyFont="1" applyFill="1" applyBorder="1"/>
    <xf numFmtId="0" fontId="7" fillId="0" borderId="28" xfId="4" applyFont="1" applyFill="1" applyBorder="1" applyAlignment="1">
      <alignment horizontal="center"/>
    </xf>
    <xf numFmtId="0" fontId="7" fillId="0" borderId="0" xfId="4" applyFont="1" applyFill="1" applyAlignment="1">
      <alignment horizontal="center"/>
    </xf>
    <xf numFmtId="0" fontId="7" fillId="0" borderId="47" xfId="4" applyFont="1" applyFill="1" applyBorder="1" applyAlignment="1">
      <alignment horizontal="center"/>
    </xf>
    <xf numFmtId="0" fontId="7" fillId="0" borderId="45" xfId="4" applyFont="1" applyFill="1" applyBorder="1"/>
    <xf numFmtId="0" fontId="7" fillId="0" borderId="45" xfId="4" applyFont="1" applyFill="1" applyBorder="1" applyAlignment="1">
      <alignment horizontal="center"/>
    </xf>
    <xf numFmtId="0" fontId="7" fillId="0" borderId="6" xfId="4" applyFont="1" applyFill="1" applyBorder="1"/>
    <xf numFmtId="2" fontId="7" fillId="0" borderId="19" xfId="4" applyNumberFormat="1" applyFont="1" applyFill="1" applyBorder="1" applyAlignment="1">
      <alignment horizontal="center"/>
    </xf>
    <xf numFmtId="2" fontId="7" fillId="0" borderId="28" xfId="4" applyNumberFormat="1" applyFont="1" applyFill="1" applyBorder="1" applyAlignment="1">
      <alignment horizontal="right"/>
    </xf>
    <xf numFmtId="0" fontId="23" fillId="0" borderId="19" xfId="4" applyFont="1" applyFill="1" applyBorder="1" applyAlignment="1">
      <alignment horizontal="center"/>
    </xf>
    <xf numFmtId="0" fontId="23" fillId="0" borderId="17" xfId="4" applyFont="1" applyFill="1" applyBorder="1" applyAlignment="1">
      <alignment horizontal="center"/>
    </xf>
    <xf numFmtId="0" fontId="7" fillId="0" borderId="17" xfId="0" applyFont="1" applyFill="1" applyBorder="1"/>
    <xf numFmtId="0" fontId="7" fillId="0" borderId="49" xfId="0" applyFont="1" applyFill="1" applyBorder="1"/>
    <xf numFmtId="2" fontId="7" fillId="0" borderId="19" xfId="4" quotePrefix="1" applyNumberFormat="1" applyFont="1" applyFill="1" applyBorder="1"/>
    <xf numFmtId="0" fontId="7" fillId="0" borderId="49" xfId="0" quotePrefix="1" applyFont="1" applyFill="1" applyBorder="1"/>
    <xf numFmtId="0" fontId="7" fillId="0" borderId="27" xfId="0" applyFont="1" applyFill="1" applyBorder="1" applyAlignment="1">
      <alignment horizontal="center"/>
    </xf>
    <xf numFmtId="0" fontId="7" fillId="0" borderId="51" xfId="0" applyFont="1" applyFill="1" applyBorder="1" applyAlignment="1">
      <alignment horizontal="center"/>
    </xf>
    <xf numFmtId="2" fontId="7" fillId="0" borderId="19" xfId="4" applyNumberFormat="1" applyFont="1" applyFill="1" applyBorder="1" applyAlignment="1">
      <alignment wrapText="1"/>
    </xf>
    <xf numFmtId="2" fontId="7" fillId="0" borderId="17" xfId="0" applyNumberFormat="1" applyFont="1" applyFill="1" applyBorder="1"/>
    <xf numFmtId="2" fontId="7" fillId="0" borderId="49" xfId="0" applyNumberFormat="1" applyFont="1" applyFill="1" applyBorder="1"/>
    <xf numFmtId="0" fontId="23" fillId="0" borderId="4" xfId="4" applyFont="1" applyFill="1" applyBorder="1" applyAlignment="1">
      <alignment horizontal="center"/>
    </xf>
    <xf numFmtId="2" fontId="7" fillId="0" borderId="20" xfId="4" applyNumberFormat="1" applyFont="1" applyFill="1" applyBorder="1"/>
    <xf numFmtId="2" fontId="7" fillId="0" borderId="4" xfId="4" applyNumberFormat="1" applyFont="1" applyFill="1" applyBorder="1"/>
    <xf numFmtId="0" fontId="7" fillId="0" borderId="29" xfId="4" applyFont="1" applyFill="1" applyBorder="1" applyAlignment="1">
      <alignment horizontal="center"/>
    </xf>
    <xf numFmtId="0" fontId="7" fillId="0" borderId="35" xfId="4" applyFont="1" applyFill="1" applyBorder="1" applyAlignment="1">
      <alignment horizontal="center"/>
    </xf>
    <xf numFmtId="0" fontId="7" fillId="0" borderId="15" xfId="4" applyFont="1" applyFill="1" applyBorder="1" applyAlignment="1">
      <alignment horizontal="center"/>
    </xf>
    <xf numFmtId="0" fontId="23" fillId="0" borderId="29" xfId="4" applyFont="1" applyFill="1" applyBorder="1" applyAlignment="1">
      <alignment horizontal="center"/>
    </xf>
    <xf numFmtId="0" fontId="7" fillId="0" borderId="19" xfId="4" applyFont="1" applyFill="1" applyBorder="1" applyAlignment="1">
      <alignment horizontal="right"/>
    </xf>
    <xf numFmtId="0" fontId="7" fillId="0" borderId="20" xfId="4" applyFont="1" applyFill="1" applyBorder="1"/>
    <xf numFmtId="0" fontId="28" fillId="0" borderId="35" xfId="0" applyFont="1" applyFill="1" applyBorder="1" applyAlignment="1">
      <alignment horizontal="center"/>
    </xf>
    <xf numFmtId="0" fontId="7" fillId="0" borderId="36" xfId="0" applyFont="1" applyFill="1" applyBorder="1" applyAlignment="1">
      <alignment wrapText="1"/>
    </xf>
  </cellXfs>
  <cellStyles count="13">
    <cellStyle name="Comma [0]" xfId="8" builtinId="6"/>
    <cellStyle name="Comma [0] 2" xfId="9" xr:uid="{15BE6873-DCEF-47FA-9EBF-7847D7F2AC03}"/>
    <cellStyle name="Comma 2" xfId="12" xr:uid="{0C3C0C53-7293-4412-BDD8-11646007D12F}"/>
    <cellStyle name="Normal" xfId="0" builtinId="0"/>
    <cellStyle name="Normal 2" xfId="1" xr:uid="{00000000-0005-0000-0000-000001000000}"/>
    <cellStyle name="Normal 3" xfId="4" xr:uid="{00000000-0005-0000-0000-000002000000}"/>
    <cellStyle name="Normal 3 2" xfId="10" xr:uid="{737AFF2C-E8F3-4F05-B0D3-ADE26FDD4D83}"/>
    <cellStyle name="Normal 4" xfId="5" xr:uid="{64DFD5AE-932A-43CB-89FD-77DBA7A77495}"/>
    <cellStyle name="Normal 5" xfId="6" xr:uid="{0B908675-5FC1-47F7-A420-9E22167CE1EC}"/>
    <cellStyle name="Normal 6" xfId="11" xr:uid="{5AA73CA7-2ECD-4034-B510-F977C67CC9A6}"/>
    <cellStyle name="표준 3" xfId="7" xr:uid="{62E14E76-F9FB-4938-A6D0-9109D4D5C877}"/>
    <cellStyle name="標準 2" xfId="2" xr:uid="{00000000-0005-0000-0000-000003000000}"/>
    <cellStyle name="標準_COMP FORMS Japan"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RS2383"/>
  <sheetViews>
    <sheetView tabSelected="1" zoomScaleNormal="100" workbookViewId="0">
      <pane xSplit="2" ySplit="2" topLeftCell="C3" activePane="bottomRight" state="frozen"/>
      <selection pane="topRight" activeCell="C1" sqref="C1"/>
      <selection pane="bottomLeft" activeCell="A3" sqref="A3"/>
      <selection pane="bottomRight"/>
    </sheetView>
  </sheetViews>
  <sheetFormatPr defaultColWidth="9.1796875" defaultRowHeight="12.5" x14ac:dyDescent="0.25"/>
  <cols>
    <col min="1" max="1" width="19.81640625" style="6" customWidth="1"/>
    <col min="2" max="4" width="28.54296875" style="6" customWidth="1"/>
    <col min="5" max="5" width="30.54296875" style="6" customWidth="1"/>
    <col min="6" max="9" width="28.54296875" style="68" customWidth="1"/>
    <col min="10" max="10" width="27.453125" style="68" bestFit="1" customWidth="1"/>
    <col min="11" max="11" width="20.54296875" style="68" customWidth="1"/>
    <col min="12" max="12" width="19.1796875" style="68" bestFit="1" customWidth="1"/>
    <col min="13" max="14" width="17.54296875" style="68" bestFit="1" customWidth="1"/>
    <col min="15" max="15" width="16.1796875" style="68" customWidth="1"/>
    <col min="16" max="16" width="10.453125" style="6" customWidth="1"/>
    <col min="17" max="16384" width="9.1796875" style="6"/>
  </cols>
  <sheetData>
    <row r="1" spans="1:26" ht="13" x14ac:dyDescent="0.3">
      <c r="A1" s="4" t="s">
        <v>1369</v>
      </c>
      <c r="B1" s="5"/>
      <c r="C1" s="5"/>
      <c r="D1" s="5"/>
      <c r="E1" s="5"/>
      <c r="F1" s="653"/>
      <c r="G1" s="654"/>
    </row>
    <row r="2" spans="1:26" ht="13" x14ac:dyDescent="0.3">
      <c r="A2" s="4"/>
      <c r="B2" s="5"/>
      <c r="C2" s="5"/>
      <c r="D2" s="5"/>
      <c r="E2" s="5"/>
      <c r="F2" s="653"/>
      <c r="G2" s="654"/>
    </row>
    <row r="3" spans="1:26" ht="12.75" customHeight="1" x14ac:dyDescent="0.3">
      <c r="A3" s="6" t="s">
        <v>931</v>
      </c>
      <c r="B3" s="7"/>
      <c r="C3" s="7"/>
      <c r="D3" s="7"/>
      <c r="E3" s="7"/>
      <c r="F3" s="378"/>
      <c r="G3" s="378"/>
      <c r="H3" s="378"/>
      <c r="I3" s="378"/>
      <c r="J3" s="378"/>
      <c r="K3" s="378"/>
      <c r="L3" s="378"/>
      <c r="M3" s="378"/>
      <c r="N3" s="378"/>
      <c r="O3" s="378"/>
      <c r="P3" s="7"/>
      <c r="Q3" s="7"/>
      <c r="R3" s="7"/>
      <c r="S3" s="7"/>
      <c r="T3" s="7"/>
      <c r="U3" s="7"/>
      <c r="V3" s="7"/>
      <c r="W3" s="7"/>
      <c r="X3" s="7"/>
      <c r="Y3" s="7"/>
      <c r="Z3" s="7"/>
    </row>
    <row r="4" spans="1:26" ht="12.75" customHeight="1" x14ac:dyDescent="0.25">
      <c r="B4" s="7"/>
      <c r="C4" s="7"/>
      <c r="D4" s="7"/>
      <c r="E4" s="7"/>
      <c r="F4" s="378"/>
      <c r="G4" s="378"/>
      <c r="H4" s="378"/>
      <c r="I4" s="378"/>
      <c r="J4" s="378"/>
      <c r="K4" s="378"/>
      <c r="L4" s="378"/>
      <c r="M4" s="378"/>
      <c r="N4" s="378"/>
      <c r="O4" s="378"/>
      <c r="P4" s="7"/>
      <c r="Q4" s="7"/>
      <c r="R4" s="7"/>
      <c r="S4" s="7"/>
      <c r="T4" s="7"/>
      <c r="U4" s="7"/>
      <c r="V4" s="7"/>
      <c r="W4" s="7"/>
      <c r="X4" s="7"/>
      <c r="Y4" s="7"/>
      <c r="Z4" s="7"/>
    </row>
    <row r="5" spans="1:26" ht="12.75" customHeight="1" x14ac:dyDescent="0.25">
      <c r="A5" s="8" t="s">
        <v>12</v>
      </c>
      <c r="B5" s="9" t="s">
        <v>1214</v>
      </c>
      <c r="C5" s="7"/>
      <c r="D5" s="7"/>
      <c r="E5" s="7"/>
      <c r="F5" s="378"/>
      <c r="G5" s="378"/>
      <c r="H5" s="378"/>
      <c r="I5" s="378"/>
      <c r="J5" s="378"/>
      <c r="K5" s="378"/>
      <c r="L5" s="378"/>
      <c r="M5" s="378"/>
      <c r="N5" s="378"/>
      <c r="O5" s="378"/>
      <c r="P5" s="7"/>
      <c r="Q5" s="7"/>
      <c r="R5" s="7"/>
      <c r="S5" s="7"/>
      <c r="T5" s="7"/>
      <c r="U5" s="7"/>
      <c r="V5" s="7"/>
      <c r="W5" s="7"/>
      <c r="X5" s="7"/>
      <c r="Y5" s="7"/>
      <c r="Z5" s="7"/>
    </row>
    <row r="6" spans="1:26" ht="12.75" customHeight="1" x14ac:dyDescent="0.25">
      <c r="A6" s="10" t="s">
        <v>14</v>
      </c>
      <c r="B6" s="11" t="s">
        <v>641</v>
      </c>
      <c r="C6" s="12" t="s">
        <v>152</v>
      </c>
      <c r="D6" s="13"/>
      <c r="E6" s="13"/>
      <c r="F6" s="657"/>
      <c r="G6" s="378"/>
      <c r="H6" s="378"/>
      <c r="I6" s="378"/>
      <c r="J6" s="378"/>
      <c r="K6" s="378"/>
      <c r="L6" s="378"/>
      <c r="M6" s="378"/>
      <c r="N6" s="378"/>
      <c r="O6" s="378"/>
      <c r="P6" s="7"/>
      <c r="Q6" s="7"/>
      <c r="R6" s="7"/>
      <c r="S6" s="7"/>
      <c r="T6" s="7"/>
      <c r="U6" s="7"/>
      <c r="V6" s="7"/>
      <c r="W6" s="7"/>
      <c r="X6" s="7"/>
      <c r="Y6" s="7"/>
      <c r="Z6" s="7"/>
    </row>
    <row r="7" spans="1:26" ht="12.75" customHeight="1" x14ac:dyDescent="0.25">
      <c r="A7" s="14" t="s">
        <v>16</v>
      </c>
      <c r="B7" s="15">
        <v>2016</v>
      </c>
      <c r="C7" s="15">
        <v>2017</v>
      </c>
      <c r="D7" s="15">
        <v>2018</v>
      </c>
      <c r="E7" s="15">
        <v>2019</v>
      </c>
      <c r="F7" s="495">
        <v>2020</v>
      </c>
      <c r="G7" s="495">
        <v>2021</v>
      </c>
      <c r="H7" s="495">
        <v>2022</v>
      </c>
      <c r="I7" s="495">
        <v>2023</v>
      </c>
      <c r="J7" s="495">
        <v>2024</v>
      </c>
      <c r="K7" s="495">
        <v>2025</v>
      </c>
      <c r="L7" s="495">
        <v>2026</v>
      </c>
      <c r="M7" s="378"/>
      <c r="N7" s="378"/>
      <c r="O7" s="378"/>
      <c r="P7" s="7"/>
      <c r="Q7" s="7"/>
      <c r="R7" s="7"/>
      <c r="S7" s="7"/>
      <c r="T7" s="7"/>
      <c r="U7" s="7"/>
      <c r="V7" s="7"/>
      <c r="W7" s="7"/>
      <c r="X7" s="7"/>
    </row>
    <row r="8" spans="1:26" ht="12.75" customHeight="1" x14ac:dyDescent="0.25">
      <c r="A8" s="14" t="s">
        <v>17</v>
      </c>
      <c r="B8" s="16">
        <v>100</v>
      </c>
      <c r="C8" s="16">
        <v>100</v>
      </c>
      <c r="D8" s="16">
        <v>100</v>
      </c>
      <c r="E8" s="17">
        <v>100</v>
      </c>
      <c r="F8" s="504">
        <v>100</v>
      </c>
      <c r="G8" s="504">
        <v>100</v>
      </c>
      <c r="H8" s="504">
        <v>100</v>
      </c>
      <c r="I8" s="504">
        <v>100</v>
      </c>
      <c r="J8" s="504">
        <v>100</v>
      </c>
      <c r="K8" s="504">
        <v>100</v>
      </c>
      <c r="L8" s="504">
        <v>100</v>
      </c>
      <c r="M8" s="378"/>
      <c r="N8" s="378"/>
      <c r="O8" s="378"/>
      <c r="P8" s="7"/>
      <c r="Q8" s="7"/>
      <c r="R8" s="7"/>
      <c r="S8" s="7"/>
      <c r="T8" s="7"/>
      <c r="U8" s="7"/>
      <c r="V8" s="7"/>
      <c r="W8" s="7"/>
      <c r="X8" s="7"/>
    </row>
    <row r="9" spans="1:26" ht="12.75" customHeight="1" x14ac:dyDescent="0.25">
      <c r="A9" s="14" t="s">
        <v>18</v>
      </c>
      <c r="B9" s="16"/>
      <c r="C9" s="16"/>
      <c r="D9" s="16"/>
      <c r="E9" s="17"/>
      <c r="F9" s="504"/>
      <c r="G9" s="504"/>
      <c r="H9" s="504"/>
      <c r="I9" s="504"/>
      <c r="J9" s="504">
        <f>J8+H12</f>
        <v>65.319999999999993</v>
      </c>
      <c r="K9" s="658"/>
      <c r="L9" s="658"/>
      <c r="M9" s="378"/>
      <c r="N9" s="378"/>
      <c r="O9" s="378"/>
      <c r="P9" s="7"/>
      <c r="Q9" s="7"/>
      <c r="R9" s="7"/>
      <c r="S9" s="7"/>
      <c r="T9" s="7"/>
      <c r="U9" s="7"/>
      <c r="V9" s="7"/>
      <c r="W9" s="7"/>
      <c r="X9" s="7"/>
    </row>
    <row r="10" spans="1:26" ht="12.75" customHeight="1" x14ac:dyDescent="0.25">
      <c r="A10" s="14" t="s">
        <v>19</v>
      </c>
      <c r="B10" s="19"/>
      <c r="C10" s="19"/>
      <c r="D10" s="19"/>
      <c r="E10" s="17"/>
      <c r="F10" s="504"/>
      <c r="G10" s="504"/>
      <c r="H10" s="504"/>
      <c r="I10" s="504"/>
      <c r="J10" s="504"/>
      <c r="K10" s="504"/>
      <c r="L10" s="504"/>
      <c r="M10" s="378"/>
      <c r="N10" s="378"/>
      <c r="O10" s="378"/>
      <c r="P10" s="7"/>
      <c r="Q10" s="7"/>
      <c r="R10" s="7"/>
      <c r="S10" s="7"/>
      <c r="T10" s="7"/>
      <c r="U10" s="7"/>
      <c r="V10" s="7"/>
      <c r="W10" s="7"/>
      <c r="X10" s="7"/>
    </row>
    <row r="11" spans="1:26" ht="12.65" customHeight="1" x14ac:dyDescent="0.25">
      <c r="A11" s="14" t="s">
        <v>20</v>
      </c>
      <c r="B11" s="16">
        <v>0</v>
      </c>
      <c r="C11" s="16">
        <v>13.5</v>
      </c>
      <c r="D11" s="16">
        <v>0</v>
      </c>
      <c r="E11" s="18">
        <v>0</v>
      </c>
      <c r="F11" s="658">
        <v>0</v>
      </c>
      <c r="G11" s="658">
        <v>45.082000000000001</v>
      </c>
      <c r="H11" s="658">
        <v>134.68</v>
      </c>
      <c r="I11" s="658">
        <v>22.178999999999998</v>
      </c>
      <c r="J11" s="658">
        <v>32.44</v>
      </c>
      <c r="K11" s="658"/>
      <c r="L11" s="658"/>
      <c r="M11" s="378"/>
      <c r="N11" s="378"/>
      <c r="O11" s="378"/>
      <c r="P11" s="7"/>
      <c r="Q11" s="7"/>
      <c r="R11" s="7"/>
      <c r="S11" s="7"/>
      <c r="T11" s="7"/>
      <c r="U11" s="7"/>
      <c r="V11" s="7"/>
      <c r="W11" s="7"/>
      <c r="X11" s="7"/>
    </row>
    <row r="12" spans="1:26" ht="12.75" customHeight="1" x14ac:dyDescent="0.25">
      <c r="A12" s="14" t="s">
        <v>21</v>
      </c>
      <c r="B12" s="16"/>
      <c r="C12" s="16">
        <v>86.5</v>
      </c>
      <c r="D12" s="16">
        <v>100</v>
      </c>
      <c r="E12" s="17">
        <v>100</v>
      </c>
      <c r="F12" s="504">
        <v>100</v>
      </c>
      <c r="G12" s="504">
        <v>54.917999999999999</v>
      </c>
      <c r="H12" s="504">
        <v>-34.680000000000007</v>
      </c>
      <c r="I12" s="658">
        <f>I8-I11</f>
        <v>77.820999999999998</v>
      </c>
      <c r="J12" s="658">
        <f>J9-J11</f>
        <v>32.879999999999995</v>
      </c>
      <c r="K12" s="658">
        <f>K9-K11</f>
        <v>0</v>
      </c>
      <c r="L12" s="658"/>
      <c r="M12" s="378"/>
      <c r="N12" s="378"/>
      <c r="O12" s="378"/>
      <c r="P12" s="7"/>
      <c r="Q12" s="7"/>
      <c r="R12" s="7"/>
      <c r="S12" s="7"/>
      <c r="T12" s="7"/>
      <c r="U12" s="7"/>
      <c r="V12" s="7"/>
      <c r="W12" s="7"/>
      <c r="X12" s="7"/>
    </row>
    <row r="13" spans="1:26" ht="12.75" customHeight="1" x14ac:dyDescent="0.25">
      <c r="A13" s="20" t="s">
        <v>22</v>
      </c>
      <c r="B13" s="21"/>
      <c r="C13" s="21"/>
      <c r="D13" s="21"/>
      <c r="E13" s="22"/>
      <c r="F13" s="661"/>
      <c r="G13" s="661"/>
      <c r="H13" s="661">
        <v>2024</v>
      </c>
      <c r="I13" s="661">
        <v>2025</v>
      </c>
      <c r="J13" s="661">
        <v>2026</v>
      </c>
      <c r="K13" s="661">
        <v>2027</v>
      </c>
      <c r="L13" s="661">
        <v>2028</v>
      </c>
      <c r="M13" s="378"/>
      <c r="N13" s="378"/>
      <c r="O13" s="378"/>
      <c r="P13" s="7"/>
      <c r="Q13" s="7"/>
      <c r="R13" s="7"/>
      <c r="S13" s="7"/>
      <c r="T13" s="7"/>
      <c r="U13" s="7"/>
      <c r="V13" s="7"/>
      <c r="W13" s="7"/>
      <c r="X13" s="7"/>
    </row>
    <row r="14" spans="1:26" ht="12.75" customHeight="1" x14ac:dyDescent="0.25">
      <c r="A14" s="23" t="s">
        <v>23</v>
      </c>
      <c r="B14" s="24"/>
      <c r="C14" s="25"/>
      <c r="D14" s="25"/>
      <c r="E14" s="24"/>
      <c r="F14" s="662"/>
      <c r="G14" s="663"/>
      <c r="H14" s="663"/>
      <c r="I14" s="663"/>
      <c r="J14" s="664"/>
      <c r="K14" s="664"/>
      <c r="L14" s="664"/>
      <c r="M14" s="378"/>
      <c r="N14" s="378"/>
      <c r="O14" s="378"/>
      <c r="P14" s="7"/>
      <c r="Q14" s="7"/>
      <c r="R14" s="7"/>
      <c r="S14" s="7"/>
      <c r="T14" s="7"/>
      <c r="U14" s="7"/>
      <c r="V14" s="7"/>
      <c r="W14" s="7"/>
      <c r="X14" s="7"/>
      <c r="Y14" s="7"/>
      <c r="Z14" s="7"/>
    </row>
    <row r="15" spans="1:26" s="26" customFormat="1" ht="13" x14ac:dyDescent="0.3">
      <c r="F15" s="665"/>
      <c r="G15" s="665"/>
      <c r="H15" s="665"/>
      <c r="I15" s="665"/>
      <c r="J15" s="665"/>
      <c r="K15" s="665"/>
      <c r="L15" s="665"/>
      <c r="M15" s="665"/>
      <c r="N15" s="665"/>
      <c r="O15" s="665"/>
    </row>
    <row r="16" spans="1:26" ht="13" x14ac:dyDescent="0.3">
      <c r="A16" s="8" t="s">
        <v>12</v>
      </c>
      <c r="B16" s="9" t="s">
        <v>756</v>
      </c>
      <c r="C16" s="13"/>
      <c r="F16" s="653"/>
      <c r="G16" s="654"/>
    </row>
    <row r="17" spans="1:15" ht="13" x14ac:dyDescent="0.3">
      <c r="A17" s="8" t="s">
        <v>14</v>
      </c>
      <c r="B17" s="9" t="s">
        <v>642</v>
      </c>
      <c r="C17" s="27" t="s">
        <v>15</v>
      </c>
      <c r="F17" s="653"/>
      <c r="G17" s="654"/>
    </row>
    <row r="18" spans="1:15" x14ac:dyDescent="0.25">
      <c r="A18" s="28" t="s">
        <v>16</v>
      </c>
      <c r="B18" s="29"/>
      <c r="C18" s="29">
        <v>2021</v>
      </c>
      <c r="D18" s="29">
        <v>2022</v>
      </c>
      <c r="E18" s="29">
        <v>2023</v>
      </c>
      <c r="F18" s="46">
        <v>2024</v>
      </c>
      <c r="G18" s="46">
        <v>2025</v>
      </c>
      <c r="H18" s="46">
        <v>2026</v>
      </c>
    </row>
    <row r="19" spans="1:15" x14ac:dyDescent="0.25">
      <c r="A19" s="28" t="s">
        <v>17</v>
      </c>
      <c r="B19" s="30"/>
      <c r="C19" s="30">
        <v>170</v>
      </c>
      <c r="D19" s="30">
        <v>170</v>
      </c>
      <c r="E19" s="30">
        <v>264</v>
      </c>
      <c r="F19" s="47">
        <v>264</v>
      </c>
      <c r="G19" s="47">
        <v>264</v>
      </c>
      <c r="H19" s="47">
        <v>457.37</v>
      </c>
    </row>
    <row r="20" spans="1:15" x14ac:dyDescent="0.25">
      <c r="A20" s="28" t="s">
        <v>18</v>
      </c>
      <c r="B20" s="30"/>
      <c r="C20" s="30"/>
      <c r="D20" s="30">
        <f>D19+0.05*C19</f>
        <v>178.5</v>
      </c>
      <c r="E20" s="30"/>
      <c r="F20" s="47"/>
      <c r="G20" s="47"/>
      <c r="H20" s="47"/>
    </row>
    <row r="21" spans="1:15" x14ac:dyDescent="0.25">
      <c r="A21" s="28" t="s">
        <v>19</v>
      </c>
      <c r="B21" s="31"/>
      <c r="C21" s="32"/>
      <c r="D21" s="32" t="s">
        <v>757</v>
      </c>
      <c r="E21" s="32"/>
      <c r="F21" s="48"/>
      <c r="G21" s="48"/>
      <c r="H21" s="48"/>
    </row>
    <row r="22" spans="1:15" x14ac:dyDescent="0.25">
      <c r="A22" s="28" t="s">
        <v>20</v>
      </c>
      <c r="B22" s="30"/>
      <c r="C22" s="30">
        <v>148.4</v>
      </c>
      <c r="D22" s="30">
        <v>177.5</v>
      </c>
      <c r="E22" s="30">
        <v>263.86921999999998</v>
      </c>
      <c r="F22" s="668">
        <v>262.95</v>
      </c>
      <c r="G22" s="47">
        <v>262.06</v>
      </c>
      <c r="H22" s="668"/>
    </row>
    <row r="23" spans="1:15" x14ac:dyDescent="0.25">
      <c r="A23" s="28" t="s">
        <v>21</v>
      </c>
      <c r="B23" s="30"/>
      <c r="C23" s="30">
        <f>C19-C22</f>
        <v>21.599999999999994</v>
      </c>
      <c r="D23" s="30">
        <f>D20-D22</f>
        <v>1</v>
      </c>
      <c r="E23" s="30">
        <f>E19-E22</f>
        <v>0.13078000000001566</v>
      </c>
      <c r="F23" s="668">
        <f>F19-F22</f>
        <v>1.0500000000000114</v>
      </c>
      <c r="G23" s="47">
        <f>G19-G22</f>
        <v>1.9399999999999977</v>
      </c>
      <c r="H23" s="668"/>
    </row>
    <row r="24" spans="1:15" x14ac:dyDescent="0.25">
      <c r="A24" s="34" t="s">
        <v>22</v>
      </c>
      <c r="B24" s="35"/>
      <c r="C24" s="35">
        <v>2022</v>
      </c>
      <c r="D24" s="35">
        <v>2023</v>
      </c>
      <c r="E24" s="35">
        <v>2024</v>
      </c>
      <c r="F24" s="49">
        <v>2025</v>
      </c>
      <c r="G24" s="49">
        <v>2026</v>
      </c>
      <c r="H24" s="49">
        <v>2027</v>
      </c>
    </row>
    <row r="25" spans="1:15" ht="13" x14ac:dyDescent="0.3">
      <c r="A25" s="36" t="s">
        <v>23</v>
      </c>
      <c r="B25" s="37"/>
      <c r="C25" s="37"/>
      <c r="D25" s="37"/>
      <c r="E25" s="37"/>
      <c r="F25" s="670"/>
      <c r="G25" s="671"/>
      <c r="H25" s="672"/>
    </row>
    <row r="26" spans="1:15" ht="32.15" customHeight="1" x14ac:dyDescent="0.3">
      <c r="A26" s="41" t="s">
        <v>758</v>
      </c>
      <c r="B26" s="42"/>
      <c r="C26" s="42"/>
      <c r="D26" s="42"/>
      <c r="E26" s="42"/>
      <c r="F26" s="673"/>
      <c r="G26" s="674"/>
      <c r="H26" s="675"/>
    </row>
    <row r="27" spans="1:15" ht="13" x14ac:dyDescent="0.3">
      <c r="A27" s="4"/>
      <c r="B27" s="5"/>
      <c r="C27" s="5"/>
      <c r="D27" s="5"/>
      <c r="E27" s="5"/>
      <c r="F27" s="653"/>
      <c r="G27" s="654"/>
    </row>
    <row r="28" spans="1:15" s="26" customFormat="1" ht="13" x14ac:dyDescent="0.3">
      <c r="F28" s="665"/>
      <c r="G28" s="665"/>
      <c r="H28" s="665"/>
      <c r="I28" s="665"/>
      <c r="J28" s="665"/>
      <c r="K28" s="665"/>
      <c r="L28" s="665"/>
      <c r="M28" s="665"/>
      <c r="N28" s="665"/>
      <c r="O28" s="665"/>
    </row>
    <row r="29" spans="1:15" ht="13" x14ac:dyDescent="0.3">
      <c r="A29" s="8" t="s">
        <v>12</v>
      </c>
      <c r="B29" s="9" t="s">
        <v>973</v>
      </c>
      <c r="C29" s="13"/>
      <c r="F29" s="653"/>
      <c r="G29" s="654"/>
    </row>
    <row r="30" spans="1:15" ht="13" x14ac:dyDescent="0.3">
      <c r="A30" s="8" t="s">
        <v>14</v>
      </c>
      <c r="B30" s="9" t="s">
        <v>642</v>
      </c>
      <c r="C30" s="27" t="s">
        <v>15</v>
      </c>
      <c r="F30" s="653"/>
      <c r="G30" s="654"/>
    </row>
    <row r="31" spans="1:15" x14ac:dyDescent="0.25">
      <c r="A31" s="28" t="s">
        <v>16</v>
      </c>
      <c r="B31" s="29"/>
      <c r="C31" s="29">
        <v>2023</v>
      </c>
      <c r="D31" s="29">
        <v>2024</v>
      </c>
      <c r="E31" s="46">
        <v>2025</v>
      </c>
      <c r="F31" s="46">
        <v>2026</v>
      </c>
    </row>
    <row r="32" spans="1:15" x14ac:dyDescent="0.25">
      <c r="A32" s="28" t="s">
        <v>17</v>
      </c>
      <c r="B32" s="30"/>
      <c r="C32" s="30">
        <v>2023</v>
      </c>
      <c r="D32" s="30">
        <v>2023</v>
      </c>
      <c r="E32" s="47">
        <v>2023</v>
      </c>
      <c r="F32" s="47">
        <v>2443.64</v>
      </c>
    </row>
    <row r="33" spans="1:10" x14ac:dyDescent="0.25">
      <c r="A33" s="28" t="s">
        <v>18</v>
      </c>
      <c r="B33" s="30"/>
      <c r="C33" s="30"/>
      <c r="D33" s="30">
        <f>D32+23</f>
        <v>2046</v>
      </c>
      <c r="E33" s="47">
        <v>2052.65</v>
      </c>
      <c r="F33" s="47">
        <v>2465.2800000000002</v>
      </c>
    </row>
    <row r="34" spans="1:10" ht="25" x14ac:dyDescent="0.25">
      <c r="A34" s="28" t="s">
        <v>19</v>
      </c>
      <c r="B34" s="31"/>
      <c r="C34" s="32"/>
      <c r="D34" s="32" t="s">
        <v>974</v>
      </c>
      <c r="E34" s="48" t="s">
        <v>1117</v>
      </c>
      <c r="F34" s="48" t="s">
        <v>1256</v>
      </c>
    </row>
    <row r="35" spans="1:10" x14ac:dyDescent="0.25">
      <c r="A35" s="28" t="s">
        <v>20</v>
      </c>
      <c r="B35" s="30"/>
      <c r="C35" s="30">
        <v>1999.9290000000001</v>
      </c>
      <c r="D35" s="33">
        <v>2011.35</v>
      </c>
      <c r="E35" s="47">
        <v>2048.0149999999999</v>
      </c>
      <c r="F35" s="47"/>
    </row>
    <row r="36" spans="1:10" x14ac:dyDescent="0.25">
      <c r="A36" s="28" t="s">
        <v>21</v>
      </c>
      <c r="B36" s="30"/>
      <c r="C36" s="30">
        <f>C32-C35</f>
        <v>23.070999999999913</v>
      </c>
      <c r="D36" s="33">
        <f>D33-D35</f>
        <v>34.650000000000091</v>
      </c>
      <c r="E36" s="33">
        <f>E33-E35</f>
        <v>4.6350000000002183</v>
      </c>
      <c r="F36" s="47"/>
    </row>
    <row r="37" spans="1:10" x14ac:dyDescent="0.25">
      <c r="A37" s="34" t="s">
        <v>22</v>
      </c>
      <c r="B37" s="35"/>
      <c r="C37" s="35">
        <v>2024</v>
      </c>
      <c r="D37" s="35">
        <v>2025</v>
      </c>
      <c r="E37" s="49">
        <v>2026</v>
      </c>
      <c r="F37" s="49">
        <v>2027</v>
      </c>
    </row>
    <row r="38" spans="1:10" ht="13" x14ac:dyDescent="0.3">
      <c r="A38" s="50" t="s">
        <v>23</v>
      </c>
      <c r="B38" s="51"/>
      <c r="C38" s="51"/>
      <c r="D38" s="51"/>
      <c r="E38" s="52"/>
      <c r="F38" s="677"/>
    </row>
    <row r="39" spans="1:10" ht="32.15" customHeight="1" x14ac:dyDescent="0.3">
      <c r="A39" s="53" t="s">
        <v>975</v>
      </c>
      <c r="B39" s="54"/>
      <c r="C39" s="54"/>
      <c r="D39" s="54"/>
      <c r="E39" s="38"/>
      <c r="F39" s="678"/>
    </row>
    <row r="40" spans="1:10" ht="32.15" customHeight="1" x14ac:dyDescent="0.3">
      <c r="A40" s="55" t="s">
        <v>1116</v>
      </c>
      <c r="B40" s="56"/>
      <c r="C40" s="56"/>
      <c r="D40" s="56"/>
      <c r="E40" s="43"/>
      <c r="F40" s="679"/>
    </row>
    <row r="41" spans="1:10" ht="13" x14ac:dyDescent="0.3">
      <c r="A41" s="58"/>
      <c r="B41" s="58"/>
      <c r="C41" s="58"/>
      <c r="D41" s="58"/>
      <c r="E41" s="4"/>
      <c r="F41" s="654"/>
    </row>
    <row r="42" spans="1:10" ht="13" x14ac:dyDescent="0.3">
      <c r="A42" s="4"/>
      <c r="B42" s="5"/>
      <c r="C42" s="5"/>
      <c r="D42" s="5"/>
      <c r="E42" s="5"/>
      <c r="F42" s="653"/>
      <c r="G42" s="654"/>
    </row>
    <row r="43" spans="1:10" x14ac:dyDescent="0.25">
      <c r="A43" s="8" t="s">
        <v>12</v>
      </c>
      <c r="B43" s="9" t="s">
        <v>202</v>
      </c>
      <c r="C43" s="13"/>
    </row>
    <row r="44" spans="1:10" x14ac:dyDescent="0.25">
      <c r="A44" s="8" t="s">
        <v>14</v>
      </c>
      <c r="B44" s="9" t="s">
        <v>624</v>
      </c>
      <c r="C44" s="27" t="s">
        <v>15</v>
      </c>
    </row>
    <row r="45" spans="1:10" x14ac:dyDescent="0.25">
      <c r="A45" s="28" t="s">
        <v>16</v>
      </c>
      <c r="B45" s="29"/>
      <c r="C45" s="29">
        <v>2019</v>
      </c>
      <c r="D45" s="29">
        <v>2020</v>
      </c>
      <c r="E45" s="29">
        <v>2021</v>
      </c>
      <c r="F45" s="46">
        <v>2022</v>
      </c>
      <c r="G45" s="46">
        <v>2023</v>
      </c>
      <c r="H45" s="46">
        <v>2024</v>
      </c>
      <c r="I45" s="46">
        <v>2025</v>
      </c>
      <c r="J45" s="46">
        <v>2026</v>
      </c>
    </row>
    <row r="46" spans="1:10" x14ac:dyDescent="0.25">
      <c r="A46" s="28" t="s">
        <v>17</v>
      </c>
      <c r="B46" s="30"/>
      <c r="C46" s="30">
        <v>215</v>
      </c>
      <c r="D46" s="30">
        <v>215</v>
      </c>
      <c r="E46" s="30">
        <v>242</v>
      </c>
      <c r="F46" s="47">
        <v>242</v>
      </c>
      <c r="G46" s="47">
        <v>242</v>
      </c>
      <c r="H46" s="47">
        <v>302</v>
      </c>
      <c r="I46" s="47">
        <v>302</v>
      </c>
      <c r="J46" s="47">
        <v>302</v>
      </c>
    </row>
    <row r="47" spans="1:10" x14ac:dyDescent="0.25">
      <c r="A47" s="28" t="s">
        <v>18</v>
      </c>
      <c r="B47" s="30"/>
      <c r="C47" s="30">
        <v>265</v>
      </c>
      <c r="D47" s="30">
        <v>265</v>
      </c>
      <c r="E47" s="30">
        <f t="shared" ref="E47:I47" si="0">E46+0.25*C46</f>
        <v>295.75</v>
      </c>
      <c r="F47" s="47">
        <f t="shared" si="0"/>
        <v>295.75</v>
      </c>
      <c r="G47" s="47">
        <f t="shared" si="0"/>
        <v>302.5</v>
      </c>
      <c r="H47" s="47">
        <f t="shared" si="0"/>
        <v>362.5</v>
      </c>
      <c r="I47" s="47">
        <f t="shared" si="0"/>
        <v>362.5</v>
      </c>
      <c r="J47" s="47">
        <f>J46+0.25*H46</f>
        <v>377.5</v>
      </c>
    </row>
    <row r="48" spans="1:10" x14ac:dyDescent="0.25">
      <c r="A48" s="28" t="s">
        <v>19</v>
      </c>
      <c r="B48" s="31"/>
      <c r="C48" s="32">
        <v>1</v>
      </c>
      <c r="D48" s="32">
        <v>2</v>
      </c>
      <c r="E48" s="32">
        <v>3</v>
      </c>
      <c r="F48" s="48">
        <v>4</v>
      </c>
      <c r="G48" s="48">
        <v>5</v>
      </c>
      <c r="H48" s="48">
        <v>6</v>
      </c>
      <c r="I48" s="48">
        <v>7</v>
      </c>
      <c r="J48" s="48">
        <v>8</v>
      </c>
    </row>
    <row r="49" spans="1:15" ht="15" x14ac:dyDescent="0.3">
      <c r="A49" s="28" t="s">
        <v>20</v>
      </c>
      <c r="B49" s="30"/>
      <c r="C49" s="30">
        <v>7.12</v>
      </c>
      <c r="D49" s="30">
        <v>10.18</v>
      </c>
      <c r="E49" s="30">
        <v>12.5</v>
      </c>
      <c r="F49" s="47">
        <v>11.74</v>
      </c>
      <c r="G49" s="47">
        <v>13.9</v>
      </c>
      <c r="H49" s="47">
        <v>4.1399999999999997</v>
      </c>
      <c r="I49" s="59">
        <v>12.683999999999999</v>
      </c>
      <c r="J49" s="47"/>
    </row>
    <row r="50" spans="1:15" ht="15" x14ac:dyDescent="0.3">
      <c r="A50" s="28" t="s">
        <v>21</v>
      </c>
      <c r="B50" s="30"/>
      <c r="C50" s="30">
        <f t="shared" ref="C50:I50" si="1">C47-C49</f>
        <v>257.88</v>
      </c>
      <c r="D50" s="30">
        <f t="shared" si="1"/>
        <v>254.82</v>
      </c>
      <c r="E50" s="30">
        <f t="shared" si="1"/>
        <v>283.25</v>
      </c>
      <c r="F50" s="47">
        <f t="shared" si="1"/>
        <v>284.01</v>
      </c>
      <c r="G50" s="47">
        <f t="shared" si="1"/>
        <v>288.60000000000002</v>
      </c>
      <c r="H50" s="47">
        <f t="shared" si="1"/>
        <v>358.36</v>
      </c>
      <c r="I50" s="59">
        <f t="shared" si="1"/>
        <v>349.81599999999997</v>
      </c>
      <c r="J50" s="47"/>
    </row>
    <row r="51" spans="1:15" x14ac:dyDescent="0.25">
      <c r="A51" s="34" t="s">
        <v>22</v>
      </c>
      <c r="B51" s="35"/>
      <c r="C51" s="35">
        <v>2021</v>
      </c>
      <c r="D51" s="35">
        <v>2022</v>
      </c>
      <c r="E51" s="35">
        <v>2023</v>
      </c>
      <c r="F51" s="49">
        <v>2024</v>
      </c>
      <c r="G51" s="49">
        <v>2025</v>
      </c>
      <c r="H51" s="49">
        <v>2026</v>
      </c>
      <c r="I51" s="49">
        <v>2027</v>
      </c>
      <c r="J51" s="49">
        <v>2028</v>
      </c>
    </row>
    <row r="52" spans="1:15" x14ac:dyDescent="0.25">
      <c r="A52" s="28" t="s">
        <v>23</v>
      </c>
      <c r="B52" s="61"/>
      <c r="C52" s="61"/>
      <c r="D52" s="61"/>
      <c r="E52" s="61"/>
      <c r="F52" s="680"/>
      <c r="G52" s="681"/>
      <c r="H52" s="681"/>
      <c r="I52" s="681"/>
      <c r="J52" s="681"/>
    </row>
    <row r="53" spans="1:15" x14ac:dyDescent="0.25">
      <c r="A53" s="62" t="s">
        <v>977</v>
      </c>
      <c r="B53" s="63"/>
      <c r="C53" s="63"/>
      <c r="D53" s="63"/>
      <c r="E53" s="63"/>
      <c r="F53" s="682"/>
      <c r="G53" s="683"/>
      <c r="H53" s="683"/>
      <c r="I53" s="683"/>
      <c r="J53" s="683"/>
    </row>
    <row r="54" spans="1:15" x14ac:dyDescent="0.25">
      <c r="A54" s="36">
        <v>1</v>
      </c>
      <c r="B54" s="37" t="s">
        <v>759</v>
      </c>
      <c r="C54" s="37"/>
      <c r="D54" s="37"/>
      <c r="E54" s="37"/>
      <c r="F54" s="669"/>
      <c r="G54" s="669"/>
      <c r="H54" s="669"/>
      <c r="I54" s="669"/>
      <c r="J54" s="672"/>
    </row>
    <row r="55" spans="1:15" x14ac:dyDescent="0.25">
      <c r="A55" s="64">
        <v>2</v>
      </c>
      <c r="B55" s="6" t="s">
        <v>760</v>
      </c>
      <c r="J55" s="684"/>
    </row>
    <row r="56" spans="1:15" x14ac:dyDescent="0.25">
      <c r="A56" s="64">
        <v>3</v>
      </c>
      <c r="B56" s="6" t="s">
        <v>761</v>
      </c>
      <c r="J56" s="684"/>
    </row>
    <row r="57" spans="1:15" x14ac:dyDescent="0.25">
      <c r="A57" s="64">
        <v>4</v>
      </c>
      <c r="B57" s="6" t="s">
        <v>762</v>
      </c>
      <c r="J57" s="684"/>
    </row>
    <row r="58" spans="1:15" x14ac:dyDescent="0.25">
      <c r="A58" s="64">
        <v>5</v>
      </c>
      <c r="B58" s="6" t="s">
        <v>763</v>
      </c>
      <c r="J58" s="684"/>
    </row>
    <row r="59" spans="1:15" x14ac:dyDescent="0.25">
      <c r="A59" s="64">
        <v>6</v>
      </c>
      <c r="B59" s="6" t="s">
        <v>976</v>
      </c>
      <c r="J59" s="684"/>
    </row>
    <row r="60" spans="1:15" x14ac:dyDescent="0.25">
      <c r="A60" s="67">
        <v>7</v>
      </c>
      <c r="B60" s="68" t="s">
        <v>1101</v>
      </c>
      <c r="J60" s="684"/>
    </row>
    <row r="61" spans="1:15" s="65" customFormat="1" x14ac:dyDescent="0.25">
      <c r="A61" s="69">
        <v>8</v>
      </c>
      <c r="B61" s="70" t="s">
        <v>1101</v>
      </c>
      <c r="C61" s="70"/>
      <c r="D61" s="70"/>
      <c r="E61" s="70"/>
      <c r="F61" s="685"/>
      <c r="G61" s="685"/>
      <c r="H61" s="685"/>
      <c r="I61" s="685"/>
      <c r="J61" s="675"/>
      <c r="K61" s="68"/>
      <c r="L61" s="68"/>
      <c r="M61" s="68"/>
      <c r="N61" s="68"/>
      <c r="O61" s="68"/>
    </row>
    <row r="63" spans="1:15" x14ac:dyDescent="0.25">
      <c r="A63" s="8" t="s">
        <v>14</v>
      </c>
      <c r="B63" s="9" t="s">
        <v>623</v>
      </c>
      <c r="C63" s="27" t="s">
        <v>15</v>
      </c>
    </row>
    <row r="64" spans="1:15" x14ac:dyDescent="0.25">
      <c r="A64" s="28" t="s">
        <v>16</v>
      </c>
      <c r="B64" s="29">
        <v>2018</v>
      </c>
      <c r="C64" s="29">
        <v>2019</v>
      </c>
      <c r="D64" s="29">
        <v>2020</v>
      </c>
      <c r="E64" s="29">
        <v>2021</v>
      </c>
      <c r="F64" s="46">
        <v>2022</v>
      </c>
      <c r="G64" s="46">
        <v>2023</v>
      </c>
      <c r="H64" s="46">
        <v>2024</v>
      </c>
      <c r="I64" s="46">
        <v>2025</v>
      </c>
      <c r="J64" s="46">
        <v>2026</v>
      </c>
    </row>
    <row r="65" spans="1:16" x14ac:dyDescent="0.25">
      <c r="A65" s="28" t="s">
        <v>17</v>
      </c>
      <c r="B65" s="30">
        <v>45</v>
      </c>
      <c r="C65" s="30">
        <v>45</v>
      </c>
      <c r="D65" s="30">
        <v>45</v>
      </c>
      <c r="E65" s="30">
        <v>45</v>
      </c>
      <c r="F65" s="47">
        <v>45</v>
      </c>
      <c r="G65" s="47">
        <v>45</v>
      </c>
      <c r="H65" s="47">
        <v>45</v>
      </c>
      <c r="I65" s="47">
        <v>45</v>
      </c>
      <c r="J65" s="47">
        <v>45</v>
      </c>
    </row>
    <row r="66" spans="1:16" x14ac:dyDescent="0.25">
      <c r="A66" s="28" t="s">
        <v>18</v>
      </c>
      <c r="B66" s="30">
        <v>63</v>
      </c>
      <c r="C66" s="30">
        <v>63</v>
      </c>
      <c r="D66" s="30">
        <v>63</v>
      </c>
      <c r="E66" s="30">
        <v>63</v>
      </c>
      <c r="F66" s="47">
        <v>63</v>
      </c>
      <c r="G66" s="47">
        <v>63</v>
      </c>
      <c r="H66" s="47">
        <v>63</v>
      </c>
      <c r="I66" s="47">
        <v>63</v>
      </c>
      <c r="J66" s="47">
        <v>63</v>
      </c>
    </row>
    <row r="67" spans="1:16" x14ac:dyDescent="0.25">
      <c r="A67" s="28" t="s">
        <v>19</v>
      </c>
      <c r="B67" s="29" t="s">
        <v>300</v>
      </c>
      <c r="C67" s="29" t="s">
        <v>300</v>
      </c>
      <c r="D67" s="29" t="s">
        <v>300</v>
      </c>
      <c r="E67" s="29" t="s">
        <v>300</v>
      </c>
      <c r="F67" s="46" t="s">
        <v>300</v>
      </c>
      <c r="G67" s="46" t="s">
        <v>300</v>
      </c>
      <c r="H67" s="46" t="s">
        <v>300</v>
      </c>
      <c r="I67" s="46" t="s">
        <v>300</v>
      </c>
      <c r="J67" s="46" t="s">
        <v>300</v>
      </c>
    </row>
    <row r="68" spans="1:16" ht="15" x14ac:dyDescent="0.3">
      <c r="A68" s="28" t="s">
        <v>20</v>
      </c>
      <c r="B68" s="30">
        <v>18.100000000000001</v>
      </c>
      <c r="C68" s="30">
        <v>9.9499999999999993</v>
      </c>
      <c r="D68" s="30">
        <v>11.79</v>
      </c>
      <c r="E68" s="30">
        <v>13.29</v>
      </c>
      <c r="F68" s="47">
        <v>8.1999999999999993</v>
      </c>
      <c r="G68" s="47">
        <v>9.4700000000000006</v>
      </c>
      <c r="H68" s="47">
        <v>8.7100000000000009</v>
      </c>
      <c r="I68" s="59">
        <v>9.6419999999999995</v>
      </c>
      <c r="J68" s="47"/>
    </row>
    <row r="69" spans="1:16" x14ac:dyDescent="0.25">
      <c r="A69" s="28" t="s">
        <v>21</v>
      </c>
      <c r="B69" s="30">
        <f t="shared" ref="B69:H69" si="2">B66-B68</f>
        <v>44.9</v>
      </c>
      <c r="C69" s="30">
        <f t="shared" si="2"/>
        <v>53.05</v>
      </c>
      <c r="D69" s="30">
        <f t="shared" si="2"/>
        <v>51.21</v>
      </c>
      <c r="E69" s="30">
        <f t="shared" si="2"/>
        <v>49.71</v>
      </c>
      <c r="F69" s="47">
        <f t="shared" si="2"/>
        <v>54.8</v>
      </c>
      <c r="G69" s="47">
        <f t="shared" si="2"/>
        <v>53.53</v>
      </c>
      <c r="H69" s="47">
        <f t="shared" si="2"/>
        <v>54.29</v>
      </c>
      <c r="I69" s="47">
        <f>I66-I68</f>
        <v>53.358000000000004</v>
      </c>
      <c r="J69" s="47"/>
    </row>
    <row r="70" spans="1:16" x14ac:dyDescent="0.25">
      <c r="A70" s="34" t="s">
        <v>22</v>
      </c>
      <c r="B70" s="35">
        <v>2020</v>
      </c>
      <c r="C70" s="35">
        <v>2021</v>
      </c>
      <c r="D70" s="35">
        <v>2022</v>
      </c>
      <c r="E70" s="35">
        <v>2023</v>
      </c>
      <c r="F70" s="49">
        <v>2024</v>
      </c>
      <c r="G70" s="49">
        <v>2025</v>
      </c>
      <c r="H70" s="49">
        <v>2026</v>
      </c>
      <c r="I70" s="49">
        <v>2027</v>
      </c>
      <c r="J70" s="49">
        <v>2028</v>
      </c>
    </row>
    <row r="71" spans="1:16" x14ac:dyDescent="0.25">
      <c r="A71" s="62" t="s">
        <v>154</v>
      </c>
      <c r="B71" s="36"/>
      <c r="C71" s="37"/>
      <c r="D71" s="37"/>
      <c r="E71" s="37"/>
      <c r="F71" s="669"/>
      <c r="G71" s="669"/>
      <c r="H71" s="669"/>
      <c r="I71" s="669"/>
      <c r="J71" s="672"/>
    </row>
    <row r="72" spans="1:16" x14ac:dyDescent="0.25">
      <c r="A72" s="72" t="s">
        <v>978</v>
      </c>
      <c r="B72" s="72"/>
      <c r="C72" s="73"/>
      <c r="D72" s="73"/>
      <c r="E72" s="73"/>
      <c r="F72" s="685"/>
      <c r="G72" s="685"/>
      <c r="H72" s="685"/>
      <c r="I72" s="685"/>
      <c r="J72" s="675"/>
    </row>
    <row r="74" spans="1:16" s="75" customFormat="1" ht="14.5" x14ac:dyDescent="0.35">
      <c r="A74" s="27" t="s">
        <v>14</v>
      </c>
      <c r="B74" s="27" t="s">
        <v>74</v>
      </c>
      <c r="C74" s="27" t="s">
        <v>15</v>
      </c>
      <c r="D74" s="74"/>
      <c r="E74" s="74"/>
      <c r="F74" s="686"/>
      <c r="G74" s="686"/>
      <c r="H74" s="686"/>
      <c r="I74" s="686"/>
      <c r="J74" s="686"/>
      <c r="K74" s="686"/>
      <c r="L74" s="686"/>
      <c r="M74" s="68"/>
      <c r="N74" s="687"/>
      <c r="O74" s="687"/>
    </row>
    <row r="75" spans="1:16" s="75" customFormat="1" ht="14.5" x14ac:dyDescent="0.35">
      <c r="A75" s="29" t="s">
        <v>16</v>
      </c>
      <c r="B75" s="29">
        <v>2013</v>
      </c>
      <c r="C75" s="29">
        <v>2014</v>
      </c>
      <c r="D75" s="76">
        <v>2015</v>
      </c>
      <c r="E75" s="29">
        <v>2016</v>
      </c>
      <c r="F75" s="688">
        <v>2017</v>
      </c>
      <c r="G75" s="46">
        <v>2018</v>
      </c>
      <c r="H75" s="688">
        <v>2019</v>
      </c>
      <c r="I75" s="46">
        <v>2020</v>
      </c>
      <c r="J75" s="688">
        <v>2021</v>
      </c>
      <c r="K75" s="688">
        <v>2022</v>
      </c>
      <c r="L75" s="688">
        <v>2023</v>
      </c>
      <c r="M75" s="688">
        <v>2024</v>
      </c>
      <c r="N75" s="688">
        <v>2025</v>
      </c>
      <c r="O75" s="689">
        <v>2026</v>
      </c>
      <c r="P75" s="74"/>
    </row>
    <row r="76" spans="1:16" s="75" customFormat="1" ht="14.5" x14ac:dyDescent="0.35">
      <c r="A76" s="29" t="s">
        <v>17</v>
      </c>
      <c r="B76" s="29">
        <v>10</v>
      </c>
      <c r="C76" s="29">
        <v>10</v>
      </c>
      <c r="D76" s="29">
        <v>10</v>
      </c>
      <c r="E76" s="29">
        <v>10</v>
      </c>
      <c r="F76" s="46">
        <v>10</v>
      </c>
      <c r="G76" s="46">
        <v>10</v>
      </c>
      <c r="H76" s="46">
        <v>10</v>
      </c>
      <c r="I76" s="46">
        <v>10</v>
      </c>
      <c r="J76" s="46">
        <v>10</v>
      </c>
      <c r="K76" s="46">
        <v>10</v>
      </c>
      <c r="L76" s="46">
        <v>10</v>
      </c>
      <c r="M76" s="46">
        <v>10</v>
      </c>
      <c r="N76" s="46">
        <v>10</v>
      </c>
      <c r="O76" s="690">
        <v>10</v>
      </c>
      <c r="P76" s="6"/>
    </row>
    <row r="77" spans="1:16" s="75" customFormat="1" ht="14.5" x14ac:dyDescent="0.35">
      <c r="A77" s="29" t="s">
        <v>18</v>
      </c>
      <c r="B77" s="29"/>
      <c r="C77" s="29"/>
      <c r="D77" s="29">
        <f t="shared" ref="D77:J77" si="3">D76+B80</f>
        <v>8.98</v>
      </c>
      <c r="E77" s="30">
        <f t="shared" si="3"/>
        <v>8.41</v>
      </c>
      <c r="F77" s="47">
        <f t="shared" si="3"/>
        <v>-14.739999999999998</v>
      </c>
      <c r="G77" s="47">
        <f t="shared" si="3"/>
        <v>7.2100000000000009</v>
      </c>
      <c r="H77" s="47">
        <f t="shared" si="3"/>
        <v>-28.769999999999996</v>
      </c>
      <c r="I77" s="47">
        <f t="shared" si="3"/>
        <v>3.66</v>
      </c>
      <c r="J77" s="47">
        <f t="shared" si="3"/>
        <v>-32.25</v>
      </c>
      <c r="K77" s="47">
        <f t="shared" ref="K77:O77" si="4">K76+(1.25*I80)</f>
        <v>-12.337500000000002</v>
      </c>
      <c r="L77" s="47">
        <f t="shared" si="4"/>
        <v>-45.600000000000009</v>
      </c>
      <c r="M77" s="47">
        <f t="shared" si="4"/>
        <v>-17.296875000000004</v>
      </c>
      <c r="N77" s="47">
        <f t="shared" si="4"/>
        <v>-58.275000000000006</v>
      </c>
      <c r="O77" s="691">
        <f t="shared" si="4"/>
        <v>-21.158593750000001</v>
      </c>
      <c r="P77" s="79"/>
    </row>
    <row r="78" spans="1:16" s="75" customFormat="1" ht="14.5" x14ac:dyDescent="0.35">
      <c r="A78" s="29" t="s">
        <v>19</v>
      </c>
      <c r="B78" s="29"/>
      <c r="C78" s="29"/>
      <c r="D78" s="29">
        <v>1</v>
      </c>
      <c r="E78" s="29">
        <v>2</v>
      </c>
      <c r="F78" s="46">
        <v>3</v>
      </c>
      <c r="G78" s="46">
        <v>4</v>
      </c>
      <c r="H78" s="46">
        <v>5</v>
      </c>
      <c r="I78" s="46">
        <v>6</v>
      </c>
      <c r="J78" s="46">
        <v>7</v>
      </c>
      <c r="K78" s="46">
        <v>8</v>
      </c>
      <c r="L78" s="46">
        <v>9</v>
      </c>
      <c r="M78" s="46">
        <v>10</v>
      </c>
      <c r="N78" s="46">
        <v>11</v>
      </c>
      <c r="O78" s="690">
        <v>12</v>
      </c>
      <c r="P78" s="6"/>
    </row>
    <row r="79" spans="1:16" s="75" customFormat="1" ht="15" x14ac:dyDescent="0.35">
      <c r="A79" s="29" t="s">
        <v>20</v>
      </c>
      <c r="B79" s="29">
        <v>11.02</v>
      </c>
      <c r="C79" s="29">
        <v>11.59</v>
      </c>
      <c r="D79" s="80">
        <v>33.72</v>
      </c>
      <c r="E79" s="80">
        <v>11.2</v>
      </c>
      <c r="F79" s="693">
        <v>24.03</v>
      </c>
      <c r="G79" s="693">
        <v>13.55</v>
      </c>
      <c r="H79" s="693">
        <v>13.48</v>
      </c>
      <c r="I79" s="693">
        <v>21.53</v>
      </c>
      <c r="J79" s="693">
        <v>12.23</v>
      </c>
      <c r="K79" s="693">
        <v>9.5</v>
      </c>
      <c r="L79" s="688">
        <v>9.02</v>
      </c>
      <c r="M79" s="688">
        <v>7.63</v>
      </c>
      <c r="N79" s="694">
        <v>16.954000000000001</v>
      </c>
      <c r="O79" s="689"/>
      <c r="P79" s="74"/>
    </row>
    <row r="80" spans="1:16" s="75" customFormat="1" ht="15.5" x14ac:dyDescent="0.35">
      <c r="A80" s="29" t="s">
        <v>21</v>
      </c>
      <c r="B80" s="29">
        <f>B76-B79</f>
        <v>-1.0199999999999996</v>
      </c>
      <c r="C80" s="29">
        <f>C76-C79</f>
        <v>-1.5899999999999999</v>
      </c>
      <c r="D80" s="29">
        <f>D77-D79</f>
        <v>-24.74</v>
      </c>
      <c r="E80" s="30">
        <f>E77-E79</f>
        <v>-2.7899999999999991</v>
      </c>
      <c r="F80" s="47">
        <f t="shared" ref="F80:K80" si="5">F77-F79</f>
        <v>-38.769999999999996</v>
      </c>
      <c r="G80" s="47">
        <f t="shared" si="5"/>
        <v>-6.34</v>
      </c>
      <c r="H80" s="47">
        <f t="shared" si="5"/>
        <v>-42.25</v>
      </c>
      <c r="I80" s="47">
        <f t="shared" si="5"/>
        <v>-17.87</v>
      </c>
      <c r="J80" s="47">
        <f t="shared" si="5"/>
        <v>-44.480000000000004</v>
      </c>
      <c r="K80" s="47">
        <f t="shared" si="5"/>
        <v>-21.837500000000002</v>
      </c>
      <c r="L80" s="47">
        <f>L77-L79</f>
        <v>-54.620000000000005</v>
      </c>
      <c r="M80" s="47">
        <f>M77-M79</f>
        <v>-24.926875000000003</v>
      </c>
      <c r="N80" s="59">
        <f>N77-N79</f>
        <v>-75.229000000000013</v>
      </c>
      <c r="O80" s="690"/>
      <c r="P80" s="6"/>
    </row>
    <row r="81" spans="1:16" s="75" customFormat="1" ht="14.5" x14ac:dyDescent="0.35">
      <c r="A81" s="81" t="s">
        <v>22</v>
      </c>
      <c r="B81" s="81">
        <v>2015</v>
      </c>
      <c r="C81" s="81">
        <v>2016</v>
      </c>
      <c r="D81" s="81">
        <v>2017</v>
      </c>
      <c r="E81" s="81">
        <v>2018</v>
      </c>
      <c r="F81" s="695">
        <v>2019</v>
      </c>
      <c r="G81" s="695">
        <v>2020</v>
      </c>
      <c r="H81" s="695">
        <v>2021</v>
      </c>
      <c r="I81" s="695">
        <v>2022</v>
      </c>
      <c r="J81" s="695">
        <v>2023</v>
      </c>
      <c r="K81" s="695">
        <v>2024</v>
      </c>
      <c r="L81" s="695">
        <v>2025</v>
      </c>
      <c r="M81" s="695">
        <v>2026</v>
      </c>
      <c r="N81" s="695">
        <v>2027</v>
      </c>
      <c r="O81" s="695">
        <v>2028</v>
      </c>
      <c r="P81" s="6"/>
    </row>
    <row r="82" spans="1:16" s="75" customFormat="1" ht="14.5" x14ac:dyDescent="0.35">
      <c r="A82" s="82">
        <v>1</v>
      </c>
      <c r="B82" s="83" t="s">
        <v>906</v>
      </c>
      <c r="C82" s="84"/>
      <c r="D82" s="84"/>
      <c r="E82" s="84"/>
      <c r="F82" s="697"/>
      <c r="G82" s="697"/>
      <c r="H82" s="697"/>
      <c r="I82" s="697"/>
      <c r="J82" s="697"/>
      <c r="K82" s="697"/>
      <c r="L82" s="697"/>
      <c r="M82" s="697"/>
      <c r="N82" s="698"/>
      <c r="O82" s="699"/>
    </row>
    <row r="83" spans="1:16" s="75" customFormat="1" ht="14.5" x14ac:dyDescent="0.35">
      <c r="A83" s="85">
        <v>2</v>
      </c>
      <c r="B83" s="74" t="s">
        <v>907</v>
      </c>
      <c r="C83" s="6"/>
      <c r="D83" s="6"/>
      <c r="E83" s="6"/>
      <c r="F83" s="68"/>
      <c r="G83" s="68"/>
      <c r="H83" s="68"/>
      <c r="I83" s="68"/>
      <c r="J83" s="68"/>
      <c r="K83" s="68"/>
      <c r="L83" s="68"/>
      <c r="M83" s="68"/>
      <c r="N83" s="687"/>
      <c r="O83" s="700"/>
    </row>
    <row r="84" spans="1:16" s="75" customFormat="1" ht="14.5" x14ac:dyDescent="0.35">
      <c r="A84" s="64">
        <v>3</v>
      </c>
      <c r="B84" s="74" t="s">
        <v>908</v>
      </c>
      <c r="C84" s="6"/>
      <c r="D84" s="6"/>
      <c r="E84" s="6"/>
      <c r="F84" s="68"/>
      <c r="G84" s="68"/>
      <c r="H84" s="68"/>
      <c r="I84" s="68"/>
      <c r="J84" s="68"/>
      <c r="K84" s="68"/>
      <c r="L84" s="68"/>
      <c r="M84" s="68"/>
      <c r="N84" s="687"/>
      <c r="O84" s="700"/>
    </row>
    <row r="85" spans="1:16" s="75" customFormat="1" ht="14.5" x14ac:dyDescent="0.35">
      <c r="A85" s="85">
        <v>4</v>
      </c>
      <c r="B85" s="74" t="s">
        <v>909</v>
      </c>
      <c r="C85" s="6"/>
      <c r="D85" s="6"/>
      <c r="E85" s="6"/>
      <c r="F85" s="68"/>
      <c r="G85" s="68"/>
      <c r="H85" s="68"/>
      <c r="I85" s="68"/>
      <c r="J85" s="68"/>
      <c r="K85" s="68"/>
      <c r="L85" s="68"/>
      <c r="M85" s="68"/>
      <c r="N85" s="687"/>
      <c r="O85" s="700"/>
    </row>
    <row r="86" spans="1:16" s="75" customFormat="1" ht="14.5" x14ac:dyDescent="0.35">
      <c r="A86" s="64">
        <v>5</v>
      </c>
      <c r="B86" s="74" t="s">
        <v>910</v>
      </c>
      <c r="C86" s="6"/>
      <c r="D86" s="6"/>
      <c r="E86" s="6"/>
      <c r="F86" s="68"/>
      <c r="G86" s="68"/>
      <c r="H86" s="68"/>
      <c r="I86" s="68"/>
      <c r="J86" s="68"/>
      <c r="K86" s="68"/>
      <c r="L86" s="68"/>
      <c r="M86" s="68"/>
      <c r="N86" s="687"/>
      <c r="O86" s="700"/>
    </row>
    <row r="87" spans="1:16" s="75" customFormat="1" ht="14.5" x14ac:dyDescent="0.35">
      <c r="A87" s="85">
        <v>6</v>
      </c>
      <c r="B87" s="74" t="s">
        <v>911</v>
      </c>
      <c r="C87" s="6"/>
      <c r="D87" s="6"/>
      <c r="E87" s="6"/>
      <c r="F87" s="68"/>
      <c r="G87" s="68"/>
      <c r="H87" s="68"/>
      <c r="I87" s="68"/>
      <c r="J87" s="68"/>
      <c r="K87" s="68"/>
      <c r="L87" s="68"/>
      <c r="M87" s="68"/>
      <c r="N87" s="687"/>
      <c r="O87" s="700"/>
    </row>
    <row r="88" spans="1:16" s="75" customFormat="1" ht="14.5" x14ac:dyDescent="0.35">
      <c r="A88" s="64">
        <v>7</v>
      </c>
      <c r="B88" s="74" t="s">
        <v>912</v>
      </c>
      <c r="C88" s="6"/>
      <c r="D88" s="6"/>
      <c r="E88" s="6"/>
      <c r="F88" s="68"/>
      <c r="G88" s="68"/>
      <c r="H88" s="68"/>
      <c r="I88" s="68"/>
      <c r="J88" s="68"/>
      <c r="K88" s="68"/>
      <c r="L88" s="68"/>
      <c r="M88" s="68"/>
      <c r="N88" s="687"/>
      <c r="O88" s="700"/>
    </row>
    <row r="89" spans="1:16" s="75" customFormat="1" ht="14.5" x14ac:dyDescent="0.35">
      <c r="A89" s="85">
        <v>8</v>
      </c>
      <c r="B89" s="74" t="s">
        <v>913</v>
      </c>
      <c r="C89" s="6"/>
      <c r="D89" s="6"/>
      <c r="E89" s="6"/>
      <c r="F89" s="68"/>
      <c r="G89" s="68"/>
      <c r="H89" s="68"/>
      <c r="I89" s="68"/>
      <c r="J89" s="68"/>
      <c r="K89" s="68"/>
      <c r="L89" s="68"/>
      <c r="M89" s="68"/>
      <c r="N89" s="687"/>
      <c r="O89" s="700"/>
    </row>
    <row r="90" spans="1:16" s="75" customFormat="1" ht="14.5" x14ac:dyDescent="0.35">
      <c r="A90" s="85">
        <v>9</v>
      </c>
      <c r="B90" s="74" t="s">
        <v>914</v>
      </c>
      <c r="C90" s="6"/>
      <c r="D90" s="6"/>
      <c r="E90" s="6"/>
      <c r="F90" s="68"/>
      <c r="G90" s="68"/>
      <c r="H90" s="68"/>
      <c r="I90" s="68"/>
      <c r="J90" s="68"/>
      <c r="K90" s="68"/>
      <c r="L90" s="68"/>
      <c r="M90" s="68"/>
      <c r="N90" s="687"/>
      <c r="O90" s="700"/>
    </row>
    <row r="91" spans="1:16" s="75" customFormat="1" ht="14.5" x14ac:dyDescent="0.35">
      <c r="A91" s="64">
        <v>10</v>
      </c>
      <c r="B91" s="74" t="s">
        <v>979</v>
      </c>
      <c r="C91" s="6"/>
      <c r="D91" s="6"/>
      <c r="E91" s="6"/>
      <c r="F91" s="68"/>
      <c r="G91" s="68"/>
      <c r="H91" s="68"/>
      <c r="I91" s="68"/>
      <c r="J91" s="68"/>
      <c r="K91" s="68"/>
      <c r="L91" s="68"/>
      <c r="M91" s="68"/>
      <c r="N91" s="687"/>
      <c r="O91" s="700"/>
    </row>
    <row r="92" spans="1:16" s="75" customFormat="1" ht="14.5" x14ac:dyDescent="0.35">
      <c r="A92" s="64">
        <v>11</v>
      </c>
      <c r="B92" s="74" t="s">
        <v>1112</v>
      </c>
      <c r="C92" s="6"/>
      <c r="D92" s="6"/>
      <c r="E92" s="6"/>
      <c r="F92" s="68"/>
      <c r="G92" s="68"/>
      <c r="H92" s="68"/>
      <c r="I92" s="68"/>
      <c r="J92" s="68"/>
      <c r="K92" s="68"/>
      <c r="L92" s="68"/>
      <c r="M92" s="68"/>
      <c r="N92" s="687"/>
      <c r="O92" s="700"/>
    </row>
    <row r="93" spans="1:16" s="75" customFormat="1" ht="14.5" x14ac:dyDescent="0.35">
      <c r="A93" s="72">
        <v>12</v>
      </c>
      <c r="B93" s="87" t="s">
        <v>1127</v>
      </c>
      <c r="C93" s="73"/>
      <c r="D93" s="73"/>
      <c r="E93" s="73"/>
      <c r="F93" s="685"/>
      <c r="G93" s="685"/>
      <c r="H93" s="685"/>
      <c r="I93" s="685"/>
      <c r="J93" s="685"/>
      <c r="K93" s="685"/>
      <c r="L93" s="685"/>
      <c r="M93" s="685"/>
      <c r="N93" s="701"/>
      <c r="O93" s="702"/>
    </row>
    <row r="95" spans="1:16" x14ac:dyDescent="0.25">
      <c r="A95" s="27" t="s">
        <v>14</v>
      </c>
      <c r="B95" s="27" t="s">
        <v>79</v>
      </c>
      <c r="C95" s="27" t="s">
        <v>15</v>
      </c>
    </row>
    <row r="96" spans="1:16" x14ac:dyDescent="0.25">
      <c r="A96" s="29" t="s">
        <v>16</v>
      </c>
      <c r="B96" s="29">
        <v>2013</v>
      </c>
      <c r="C96" s="29">
        <v>2014</v>
      </c>
      <c r="D96" s="29">
        <v>2015</v>
      </c>
      <c r="E96" s="29">
        <v>2016</v>
      </c>
      <c r="F96" s="46">
        <v>2017</v>
      </c>
      <c r="G96" s="46">
        <v>2018</v>
      </c>
      <c r="H96" s="46">
        <v>2019</v>
      </c>
      <c r="I96" s="46">
        <v>2020</v>
      </c>
      <c r="J96" s="46">
        <v>2021</v>
      </c>
      <c r="K96" s="46">
        <v>2022</v>
      </c>
      <c r="L96" s="46">
        <v>2023</v>
      </c>
      <c r="M96" s="46">
        <v>2024</v>
      </c>
      <c r="N96" s="46">
        <v>2025</v>
      </c>
      <c r="O96" s="46">
        <v>2026</v>
      </c>
    </row>
    <row r="97" spans="1:15" x14ac:dyDescent="0.25">
      <c r="A97" s="29" t="s">
        <v>17</v>
      </c>
      <c r="B97" s="29">
        <v>10</v>
      </c>
      <c r="C97" s="29">
        <v>10</v>
      </c>
      <c r="D97" s="29">
        <v>10</v>
      </c>
      <c r="E97" s="29">
        <v>10</v>
      </c>
      <c r="F97" s="46">
        <v>10</v>
      </c>
      <c r="G97" s="46">
        <v>10</v>
      </c>
      <c r="H97" s="46">
        <v>10</v>
      </c>
      <c r="I97" s="46">
        <v>10</v>
      </c>
      <c r="J97" s="46">
        <v>10</v>
      </c>
      <c r="K97" s="46">
        <v>10</v>
      </c>
      <c r="L97" s="46">
        <v>10</v>
      </c>
      <c r="M97" s="46">
        <v>10</v>
      </c>
      <c r="N97" s="46">
        <v>10</v>
      </c>
      <c r="O97" s="46">
        <v>10</v>
      </c>
    </row>
    <row r="98" spans="1:15" x14ac:dyDescent="0.25">
      <c r="A98" s="29" t="s">
        <v>18</v>
      </c>
      <c r="B98" s="29"/>
      <c r="C98" s="29"/>
      <c r="D98" s="29">
        <f>D97+0.2*B97</f>
        <v>12</v>
      </c>
      <c r="E98" s="30">
        <f>E97+0.2*C97</f>
        <v>12</v>
      </c>
      <c r="F98" s="47">
        <f>F97+0.2*D97</f>
        <v>12</v>
      </c>
      <c r="G98" s="47">
        <f>G97+E101</f>
        <v>7.77</v>
      </c>
      <c r="H98" s="47">
        <f>H97+F101</f>
        <v>4.6000000000000014</v>
      </c>
      <c r="I98" s="47">
        <f>I97+G101</f>
        <v>0.26999999999999957</v>
      </c>
      <c r="J98" s="47">
        <f>J97+H101</f>
        <v>3.0400000000000009</v>
      </c>
      <c r="K98" s="47">
        <f>K97+(1.25*I101)</f>
        <v>-7.6125000000000007</v>
      </c>
      <c r="L98" s="47">
        <f>L97+(1.25*J101)</f>
        <v>1.3000000000000007</v>
      </c>
      <c r="M98" s="47">
        <f>M97+(1.25*K101)</f>
        <v>-11.640625</v>
      </c>
      <c r="N98" s="47">
        <f>N97+(1.25*L101)</f>
        <v>2.4000000000000012</v>
      </c>
      <c r="O98" s="47">
        <f>O97+(1.25*M101)</f>
        <v>-12.350781250000004</v>
      </c>
    </row>
    <row r="99" spans="1:15" x14ac:dyDescent="0.25">
      <c r="A99" s="29" t="s">
        <v>19</v>
      </c>
      <c r="B99" s="29"/>
      <c r="C99" s="29"/>
      <c r="D99" s="29">
        <v>1</v>
      </c>
      <c r="E99" s="29">
        <v>2</v>
      </c>
      <c r="F99" s="46">
        <v>3</v>
      </c>
      <c r="G99" s="46">
        <v>4</v>
      </c>
      <c r="H99" s="46">
        <v>5</v>
      </c>
      <c r="I99" s="46">
        <v>6</v>
      </c>
      <c r="J99" s="46">
        <v>7</v>
      </c>
      <c r="K99" s="46">
        <v>8</v>
      </c>
      <c r="L99" s="46">
        <v>9</v>
      </c>
      <c r="M99" s="46">
        <v>10</v>
      </c>
      <c r="N99" s="46">
        <v>11</v>
      </c>
      <c r="O99" s="46">
        <v>12</v>
      </c>
    </row>
    <row r="100" spans="1:15" ht="15" x14ac:dyDescent="0.3">
      <c r="A100" s="29" t="s">
        <v>20</v>
      </c>
      <c r="B100" s="29">
        <v>5.51</v>
      </c>
      <c r="C100" s="29">
        <v>6.24</v>
      </c>
      <c r="D100" s="29">
        <v>9.6999999999999993</v>
      </c>
      <c r="E100" s="29">
        <v>14.23</v>
      </c>
      <c r="F100" s="46">
        <v>17.399999999999999</v>
      </c>
      <c r="G100" s="47">
        <v>17.5</v>
      </c>
      <c r="H100" s="47">
        <v>11.56</v>
      </c>
      <c r="I100" s="47">
        <v>14.36</v>
      </c>
      <c r="J100" s="47">
        <v>10</v>
      </c>
      <c r="K100" s="47">
        <v>9.6999999999999993</v>
      </c>
      <c r="L100" s="46">
        <v>7.38</v>
      </c>
      <c r="M100" s="46">
        <v>6.24</v>
      </c>
      <c r="N100" s="59">
        <v>6.9989999999999997</v>
      </c>
      <c r="O100" s="46"/>
    </row>
    <row r="101" spans="1:15" x14ac:dyDescent="0.25">
      <c r="A101" s="29" t="s">
        <v>21</v>
      </c>
      <c r="B101" s="29">
        <f>B97-B100</f>
        <v>4.49</v>
      </c>
      <c r="C101" s="29">
        <f>C97-C100</f>
        <v>3.76</v>
      </c>
      <c r="D101" s="29">
        <f>D98-D100</f>
        <v>2.3000000000000007</v>
      </c>
      <c r="E101" s="29">
        <f t="shared" ref="E101:J101" si="6">E98-E100</f>
        <v>-2.2300000000000004</v>
      </c>
      <c r="F101" s="46">
        <f t="shared" si="6"/>
        <v>-5.3999999999999986</v>
      </c>
      <c r="G101" s="46">
        <f t="shared" si="6"/>
        <v>-9.73</v>
      </c>
      <c r="H101" s="46">
        <f t="shared" si="6"/>
        <v>-6.9599999999999991</v>
      </c>
      <c r="I101" s="46">
        <f t="shared" si="6"/>
        <v>-14.09</v>
      </c>
      <c r="J101" s="46">
        <f t="shared" si="6"/>
        <v>-6.9599999999999991</v>
      </c>
      <c r="K101" s="47">
        <f>K98-K100</f>
        <v>-17.3125</v>
      </c>
      <c r="L101" s="47">
        <f>L98-L100</f>
        <v>-6.0799999999999992</v>
      </c>
      <c r="M101" s="47">
        <f>M98-M100</f>
        <v>-17.880625000000002</v>
      </c>
      <c r="N101" s="47">
        <f>N98-N100</f>
        <v>-4.5989999999999984</v>
      </c>
      <c r="O101" s="46"/>
    </row>
    <row r="102" spans="1:15" x14ac:dyDescent="0.25">
      <c r="A102" s="90" t="s">
        <v>22</v>
      </c>
      <c r="B102" s="90">
        <v>2015</v>
      </c>
      <c r="C102" s="90">
        <v>2016</v>
      </c>
      <c r="D102" s="90">
        <v>2017</v>
      </c>
      <c r="E102" s="90">
        <v>2018</v>
      </c>
      <c r="F102" s="703">
        <v>2019</v>
      </c>
      <c r="G102" s="703">
        <v>2020</v>
      </c>
      <c r="H102" s="703">
        <v>2021</v>
      </c>
      <c r="I102" s="703">
        <v>2022</v>
      </c>
      <c r="J102" s="703">
        <v>2023</v>
      </c>
      <c r="K102" s="703">
        <v>2024</v>
      </c>
      <c r="L102" s="703">
        <v>2025</v>
      </c>
      <c r="M102" s="703">
        <v>2026</v>
      </c>
      <c r="N102" s="703">
        <v>2027</v>
      </c>
      <c r="O102" s="703">
        <v>2028</v>
      </c>
    </row>
    <row r="103" spans="1:15" x14ac:dyDescent="0.25">
      <c r="A103" s="82">
        <v>1</v>
      </c>
      <c r="B103" s="83" t="s">
        <v>915</v>
      </c>
      <c r="C103" s="84"/>
      <c r="D103" s="84"/>
      <c r="E103" s="84"/>
      <c r="F103" s="697"/>
      <c r="G103" s="697"/>
      <c r="H103" s="697"/>
      <c r="I103" s="697"/>
      <c r="J103" s="697"/>
      <c r="K103" s="697"/>
      <c r="L103" s="697"/>
      <c r="M103" s="697"/>
      <c r="N103" s="697"/>
      <c r="O103" s="704"/>
    </row>
    <row r="104" spans="1:15" x14ac:dyDescent="0.25">
      <c r="A104" s="64">
        <v>2</v>
      </c>
      <c r="B104" s="74" t="s">
        <v>916</v>
      </c>
      <c r="O104" s="684"/>
    </row>
    <row r="105" spans="1:15" x14ac:dyDescent="0.25">
      <c r="A105" s="64">
        <v>3</v>
      </c>
      <c r="B105" s="74" t="s">
        <v>917</v>
      </c>
      <c r="O105" s="684"/>
    </row>
    <row r="106" spans="1:15" x14ac:dyDescent="0.25">
      <c r="A106" s="64">
        <v>4</v>
      </c>
      <c r="B106" s="74" t="s">
        <v>909</v>
      </c>
      <c r="O106" s="684"/>
    </row>
    <row r="107" spans="1:15" x14ac:dyDescent="0.25">
      <c r="A107" s="64">
        <v>5</v>
      </c>
      <c r="B107" s="74" t="s">
        <v>910</v>
      </c>
      <c r="O107" s="684"/>
    </row>
    <row r="108" spans="1:15" x14ac:dyDescent="0.25">
      <c r="A108" s="64">
        <v>6</v>
      </c>
      <c r="B108" s="74" t="s">
        <v>911</v>
      </c>
      <c r="O108" s="684"/>
    </row>
    <row r="109" spans="1:15" x14ac:dyDescent="0.25">
      <c r="A109" s="64">
        <v>7</v>
      </c>
      <c r="B109" s="74" t="s">
        <v>912</v>
      </c>
      <c r="O109" s="684"/>
    </row>
    <row r="110" spans="1:15" x14ac:dyDescent="0.25">
      <c r="A110" s="64">
        <v>8</v>
      </c>
      <c r="B110" s="74" t="s">
        <v>913</v>
      </c>
      <c r="O110" s="684"/>
    </row>
    <row r="111" spans="1:15" x14ac:dyDescent="0.25">
      <c r="A111" s="64">
        <v>9</v>
      </c>
      <c r="B111" s="74" t="s">
        <v>914</v>
      </c>
      <c r="O111" s="684"/>
    </row>
    <row r="112" spans="1:15" x14ac:dyDescent="0.25">
      <c r="A112" s="64">
        <v>10</v>
      </c>
      <c r="B112" s="74" t="s">
        <v>979</v>
      </c>
      <c r="O112" s="684"/>
    </row>
    <row r="113" spans="1:15" x14ac:dyDescent="0.25">
      <c r="A113" s="64">
        <v>11</v>
      </c>
      <c r="B113" s="74" t="s">
        <v>1112</v>
      </c>
      <c r="O113" s="684"/>
    </row>
    <row r="114" spans="1:15" x14ac:dyDescent="0.25">
      <c r="A114" s="72">
        <v>12</v>
      </c>
      <c r="B114" s="87" t="s">
        <v>1127</v>
      </c>
      <c r="C114" s="73"/>
      <c r="D114" s="73"/>
      <c r="E114" s="73"/>
      <c r="F114" s="685"/>
      <c r="G114" s="685"/>
      <c r="H114" s="685"/>
      <c r="I114" s="685"/>
      <c r="J114" s="685"/>
      <c r="K114" s="685"/>
      <c r="L114" s="685"/>
      <c r="M114" s="685"/>
      <c r="N114" s="685"/>
      <c r="O114" s="675"/>
    </row>
    <row r="117" spans="1:15" x14ac:dyDescent="0.25">
      <c r="A117" s="91" t="s">
        <v>12</v>
      </c>
      <c r="B117" s="11" t="s">
        <v>166</v>
      </c>
      <c r="C117" s="13"/>
      <c r="D117" s="13"/>
      <c r="E117" s="13"/>
      <c r="F117" s="657"/>
    </row>
    <row r="118" spans="1:15" x14ac:dyDescent="0.25">
      <c r="A118" s="91" t="s">
        <v>14</v>
      </c>
      <c r="B118" s="11" t="s">
        <v>624</v>
      </c>
      <c r="C118" s="92" t="s">
        <v>15</v>
      </c>
      <c r="D118" s="13"/>
      <c r="E118" s="13"/>
      <c r="F118" s="657"/>
    </row>
    <row r="119" spans="1:15" x14ac:dyDescent="0.25">
      <c r="A119" s="93" t="s">
        <v>16</v>
      </c>
      <c r="B119" s="94"/>
      <c r="C119" s="95">
        <v>2017</v>
      </c>
      <c r="D119" s="92">
        <v>2018</v>
      </c>
      <c r="E119" s="92">
        <v>2019</v>
      </c>
      <c r="F119" s="705">
        <v>2020</v>
      </c>
      <c r="G119" s="705">
        <v>2021</v>
      </c>
      <c r="H119" s="705">
        <v>2022</v>
      </c>
      <c r="I119" s="705">
        <v>2023</v>
      </c>
      <c r="J119" s="705">
        <v>2024</v>
      </c>
      <c r="K119" s="705">
        <v>2025</v>
      </c>
      <c r="L119" s="705">
        <v>2026</v>
      </c>
    </row>
    <row r="120" spans="1:15" x14ac:dyDescent="0.25">
      <c r="A120" s="93" t="s">
        <v>17</v>
      </c>
      <c r="B120" s="94"/>
      <c r="C120" s="96">
        <v>200</v>
      </c>
      <c r="D120" s="97">
        <v>200</v>
      </c>
      <c r="E120" s="97">
        <v>215</v>
      </c>
      <c r="F120" s="708">
        <v>215</v>
      </c>
      <c r="G120" s="708">
        <v>242</v>
      </c>
      <c r="H120" s="708">
        <v>242</v>
      </c>
      <c r="I120" s="708">
        <v>242</v>
      </c>
      <c r="J120" s="708">
        <v>302</v>
      </c>
      <c r="K120" s="708">
        <v>302</v>
      </c>
      <c r="L120" s="708">
        <v>302</v>
      </c>
    </row>
    <row r="121" spans="1:15" x14ac:dyDescent="0.25">
      <c r="A121" s="93" t="s">
        <v>18</v>
      </c>
      <c r="B121" s="94"/>
      <c r="C121" s="96">
        <v>450</v>
      </c>
      <c r="D121" s="97">
        <v>450</v>
      </c>
      <c r="E121" s="97">
        <f>E120+C124+200</f>
        <v>416.56</v>
      </c>
      <c r="F121" s="708">
        <v>465</v>
      </c>
      <c r="G121" s="708">
        <f>G120+0.25*E120+200</f>
        <v>495.75</v>
      </c>
      <c r="H121" s="708">
        <f>H120+0.25*F120+200</f>
        <v>495.75</v>
      </c>
      <c r="I121" s="708">
        <f>I120+0.25*G120+200</f>
        <v>502.5</v>
      </c>
      <c r="J121" s="708">
        <f>J120+0.25*H120+200</f>
        <v>562.5</v>
      </c>
      <c r="K121" s="708">
        <f t="shared" ref="K121:L121" si="7">K120+0.25*I120+200</f>
        <v>562.5</v>
      </c>
      <c r="L121" s="708">
        <f t="shared" si="7"/>
        <v>577.5</v>
      </c>
    </row>
    <row r="122" spans="1:15" ht="14.5" x14ac:dyDescent="0.35">
      <c r="A122" s="93" t="s">
        <v>19</v>
      </c>
      <c r="B122" s="94"/>
      <c r="C122" s="96"/>
      <c r="D122" s="97"/>
      <c r="E122" s="98" t="s">
        <v>167</v>
      </c>
      <c r="F122" s="99"/>
      <c r="G122" s="99"/>
      <c r="H122" s="99"/>
      <c r="I122" s="99"/>
      <c r="J122" s="99"/>
      <c r="K122" s="99"/>
      <c r="L122" s="100"/>
    </row>
    <row r="123" spans="1:15" x14ac:dyDescent="0.25">
      <c r="A123" s="93" t="s">
        <v>20</v>
      </c>
      <c r="B123" s="94"/>
      <c r="C123" s="97">
        <v>448.44</v>
      </c>
      <c r="D123" s="97">
        <v>385.14</v>
      </c>
      <c r="E123" s="97">
        <v>216.09</v>
      </c>
      <c r="F123" s="708">
        <v>326.05</v>
      </c>
      <c r="G123" s="708">
        <v>200.65</v>
      </c>
      <c r="H123" s="708">
        <v>214.33</v>
      </c>
      <c r="I123" s="708">
        <v>380.65</v>
      </c>
      <c r="J123" s="708">
        <v>324.64999999999998</v>
      </c>
      <c r="K123" s="708">
        <v>356.29</v>
      </c>
      <c r="L123" s="709"/>
    </row>
    <row r="124" spans="1:15" x14ac:dyDescent="0.25">
      <c r="A124" s="93" t="s">
        <v>21</v>
      </c>
      <c r="B124" s="94"/>
      <c r="C124" s="97">
        <f t="shared" ref="C124:K124" si="8">C121-C123</f>
        <v>1.5600000000000023</v>
      </c>
      <c r="D124" s="97">
        <f t="shared" si="8"/>
        <v>64.860000000000014</v>
      </c>
      <c r="E124" s="97">
        <f t="shared" si="8"/>
        <v>200.47</v>
      </c>
      <c r="F124" s="708">
        <f t="shared" si="8"/>
        <v>138.94999999999999</v>
      </c>
      <c r="G124" s="708">
        <f t="shared" si="8"/>
        <v>295.10000000000002</v>
      </c>
      <c r="H124" s="708">
        <f t="shared" si="8"/>
        <v>281.41999999999996</v>
      </c>
      <c r="I124" s="708">
        <f t="shared" si="8"/>
        <v>121.85000000000002</v>
      </c>
      <c r="J124" s="708">
        <f t="shared" si="8"/>
        <v>237.85000000000002</v>
      </c>
      <c r="K124" s="708">
        <f t="shared" si="8"/>
        <v>206.20999999999998</v>
      </c>
      <c r="L124" s="708"/>
    </row>
    <row r="125" spans="1:15" x14ac:dyDescent="0.25">
      <c r="A125" s="102" t="s">
        <v>22</v>
      </c>
      <c r="B125" s="103"/>
      <c r="C125" s="104">
        <v>2019</v>
      </c>
      <c r="D125" s="103">
        <v>2020</v>
      </c>
      <c r="E125" s="103">
        <v>2021</v>
      </c>
      <c r="F125" s="710">
        <v>2022</v>
      </c>
      <c r="G125" s="710">
        <v>2023</v>
      </c>
      <c r="H125" s="710">
        <v>2024</v>
      </c>
      <c r="I125" s="710">
        <v>2025</v>
      </c>
      <c r="J125" s="710">
        <v>2026</v>
      </c>
      <c r="K125" s="710">
        <v>2027</v>
      </c>
      <c r="L125" s="708"/>
    </row>
    <row r="126" spans="1:15" x14ac:dyDescent="0.25">
      <c r="A126" s="105" t="s">
        <v>206</v>
      </c>
      <c r="B126" s="106"/>
      <c r="C126" s="106"/>
      <c r="D126" s="106"/>
      <c r="E126" s="106"/>
      <c r="F126" s="106"/>
      <c r="G126" s="712"/>
      <c r="H126" s="712"/>
      <c r="I126" s="713"/>
      <c r="J126" s="713"/>
      <c r="K126" s="713"/>
      <c r="L126" s="710"/>
    </row>
    <row r="127" spans="1:15" ht="13" x14ac:dyDescent="0.3">
      <c r="A127" s="109" t="s">
        <v>370</v>
      </c>
      <c r="B127" s="110"/>
      <c r="C127" s="110"/>
      <c r="D127" s="110"/>
      <c r="E127" s="110"/>
      <c r="F127" s="110"/>
      <c r="G127" s="697"/>
      <c r="H127" s="697"/>
      <c r="I127" s="697"/>
      <c r="J127" s="697"/>
      <c r="K127" s="697"/>
      <c r="L127" s="704"/>
    </row>
    <row r="128" spans="1:15" ht="13" x14ac:dyDescent="0.3">
      <c r="A128" s="111" t="s">
        <v>250</v>
      </c>
      <c r="B128" s="112"/>
      <c r="C128" s="112"/>
      <c r="D128" s="113"/>
      <c r="E128" s="113"/>
      <c r="F128" s="714"/>
      <c r="L128" s="684"/>
    </row>
    <row r="129" spans="1:15" ht="13" x14ac:dyDescent="0.3">
      <c r="A129" s="111" t="s">
        <v>568</v>
      </c>
      <c r="B129" s="112"/>
      <c r="C129" s="112"/>
      <c r="D129" s="113"/>
      <c r="E129" s="113"/>
      <c r="F129" s="714"/>
      <c r="L129" s="684"/>
    </row>
    <row r="130" spans="1:15" ht="13" x14ac:dyDescent="0.3">
      <c r="A130" s="111" t="s">
        <v>412</v>
      </c>
      <c r="B130" s="112"/>
      <c r="C130" s="112"/>
      <c r="D130" s="113"/>
      <c r="E130" s="113"/>
      <c r="F130" s="714"/>
      <c r="L130" s="684"/>
    </row>
    <row r="131" spans="1:15" ht="13" x14ac:dyDescent="0.3">
      <c r="A131" s="114" t="s">
        <v>573</v>
      </c>
      <c r="B131" s="112"/>
      <c r="C131" s="112"/>
      <c r="D131" s="113"/>
      <c r="E131" s="113"/>
      <c r="F131" s="714"/>
      <c r="L131" s="684"/>
    </row>
    <row r="132" spans="1:15" ht="13" x14ac:dyDescent="0.3">
      <c r="A132" s="115" t="s">
        <v>1128</v>
      </c>
      <c r="B132" s="112"/>
      <c r="C132" s="112"/>
      <c r="D132" s="113"/>
      <c r="E132" s="113"/>
      <c r="F132" s="714"/>
      <c r="L132" s="684"/>
    </row>
    <row r="133" spans="1:15" ht="13" x14ac:dyDescent="0.3">
      <c r="A133" s="114" t="s">
        <v>670</v>
      </c>
      <c r="B133" s="116"/>
      <c r="C133" s="116"/>
      <c r="D133" s="116"/>
      <c r="E133" s="116"/>
      <c r="F133" s="715"/>
      <c r="L133" s="684"/>
    </row>
    <row r="134" spans="1:15" ht="13" x14ac:dyDescent="0.3">
      <c r="A134" s="114" t="s">
        <v>1300</v>
      </c>
      <c r="B134" s="116"/>
      <c r="C134" s="116"/>
      <c r="D134" s="116"/>
      <c r="E134" s="116"/>
      <c r="F134" s="715"/>
      <c r="L134" s="684"/>
    </row>
    <row r="135" spans="1:15" ht="13" x14ac:dyDescent="0.3">
      <c r="A135" s="114" t="s">
        <v>1299</v>
      </c>
      <c r="B135" s="116"/>
      <c r="C135" s="116"/>
      <c r="D135" s="116"/>
      <c r="E135" s="116"/>
      <c r="F135" s="715"/>
      <c r="L135" s="684"/>
    </row>
    <row r="136" spans="1:15" ht="13" x14ac:dyDescent="0.3">
      <c r="A136" s="117" t="s">
        <v>1298</v>
      </c>
      <c r="B136" s="118"/>
      <c r="C136" s="118"/>
      <c r="D136" s="118"/>
      <c r="E136" s="118"/>
      <c r="F136" s="278"/>
      <c r="G136" s="685"/>
      <c r="H136" s="685"/>
      <c r="I136" s="685"/>
      <c r="J136" s="685"/>
      <c r="K136" s="685"/>
      <c r="L136" s="675"/>
    </row>
    <row r="137" spans="1:15" ht="13" x14ac:dyDescent="0.3">
      <c r="A137" s="119"/>
      <c r="B137" s="13"/>
      <c r="C137" s="13"/>
      <c r="D137" s="13"/>
      <c r="E137" s="13"/>
      <c r="F137" s="657"/>
    </row>
    <row r="138" spans="1:15" s="73" customFormat="1" ht="13" x14ac:dyDescent="0.3">
      <c r="A138" s="120"/>
      <c r="B138" s="121"/>
      <c r="C138" s="121"/>
      <c r="D138" s="121"/>
      <c r="E138" s="121"/>
      <c r="F138" s="716"/>
      <c r="G138" s="685"/>
      <c r="H138" s="685"/>
      <c r="I138" s="685"/>
      <c r="J138" s="685"/>
      <c r="K138" s="685"/>
      <c r="L138" s="685"/>
      <c r="M138" s="685"/>
      <c r="N138" s="685"/>
      <c r="O138" s="685"/>
    </row>
    <row r="140" spans="1:15" x14ac:dyDescent="0.25">
      <c r="A140" s="91" t="s">
        <v>14</v>
      </c>
      <c r="B140" s="11" t="s">
        <v>638</v>
      </c>
      <c r="C140" s="92" t="s">
        <v>15</v>
      </c>
      <c r="D140" s="13"/>
      <c r="E140" s="13"/>
      <c r="F140" s="657"/>
    </row>
    <row r="141" spans="1:15" x14ac:dyDescent="0.25">
      <c r="A141" s="122" t="s">
        <v>16</v>
      </c>
      <c r="B141" s="94"/>
      <c r="C141" s="92">
        <v>2017</v>
      </c>
      <c r="D141" s="92">
        <v>2018</v>
      </c>
      <c r="E141" s="92">
        <v>2019</v>
      </c>
      <c r="F141" s="705">
        <v>2020</v>
      </c>
      <c r="G141" s="705">
        <v>2021</v>
      </c>
      <c r="H141" s="705">
        <v>2022</v>
      </c>
      <c r="I141" s="705">
        <v>2023</v>
      </c>
      <c r="J141" s="705">
        <v>2024</v>
      </c>
      <c r="K141" s="705">
        <v>2025</v>
      </c>
      <c r="L141" s="705">
        <v>2026</v>
      </c>
      <c r="M141" s="705">
        <v>2027</v>
      </c>
    </row>
    <row r="142" spans="1:15" x14ac:dyDescent="0.25">
      <c r="A142" s="122" t="s">
        <v>17</v>
      </c>
      <c r="B142" s="94"/>
      <c r="C142" s="97">
        <v>250</v>
      </c>
      <c r="D142" s="97">
        <v>250</v>
      </c>
      <c r="E142" s="97">
        <v>250</v>
      </c>
      <c r="F142" s="708">
        <v>250</v>
      </c>
      <c r="G142" s="708">
        <v>250</v>
      </c>
      <c r="H142" s="708">
        <v>250</v>
      </c>
      <c r="I142" s="708">
        <v>300</v>
      </c>
      <c r="J142" s="708">
        <v>300</v>
      </c>
      <c r="K142" s="708">
        <v>300</v>
      </c>
      <c r="L142" s="708">
        <v>300</v>
      </c>
      <c r="M142" s="708">
        <v>300</v>
      </c>
    </row>
    <row r="143" spans="1:15" x14ac:dyDescent="0.25">
      <c r="A143" s="122" t="s">
        <v>18</v>
      </c>
      <c r="B143" s="94"/>
      <c r="C143" s="97">
        <v>312.5</v>
      </c>
      <c r="D143" s="97">
        <v>312.5</v>
      </c>
      <c r="E143" s="97">
        <v>312.5</v>
      </c>
      <c r="F143" s="708">
        <f>F142+D146</f>
        <v>251.98000000000002</v>
      </c>
      <c r="G143" s="708">
        <f>G142+0.25*E142</f>
        <v>312.5</v>
      </c>
      <c r="H143" s="708">
        <f>H142+0.25*F142</f>
        <v>312.5</v>
      </c>
      <c r="I143" s="708">
        <f>I142+0.25*G142</f>
        <v>362.5</v>
      </c>
      <c r="J143" s="708">
        <f>J142+3.72</f>
        <v>303.72000000000003</v>
      </c>
      <c r="K143" s="708">
        <f>K142+0.25*I142</f>
        <v>375</v>
      </c>
      <c r="L143" s="708">
        <f>L142+0.25*J142</f>
        <v>375</v>
      </c>
      <c r="M143" s="708">
        <f>M142+0.25*K142</f>
        <v>375</v>
      </c>
    </row>
    <row r="144" spans="1:15" ht="15" customHeight="1" x14ac:dyDescent="0.25">
      <c r="A144" s="122" t="s">
        <v>19</v>
      </c>
      <c r="B144" s="94"/>
      <c r="C144" s="98" t="s">
        <v>671</v>
      </c>
      <c r="D144" s="99"/>
      <c r="E144" s="99"/>
      <c r="F144" s="99"/>
      <c r="G144" s="99"/>
      <c r="H144" s="99"/>
      <c r="I144" s="99"/>
      <c r="J144" s="99"/>
      <c r="K144" s="123"/>
      <c r="L144" s="717"/>
      <c r="M144" s="717"/>
    </row>
    <row r="145" spans="1:15" x14ac:dyDescent="0.25">
      <c r="A145" s="122" t="s">
        <v>20</v>
      </c>
      <c r="B145" s="94"/>
      <c r="C145" s="124">
        <v>219.03</v>
      </c>
      <c r="D145" s="124">
        <v>310.52</v>
      </c>
      <c r="E145" s="124">
        <v>158.13999999999999</v>
      </c>
      <c r="F145" s="718">
        <v>162.13</v>
      </c>
      <c r="G145" s="718">
        <v>30.84</v>
      </c>
      <c r="H145" s="718">
        <v>12.74</v>
      </c>
      <c r="I145" s="718">
        <v>0</v>
      </c>
      <c r="J145" s="718">
        <v>1</v>
      </c>
      <c r="K145" s="719">
        <v>3.87</v>
      </c>
      <c r="L145" s="709"/>
      <c r="M145" s="709"/>
    </row>
    <row r="146" spans="1:15" x14ac:dyDescent="0.25">
      <c r="A146" s="122" t="s">
        <v>21</v>
      </c>
      <c r="B146" s="94"/>
      <c r="C146" s="97">
        <f t="shared" ref="C146:M146" si="9">C143-C145</f>
        <v>93.47</v>
      </c>
      <c r="D146" s="97">
        <f t="shared" si="9"/>
        <v>1.9800000000000182</v>
      </c>
      <c r="E146" s="97">
        <f t="shared" si="9"/>
        <v>154.36000000000001</v>
      </c>
      <c r="F146" s="708">
        <f t="shared" si="9"/>
        <v>89.850000000000023</v>
      </c>
      <c r="G146" s="708">
        <f t="shared" si="9"/>
        <v>281.66000000000003</v>
      </c>
      <c r="H146" s="708">
        <f t="shared" si="9"/>
        <v>299.76</v>
      </c>
      <c r="I146" s="708">
        <f>I143-I145</f>
        <v>362.5</v>
      </c>
      <c r="J146" s="708">
        <f t="shared" si="9"/>
        <v>302.72000000000003</v>
      </c>
      <c r="K146" s="708">
        <f t="shared" si="9"/>
        <v>371.13</v>
      </c>
      <c r="L146" s="708">
        <f t="shared" si="9"/>
        <v>375</v>
      </c>
      <c r="M146" s="708">
        <f t="shared" si="9"/>
        <v>375</v>
      </c>
    </row>
    <row r="147" spans="1:15" x14ac:dyDescent="0.25">
      <c r="A147" s="125" t="s">
        <v>22</v>
      </c>
      <c r="B147" s="20"/>
      <c r="C147" s="20">
        <v>2019</v>
      </c>
      <c r="D147" s="20">
        <v>2020</v>
      </c>
      <c r="E147" s="20">
        <v>2021</v>
      </c>
      <c r="F147" s="659">
        <v>2022</v>
      </c>
      <c r="G147" s="659">
        <v>2023</v>
      </c>
      <c r="H147" s="659">
        <v>2024</v>
      </c>
      <c r="I147" s="659">
        <v>2025</v>
      </c>
      <c r="J147" s="659">
        <v>2026</v>
      </c>
      <c r="K147" s="659">
        <v>2027</v>
      </c>
      <c r="L147" s="703">
        <v>2028</v>
      </c>
      <c r="M147" s="703">
        <v>2029</v>
      </c>
    </row>
    <row r="148" spans="1:15" x14ac:dyDescent="0.25">
      <c r="A148" s="126" t="s">
        <v>207</v>
      </c>
      <c r="B148" s="127"/>
      <c r="C148" s="127"/>
      <c r="D148" s="127"/>
      <c r="E148" s="127"/>
      <c r="F148" s="720"/>
      <c r="G148" s="669"/>
      <c r="H148" s="669"/>
      <c r="I148" s="669"/>
      <c r="J148" s="669"/>
      <c r="K148" s="669"/>
      <c r="L148" s="669"/>
      <c r="M148" s="672"/>
    </row>
    <row r="149" spans="1:15" x14ac:dyDescent="0.25">
      <c r="A149" s="128" t="s">
        <v>252</v>
      </c>
      <c r="B149" s="13"/>
      <c r="C149" s="13"/>
      <c r="D149" s="13"/>
      <c r="E149" s="13"/>
      <c r="F149" s="657"/>
      <c r="M149" s="684"/>
    </row>
    <row r="150" spans="1:15" x14ac:dyDescent="0.25">
      <c r="A150" s="128" t="s">
        <v>413</v>
      </c>
      <c r="B150" s="13"/>
      <c r="C150" s="13"/>
      <c r="D150" s="13"/>
      <c r="E150" s="13"/>
      <c r="F150" s="657"/>
      <c r="M150" s="684"/>
    </row>
    <row r="151" spans="1:15" x14ac:dyDescent="0.25">
      <c r="A151" s="64" t="s">
        <v>574</v>
      </c>
      <c r="B151" s="13"/>
      <c r="C151" s="13"/>
      <c r="D151" s="13"/>
      <c r="E151" s="13"/>
      <c r="F151" s="657"/>
      <c r="M151" s="684"/>
    </row>
    <row r="152" spans="1:15" x14ac:dyDescent="0.25">
      <c r="A152" s="64" t="s">
        <v>764</v>
      </c>
      <c r="B152" s="13"/>
      <c r="C152" s="13"/>
      <c r="D152" s="13"/>
      <c r="E152" s="13"/>
      <c r="F152" s="657"/>
      <c r="M152" s="684"/>
    </row>
    <row r="153" spans="1:15" x14ac:dyDescent="0.25">
      <c r="A153" s="64" t="s">
        <v>918</v>
      </c>
      <c r="B153" s="13"/>
      <c r="C153" s="13"/>
      <c r="D153" s="13"/>
      <c r="E153" s="13"/>
      <c r="F153" s="657"/>
      <c r="M153" s="684"/>
    </row>
    <row r="154" spans="1:15" x14ac:dyDescent="0.25">
      <c r="A154" s="64" t="s">
        <v>980</v>
      </c>
      <c r="B154" s="13"/>
      <c r="C154" s="13"/>
      <c r="D154" s="13"/>
      <c r="E154" s="13"/>
      <c r="F154" s="657"/>
      <c r="M154" s="684"/>
    </row>
    <row r="155" spans="1:15" x14ac:dyDescent="0.25">
      <c r="A155" s="64" t="s">
        <v>1223</v>
      </c>
      <c r="B155" s="13"/>
      <c r="C155" s="13"/>
      <c r="D155" s="13"/>
      <c r="E155" s="13"/>
      <c r="F155" s="657"/>
      <c r="M155" s="684"/>
    </row>
    <row r="156" spans="1:15" x14ac:dyDescent="0.25">
      <c r="A156" s="64" t="s">
        <v>1223</v>
      </c>
      <c r="B156" s="13"/>
      <c r="C156" s="13"/>
      <c r="D156" s="13"/>
      <c r="E156" s="13"/>
      <c r="F156" s="657"/>
      <c r="M156" s="684"/>
    </row>
    <row r="157" spans="1:15" s="65" customFormat="1" ht="12.75" customHeight="1" x14ac:dyDescent="0.25">
      <c r="A157" s="69" t="s">
        <v>1301</v>
      </c>
      <c r="B157" s="129"/>
      <c r="C157" s="129"/>
      <c r="D157" s="129"/>
      <c r="E157" s="129"/>
      <c r="F157" s="716"/>
      <c r="G157" s="685"/>
      <c r="H157" s="685"/>
      <c r="I157" s="685"/>
      <c r="J157" s="685"/>
      <c r="K157" s="685"/>
      <c r="L157" s="685"/>
      <c r="M157" s="675"/>
      <c r="N157" s="68"/>
      <c r="O157" s="68"/>
    </row>
    <row r="159" spans="1:15" x14ac:dyDescent="0.25">
      <c r="A159" s="91" t="s">
        <v>14</v>
      </c>
      <c r="B159" s="11" t="s">
        <v>623</v>
      </c>
      <c r="C159" s="92" t="s">
        <v>15</v>
      </c>
      <c r="D159" s="13"/>
      <c r="E159" s="13"/>
      <c r="F159" s="657"/>
    </row>
    <row r="160" spans="1:15" x14ac:dyDescent="0.25">
      <c r="A160" s="122" t="s">
        <v>16</v>
      </c>
      <c r="B160" s="94"/>
      <c r="C160" s="92">
        <v>2017</v>
      </c>
      <c r="D160" s="92">
        <v>2018</v>
      </c>
      <c r="E160" s="92">
        <v>2019</v>
      </c>
      <c r="F160" s="705">
        <v>2020</v>
      </c>
      <c r="G160" s="705">
        <v>2021</v>
      </c>
      <c r="H160" s="705">
        <v>2022</v>
      </c>
      <c r="I160" s="705">
        <v>2023</v>
      </c>
      <c r="J160" s="705">
        <v>2024</v>
      </c>
      <c r="K160" s="705">
        <v>2025</v>
      </c>
      <c r="L160" s="705">
        <v>2026</v>
      </c>
    </row>
    <row r="161" spans="1:12" x14ac:dyDescent="0.25">
      <c r="A161" s="122" t="s">
        <v>17</v>
      </c>
      <c r="B161" s="94"/>
      <c r="C161" s="97">
        <v>130</v>
      </c>
      <c r="D161" s="97">
        <v>130</v>
      </c>
      <c r="E161" s="97">
        <v>130</v>
      </c>
      <c r="F161" s="708">
        <v>130</v>
      </c>
      <c r="G161" s="708">
        <v>130</v>
      </c>
      <c r="H161" s="708">
        <v>130</v>
      </c>
      <c r="I161" s="708">
        <v>130</v>
      </c>
      <c r="J161" s="708">
        <v>130</v>
      </c>
      <c r="K161" s="708">
        <v>130</v>
      </c>
      <c r="L161" s="708">
        <v>130</v>
      </c>
    </row>
    <row r="162" spans="1:12" x14ac:dyDescent="0.25">
      <c r="A162" s="122" t="s">
        <v>18</v>
      </c>
      <c r="B162" s="94"/>
      <c r="C162" s="97">
        <v>257</v>
      </c>
      <c r="D162" s="97">
        <v>257</v>
      </c>
      <c r="E162" s="97">
        <f>E161*1.4+75</f>
        <v>257</v>
      </c>
      <c r="F162" s="708">
        <f>F161*1.4+75</f>
        <v>257</v>
      </c>
      <c r="G162" s="708">
        <f t="shared" ref="G162:J162" si="10">G161+0.4*E161+75</f>
        <v>257</v>
      </c>
      <c r="H162" s="708">
        <f t="shared" si="10"/>
        <v>257</v>
      </c>
      <c r="I162" s="708">
        <f t="shared" si="10"/>
        <v>257</v>
      </c>
      <c r="J162" s="708">
        <f t="shared" si="10"/>
        <v>257</v>
      </c>
      <c r="K162" s="708">
        <f>K161+0.4*I161+75</f>
        <v>257</v>
      </c>
      <c r="L162" s="708">
        <f>L161+0.4*J161+75</f>
        <v>257</v>
      </c>
    </row>
    <row r="163" spans="1:12" ht="14.5" customHeight="1" x14ac:dyDescent="0.35">
      <c r="A163" s="122" t="s">
        <v>19</v>
      </c>
      <c r="B163" s="94"/>
      <c r="C163" s="98" t="s">
        <v>167</v>
      </c>
      <c r="D163" s="99"/>
      <c r="E163" s="99"/>
      <c r="F163" s="99"/>
      <c r="G163" s="99"/>
      <c r="H163" s="99"/>
      <c r="I163" s="99"/>
      <c r="J163" s="99"/>
      <c r="K163" s="99"/>
      <c r="L163" s="100"/>
    </row>
    <row r="164" spans="1:12" x14ac:dyDescent="0.25">
      <c r="A164" s="122" t="s">
        <v>20</v>
      </c>
      <c r="B164" s="94"/>
      <c r="C164" s="97">
        <v>59.08</v>
      </c>
      <c r="D164" s="97">
        <v>145.32</v>
      </c>
      <c r="E164" s="97">
        <v>116.8</v>
      </c>
      <c r="F164" s="708">
        <v>110.73</v>
      </c>
      <c r="G164" s="708">
        <v>94</v>
      </c>
      <c r="H164" s="708">
        <v>69.739999999999995</v>
      </c>
      <c r="I164" s="708">
        <v>76.75</v>
      </c>
      <c r="J164" s="708">
        <v>75.09</v>
      </c>
      <c r="K164" s="708">
        <v>26.99</v>
      </c>
      <c r="L164" s="708"/>
    </row>
    <row r="165" spans="1:12" x14ac:dyDescent="0.25">
      <c r="A165" s="122" t="s">
        <v>21</v>
      </c>
      <c r="B165" s="94"/>
      <c r="C165" s="97">
        <f t="shared" ref="C165:L165" si="11">C162-C164</f>
        <v>197.92000000000002</v>
      </c>
      <c r="D165" s="97">
        <f t="shared" si="11"/>
        <v>111.68</v>
      </c>
      <c r="E165" s="97">
        <f t="shared" si="11"/>
        <v>140.19999999999999</v>
      </c>
      <c r="F165" s="708">
        <f t="shared" si="11"/>
        <v>146.26999999999998</v>
      </c>
      <c r="G165" s="708">
        <f t="shared" si="11"/>
        <v>163</v>
      </c>
      <c r="H165" s="708">
        <f t="shared" si="11"/>
        <v>187.26</v>
      </c>
      <c r="I165" s="708">
        <f t="shared" si="11"/>
        <v>180.25</v>
      </c>
      <c r="J165" s="708">
        <f t="shared" si="11"/>
        <v>181.91</v>
      </c>
      <c r="K165" s="708">
        <f t="shared" si="11"/>
        <v>230.01</v>
      </c>
      <c r="L165" s="708">
        <f t="shared" si="11"/>
        <v>257</v>
      </c>
    </row>
    <row r="166" spans="1:12" x14ac:dyDescent="0.25">
      <c r="A166" s="125" t="s">
        <v>22</v>
      </c>
      <c r="B166" s="20"/>
      <c r="C166" s="20">
        <v>2019</v>
      </c>
      <c r="D166" s="20">
        <v>2020</v>
      </c>
      <c r="E166" s="20">
        <v>2021</v>
      </c>
      <c r="F166" s="659">
        <v>2022</v>
      </c>
      <c r="G166" s="659">
        <v>2023</v>
      </c>
      <c r="H166" s="659">
        <v>2024</v>
      </c>
      <c r="I166" s="659">
        <v>2025</v>
      </c>
      <c r="J166" s="659">
        <v>2026</v>
      </c>
      <c r="K166" s="659">
        <v>2027</v>
      </c>
      <c r="L166" s="659">
        <v>2028</v>
      </c>
    </row>
    <row r="167" spans="1:12" x14ac:dyDescent="0.25">
      <c r="A167" s="130" t="s">
        <v>253</v>
      </c>
      <c r="B167" s="131"/>
      <c r="C167" s="131"/>
      <c r="D167" s="131"/>
      <c r="E167" s="131"/>
      <c r="F167" s="721"/>
      <c r="G167" s="721"/>
      <c r="H167" s="697"/>
      <c r="I167" s="697"/>
      <c r="J167" s="697"/>
      <c r="K167" s="697"/>
      <c r="L167" s="704"/>
    </row>
    <row r="168" spans="1:12" x14ac:dyDescent="0.25">
      <c r="A168" s="128" t="s">
        <v>208</v>
      </c>
      <c r="B168" s="13"/>
      <c r="C168" s="13"/>
      <c r="D168" s="13"/>
      <c r="E168" s="13"/>
      <c r="F168" s="657"/>
      <c r="G168" s="657"/>
      <c r="L168" s="684"/>
    </row>
    <row r="169" spans="1:12" x14ac:dyDescent="0.25">
      <c r="A169" s="128" t="s">
        <v>254</v>
      </c>
      <c r="B169" s="13"/>
      <c r="C169" s="13"/>
      <c r="D169" s="13"/>
      <c r="E169" s="13"/>
      <c r="F169" s="657"/>
      <c r="G169" s="657"/>
      <c r="L169" s="684"/>
    </row>
    <row r="170" spans="1:12" x14ac:dyDescent="0.25">
      <c r="A170" s="128" t="s">
        <v>414</v>
      </c>
      <c r="B170" s="13"/>
      <c r="C170" s="13"/>
      <c r="D170" s="13"/>
      <c r="E170" s="13"/>
      <c r="F170" s="657"/>
      <c r="G170" s="657"/>
      <c r="L170" s="684"/>
    </row>
    <row r="171" spans="1:12" x14ac:dyDescent="0.25">
      <c r="A171" s="128" t="s">
        <v>575</v>
      </c>
      <c r="B171" s="13"/>
      <c r="C171" s="13"/>
      <c r="D171" s="13"/>
      <c r="E171" s="13"/>
      <c r="F171" s="657"/>
      <c r="G171" s="657"/>
      <c r="L171" s="684"/>
    </row>
    <row r="172" spans="1:12" x14ac:dyDescent="0.25">
      <c r="A172" s="128" t="s">
        <v>765</v>
      </c>
      <c r="B172" s="13"/>
      <c r="C172" s="13"/>
      <c r="D172" s="13"/>
      <c r="E172" s="13"/>
      <c r="F172" s="657"/>
      <c r="G172" s="657"/>
      <c r="L172" s="684"/>
    </row>
    <row r="173" spans="1:12" x14ac:dyDescent="0.25">
      <c r="A173" s="128" t="s">
        <v>766</v>
      </c>
      <c r="B173" s="13"/>
      <c r="C173" s="13"/>
      <c r="D173" s="13"/>
      <c r="E173" s="13"/>
      <c r="F173" s="657"/>
      <c r="G173" s="657"/>
      <c r="L173" s="684"/>
    </row>
    <row r="174" spans="1:12" x14ac:dyDescent="0.25">
      <c r="A174" s="128" t="s">
        <v>981</v>
      </c>
      <c r="B174" s="13"/>
      <c r="C174" s="13"/>
      <c r="D174" s="13"/>
      <c r="E174" s="13"/>
      <c r="F174" s="657"/>
      <c r="G174" s="657"/>
      <c r="L174" s="684"/>
    </row>
    <row r="175" spans="1:12" x14ac:dyDescent="0.25">
      <c r="A175" s="128" t="s">
        <v>1302</v>
      </c>
      <c r="B175" s="13"/>
      <c r="C175" s="13"/>
      <c r="D175" s="13"/>
      <c r="E175" s="13"/>
      <c r="F175" s="657"/>
      <c r="G175" s="657"/>
      <c r="L175" s="684"/>
    </row>
    <row r="176" spans="1:12" x14ac:dyDescent="0.25">
      <c r="A176" s="132" t="s">
        <v>1303</v>
      </c>
      <c r="B176" s="121"/>
      <c r="C176" s="121"/>
      <c r="D176" s="121"/>
      <c r="E176" s="121"/>
      <c r="F176" s="716"/>
      <c r="G176" s="716"/>
      <c r="H176" s="685"/>
      <c r="I176" s="685"/>
      <c r="J176" s="685"/>
      <c r="K176" s="685"/>
      <c r="L176" s="675"/>
    </row>
    <row r="178" spans="1:12" x14ac:dyDescent="0.25">
      <c r="A178" s="91" t="s">
        <v>14</v>
      </c>
      <c r="B178" s="11" t="s">
        <v>641</v>
      </c>
      <c r="C178" s="92" t="s">
        <v>15</v>
      </c>
      <c r="D178" s="13"/>
      <c r="E178" s="13"/>
      <c r="F178" s="657"/>
    </row>
    <row r="179" spans="1:12" x14ac:dyDescent="0.25">
      <c r="A179" s="94" t="s">
        <v>16</v>
      </c>
      <c r="B179" s="94"/>
      <c r="C179" s="92">
        <v>2017</v>
      </c>
      <c r="D179" s="92">
        <v>2018</v>
      </c>
      <c r="E179" s="92">
        <v>2019</v>
      </c>
      <c r="F179" s="705">
        <v>2020</v>
      </c>
      <c r="G179" s="705">
        <v>2021</v>
      </c>
      <c r="H179" s="705">
        <v>2022</v>
      </c>
      <c r="I179" s="705">
        <v>2023</v>
      </c>
      <c r="J179" s="705">
        <v>2024</v>
      </c>
      <c r="K179" s="705">
        <v>2025</v>
      </c>
      <c r="L179" s="705">
        <v>2026</v>
      </c>
    </row>
    <row r="180" spans="1:12" x14ac:dyDescent="0.25">
      <c r="A180" s="94" t="s">
        <v>17</v>
      </c>
      <c r="B180" s="94"/>
      <c r="C180" s="97">
        <v>125</v>
      </c>
      <c r="D180" s="97">
        <v>125</v>
      </c>
      <c r="E180" s="97">
        <v>125</v>
      </c>
      <c r="F180" s="708">
        <v>125</v>
      </c>
      <c r="G180" s="708">
        <v>125</v>
      </c>
      <c r="H180" s="708">
        <v>125</v>
      </c>
      <c r="I180" s="708">
        <v>125</v>
      </c>
      <c r="J180" s="708">
        <v>125</v>
      </c>
      <c r="K180" s="708">
        <v>125</v>
      </c>
      <c r="L180" s="708">
        <v>125</v>
      </c>
    </row>
    <row r="181" spans="1:12" x14ac:dyDescent="0.25">
      <c r="A181" s="94" t="s">
        <v>18</v>
      </c>
      <c r="B181" s="94"/>
      <c r="C181" s="97">
        <v>275</v>
      </c>
      <c r="D181" s="97">
        <v>287.5</v>
      </c>
      <c r="E181" s="97">
        <f>E180*1.2+25+50+50</f>
        <v>275</v>
      </c>
      <c r="F181" s="708">
        <f>F180*1.2+25+50+50</f>
        <v>275</v>
      </c>
      <c r="G181" s="708">
        <f>G180+0.2*E180+25+50+50</f>
        <v>275</v>
      </c>
      <c r="H181" s="708">
        <f>H180+0.2*F180+24.94+50+50</f>
        <v>274.94</v>
      </c>
      <c r="I181" s="708">
        <f>I180+0.1*G180+25+50+50</f>
        <v>262.5</v>
      </c>
      <c r="J181" s="708">
        <f>J180+0.1*H180+25+50+50</f>
        <v>262.5</v>
      </c>
      <c r="K181" s="708">
        <f>K180+0.1*I180+25+50+50</f>
        <v>262.5</v>
      </c>
      <c r="L181" s="708">
        <f>L180+0.1*J180</f>
        <v>137.5</v>
      </c>
    </row>
    <row r="182" spans="1:12" ht="14.5" customHeight="1" x14ac:dyDescent="0.25">
      <c r="A182" s="94" t="s">
        <v>19</v>
      </c>
      <c r="B182" s="94"/>
      <c r="C182" s="133" t="s">
        <v>167</v>
      </c>
      <c r="D182" s="96"/>
      <c r="E182" s="96"/>
      <c r="F182" s="707"/>
      <c r="G182" s="707"/>
      <c r="H182" s="707"/>
      <c r="I182" s="707"/>
      <c r="J182" s="722"/>
      <c r="K182" s="722"/>
      <c r="L182" s="722"/>
    </row>
    <row r="183" spans="1:12" x14ac:dyDescent="0.25">
      <c r="A183" s="94" t="s">
        <v>20</v>
      </c>
      <c r="B183" s="94"/>
      <c r="C183" s="97">
        <v>166.01</v>
      </c>
      <c r="D183" s="97">
        <v>115.22</v>
      </c>
      <c r="E183" s="97">
        <v>55.33</v>
      </c>
      <c r="F183" s="708">
        <v>2.12</v>
      </c>
      <c r="G183" s="708">
        <v>29.08</v>
      </c>
      <c r="H183" s="708">
        <v>0</v>
      </c>
      <c r="I183" s="708">
        <v>0</v>
      </c>
      <c r="J183" s="708">
        <v>12.23</v>
      </c>
      <c r="K183" s="708">
        <v>33.659999999999997</v>
      </c>
      <c r="L183" s="708"/>
    </row>
    <row r="184" spans="1:12" x14ac:dyDescent="0.25">
      <c r="A184" s="94" t="s">
        <v>21</v>
      </c>
      <c r="B184" s="94"/>
      <c r="C184" s="97">
        <f t="shared" ref="C184:K184" si="12">C181-C183</f>
        <v>108.99000000000001</v>
      </c>
      <c r="D184" s="97">
        <f t="shared" si="12"/>
        <v>172.28</v>
      </c>
      <c r="E184" s="97">
        <f t="shared" si="12"/>
        <v>219.67000000000002</v>
      </c>
      <c r="F184" s="708">
        <f t="shared" si="12"/>
        <v>272.88</v>
      </c>
      <c r="G184" s="708">
        <f t="shared" si="12"/>
        <v>245.92000000000002</v>
      </c>
      <c r="H184" s="708">
        <f t="shared" si="12"/>
        <v>274.94</v>
      </c>
      <c r="I184" s="708">
        <f t="shared" si="12"/>
        <v>262.5</v>
      </c>
      <c r="J184" s="708">
        <f t="shared" si="12"/>
        <v>250.27</v>
      </c>
      <c r="K184" s="708">
        <f t="shared" si="12"/>
        <v>228.84</v>
      </c>
      <c r="L184" s="708"/>
    </row>
    <row r="185" spans="1:12" x14ac:dyDescent="0.25">
      <c r="A185" s="103" t="s">
        <v>22</v>
      </c>
      <c r="B185" s="103"/>
      <c r="C185" s="103">
        <v>2019</v>
      </c>
      <c r="D185" s="103">
        <v>2020</v>
      </c>
      <c r="E185" s="103">
        <v>2021</v>
      </c>
      <c r="F185" s="710">
        <v>2022</v>
      </c>
      <c r="G185" s="710">
        <v>2023</v>
      </c>
      <c r="H185" s="710">
        <v>2024</v>
      </c>
      <c r="I185" s="710">
        <v>2025</v>
      </c>
      <c r="J185" s="710">
        <v>2026</v>
      </c>
      <c r="K185" s="710">
        <v>2027</v>
      </c>
      <c r="L185" s="710">
        <v>2028</v>
      </c>
    </row>
    <row r="186" spans="1:12" x14ac:dyDescent="0.25">
      <c r="A186" s="130" t="s">
        <v>256</v>
      </c>
      <c r="B186" s="131"/>
      <c r="C186" s="131"/>
      <c r="D186" s="131"/>
      <c r="E186" s="131"/>
      <c r="F186" s="721"/>
      <c r="G186" s="697"/>
      <c r="H186" s="697"/>
      <c r="I186" s="697"/>
      <c r="J186" s="697"/>
      <c r="K186" s="697"/>
      <c r="L186" s="704"/>
    </row>
    <row r="187" spans="1:12" x14ac:dyDescent="0.25">
      <c r="A187" s="128" t="s">
        <v>257</v>
      </c>
      <c r="B187" s="13"/>
      <c r="C187" s="13"/>
      <c r="D187" s="13"/>
      <c r="E187" s="13"/>
      <c r="F187" s="657"/>
      <c r="L187" s="684"/>
    </row>
    <row r="188" spans="1:12" x14ac:dyDescent="0.25">
      <c r="A188" s="128" t="s">
        <v>258</v>
      </c>
      <c r="B188" s="13"/>
      <c r="C188" s="13"/>
      <c r="D188" s="13"/>
      <c r="E188" s="13"/>
      <c r="F188" s="657"/>
      <c r="L188" s="684"/>
    </row>
    <row r="189" spans="1:12" x14ac:dyDescent="0.25">
      <c r="A189" s="128" t="s">
        <v>209</v>
      </c>
      <c r="B189" s="13"/>
      <c r="C189" s="13"/>
      <c r="D189" s="13"/>
      <c r="E189" s="13"/>
      <c r="F189" s="657"/>
      <c r="L189" s="684"/>
    </row>
    <row r="190" spans="1:12" x14ac:dyDescent="0.25">
      <c r="A190" s="128" t="s">
        <v>255</v>
      </c>
      <c r="B190" s="13"/>
      <c r="C190" s="13"/>
      <c r="D190" s="13"/>
      <c r="E190" s="13"/>
      <c r="F190" s="657"/>
      <c r="L190" s="684"/>
    </row>
    <row r="191" spans="1:12" x14ac:dyDescent="0.25">
      <c r="A191" s="128" t="s">
        <v>415</v>
      </c>
      <c r="B191" s="13"/>
      <c r="C191" s="13"/>
      <c r="D191" s="13"/>
      <c r="E191" s="13"/>
      <c r="F191" s="657"/>
      <c r="L191" s="684"/>
    </row>
    <row r="192" spans="1:12" x14ac:dyDescent="0.25">
      <c r="A192" s="64" t="s">
        <v>576</v>
      </c>
      <c r="B192" s="13"/>
      <c r="C192" s="13"/>
      <c r="D192" s="13"/>
      <c r="E192" s="13"/>
      <c r="F192" s="657"/>
      <c r="L192" s="684"/>
    </row>
    <row r="193" spans="1:14" x14ac:dyDescent="0.25">
      <c r="A193" s="64" t="s">
        <v>983</v>
      </c>
      <c r="B193" s="13"/>
      <c r="C193" s="13"/>
      <c r="D193" s="13"/>
      <c r="E193" s="13"/>
      <c r="F193" s="657"/>
      <c r="L193" s="684"/>
    </row>
    <row r="194" spans="1:14" x14ac:dyDescent="0.25">
      <c r="A194" s="64" t="s">
        <v>982</v>
      </c>
      <c r="B194" s="13"/>
      <c r="C194" s="13"/>
      <c r="D194" s="13"/>
      <c r="E194" s="13"/>
      <c r="F194" s="657"/>
      <c r="L194" s="684"/>
    </row>
    <row r="195" spans="1:14" x14ac:dyDescent="0.25">
      <c r="A195" s="72" t="s">
        <v>984</v>
      </c>
      <c r="B195" s="121"/>
      <c r="C195" s="121"/>
      <c r="D195" s="121"/>
      <c r="E195" s="121"/>
      <c r="F195" s="716"/>
      <c r="G195" s="685"/>
      <c r="H195" s="685"/>
      <c r="I195" s="685"/>
      <c r="J195" s="685"/>
      <c r="K195" s="685"/>
      <c r="L195" s="675"/>
    </row>
    <row r="198" spans="1:14" x14ac:dyDescent="0.25">
      <c r="A198" s="10" t="s">
        <v>12</v>
      </c>
      <c r="B198" s="11" t="s">
        <v>165</v>
      </c>
      <c r="C198" s="13"/>
      <c r="D198" s="13"/>
      <c r="E198" s="13"/>
      <c r="F198" s="657"/>
      <c r="G198" s="657"/>
    </row>
    <row r="199" spans="1:14" x14ac:dyDescent="0.25">
      <c r="A199" s="10" t="s">
        <v>14</v>
      </c>
      <c r="B199" s="11" t="s">
        <v>624</v>
      </c>
      <c r="C199" s="92" t="s">
        <v>15</v>
      </c>
      <c r="D199" s="13"/>
      <c r="E199" s="13"/>
      <c r="F199" s="657"/>
      <c r="G199" s="657"/>
    </row>
    <row r="200" spans="1:14" x14ac:dyDescent="0.25">
      <c r="A200" s="93" t="s">
        <v>16</v>
      </c>
      <c r="B200" s="92">
        <v>2014</v>
      </c>
      <c r="C200" s="92">
        <v>2015</v>
      </c>
      <c r="D200" s="95">
        <v>2016</v>
      </c>
      <c r="E200" s="92">
        <v>2017</v>
      </c>
      <c r="F200" s="655">
        <v>2018</v>
      </c>
      <c r="G200" s="655">
        <v>2019</v>
      </c>
      <c r="H200" s="655">
        <v>2020</v>
      </c>
      <c r="I200" s="655">
        <v>2021</v>
      </c>
      <c r="J200" s="655">
        <v>2022</v>
      </c>
      <c r="K200" s="655">
        <v>2023</v>
      </c>
      <c r="L200" s="655">
        <v>2024</v>
      </c>
      <c r="M200" s="655">
        <v>2025</v>
      </c>
      <c r="N200" s="655">
        <v>2026</v>
      </c>
    </row>
    <row r="201" spans="1:14" x14ac:dyDescent="0.25">
      <c r="A201" s="93" t="s">
        <v>17</v>
      </c>
      <c r="B201" s="135">
        <v>200</v>
      </c>
      <c r="C201" s="135">
        <v>200</v>
      </c>
      <c r="D201" s="135">
        <v>200</v>
      </c>
      <c r="E201" s="135">
        <v>200</v>
      </c>
      <c r="F201" s="724">
        <v>200</v>
      </c>
      <c r="G201" s="724">
        <v>215</v>
      </c>
      <c r="H201" s="724">
        <v>215</v>
      </c>
      <c r="I201" s="724">
        <v>242</v>
      </c>
      <c r="J201" s="724">
        <v>242</v>
      </c>
      <c r="K201" s="724">
        <v>242</v>
      </c>
      <c r="L201" s="724">
        <v>302</v>
      </c>
      <c r="M201" s="724">
        <v>302</v>
      </c>
      <c r="N201" s="724">
        <v>302</v>
      </c>
    </row>
    <row r="202" spans="1:14" x14ac:dyDescent="0.25">
      <c r="A202" s="93" t="s">
        <v>18</v>
      </c>
      <c r="B202" s="135">
        <v>250</v>
      </c>
      <c r="C202" s="135">
        <v>250</v>
      </c>
      <c r="D202" s="135">
        <v>250</v>
      </c>
      <c r="E202" s="135">
        <v>250</v>
      </c>
      <c r="F202" s="724">
        <v>250</v>
      </c>
      <c r="G202" s="724">
        <f>E201*0.25+G201</f>
        <v>265</v>
      </c>
      <c r="H202" s="724">
        <f t="shared" ref="H202:M202" si="13">H201+0.25*G201</f>
        <v>268.75</v>
      </c>
      <c r="I202" s="724">
        <f t="shared" si="13"/>
        <v>295.75</v>
      </c>
      <c r="J202" s="724">
        <f t="shared" si="13"/>
        <v>302.5</v>
      </c>
      <c r="K202" s="724">
        <f t="shared" si="13"/>
        <v>302.5</v>
      </c>
      <c r="L202" s="724">
        <f t="shared" si="13"/>
        <v>362.5</v>
      </c>
      <c r="M202" s="724">
        <f t="shared" si="13"/>
        <v>377.5</v>
      </c>
      <c r="N202" s="724">
        <f>N201+0.25*M201</f>
        <v>377.5</v>
      </c>
    </row>
    <row r="203" spans="1:14" x14ac:dyDescent="0.25">
      <c r="A203" s="93" t="s">
        <v>19</v>
      </c>
      <c r="B203" s="136" t="s">
        <v>316</v>
      </c>
      <c r="C203" s="136" t="s">
        <v>316</v>
      </c>
      <c r="D203" s="136" t="s">
        <v>316</v>
      </c>
      <c r="E203" s="136" t="s">
        <v>316</v>
      </c>
      <c r="F203" s="725" t="s">
        <v>316</v>
      </c>
      <c r="G203" s="725" t="s">
        <v>371</v>
      </c>
      <c r="H203" s="725" t="s">
        <v>426</v>
      </c>
      <c r="I203" s="725" t="s">
        <v>652</v>
      </c>
      <c r="J203" s="725" t="s">
        <v>653</v>
      </c>
      <c r="K203" s="725" t="s">
        <v>653</v>
      </c>
      <c r="L203" s="725" t="s">
        <v>1023</v>
      </c>
      <c r="M203" s="725" t="s">
        <v>1222</v>
      </c>
      <c r="N203" s="725" t="s">
        <v>1222</v>
      </c>
    </row>
    <row r="204" spans="1:14" x14ac:dyDescent="0.25">
      <c r="A204" s="93" t="s">
        <v>20</v>
      </c>
      <c r="B204" s="135">
        <v>0</v>
      </c>
      <c r="C204" s="135">
        <v>0</v>
      </c>
      <c r="D204" s="135">
        <v>0</v>
      </c>
      <c r="E204" s="135">
        <v>0</v>
      </c>
      <c r="F204" s="724">
        <v>0</v>
      </c>
      <c r="G204" s="724">
        <v>0</v>
      </c>
      <c r="H204" s="724">
        <v>0</v>
      </c>
      <c r="I204" s="724">
        <v>0</v>
      </c>
      <c r="J204" s="724">
        <v>0</v>
      </c>
      <c r="K204" s="724">
        <v>41</v>
      </c>
      <c r="L204" s="724">
        <v>41</v>
      </c>
      <c r="M204" s="726">
        <v>8813</v>
      </c>
      <c r="N204" s="724"/>
    </row>
    <row r="205" spans="1:14" ht="13" x14ac:dyDescent="0.3">
      <c r="A205" s="93" t="s">
        <v>21</v>
      </c>
      <c r="B205" s="135">
        <v>250</v>
      </c>
      <c r="C205" s="135">
        <v>250</v>
      </c>
      <c r="D205" s="135">
        <v>250</v>
      </c>
      <c r="E205" s="135">
        <v>250</v>
      </c>
      <c r="F205" s="724">
        <v>250</v>
      </c>
      <c r="G205" s="724">
        <f>G202</f>
        <v>265</v>
      </c>
      <c r="H205" s="724">
        <f>H202</f>
        <v>268.75</v>
      </c>
      <c r="I205" s="724">
        <f>I202</f>
        <v>295.75</v>
      </c>
      <c r="J205" s="724">
        <f>J202-J204</f>
        <v>302.5</v>
      </c>
      <c r="K205" s="724">
        <f>K202-K204</f>
        <v>261.5</v>
      </c>
      <c r="L205" s="724">
        <f>L202-L204</f>
        <v>321.5</v>
      </c>
      <c r="M205" s="727">
        <v>353.68700000000001</v>
      </c>
      <c r="N205" s="724"/>
    </row>
    <row r="206" spans="1:14" x14ac:dyDescent="0.25">
      <c r="A206" s="102" t="s">
        <v>22</v>
      </c>
      <c r="B206" s="137">
        <v>2015</v>
      </c>
      <c r="C206" s="137">
        <v>2016</v>
      </c>
      <c r="D206" s="137">
        <v>2017</v>
      </c>
      <c r="E206" s="137">
        <v>2018</v>
      </c>
      <c r="F206" s="728">
        <v>2019</v>
      </c>
      <c r="G206" s="728">
        <v>2020</v>
      </c>
      <c r="H206" s="728">
        <v>2021</v>
      </c>
      <c r="I206" s="728">
        <v>2022</v>
      </c>
      <c r="J206" s="728">
        <v>2023</v>
      </c>
      <c r="K206" s="728">
        <v>2024</v>
      </c>
      <c r="L206" s="728">
        <v>2025</v>
      </c>
      <c r="M206" s="728">
        <v>2026</v>
      </c>
      <c r="N206" s="728">
        <v>2027</v>
      </c>
    </row>
    <row r="207" spans="1:14" x14ac:dyDescent="0.25">
      <c r="A207" s="126" t="s">
        <v>1093</v>
      </c>
      <c r="B207" s="127"/>
      <c r="C207" s="127"/>
      <c r="D207" s="127"/>
      <c r="E207" s="127"/>
      <c r="F207" s="720"/>
      <c r="G207" s="720"/>
      <c r="H207" s="720"/>
      <c r="I207" s="720"/>
      <c r="J207" s="669"/>
      <c r="K207" s="669"/>
      <c r="L207" s="669"/>
      <c r="M207" s="669"/>
      <c r="N207" s="672"/>
    </row>
    <row r="208" spans="1:14" ht="13" x14ac:dyDescent="0.3">
      <c r="A208" s="120" t="s">
        <v>1094</v>
      </c>
      <c r="B208" s="73"/>
      <c r="C208" s="73"/>
      <c r="D208" s="73"/>
      <c r="E208" s="73"/>
      <c r="F208" s="685"/>
      <c r="G208" s="685"/>
      <c r="H208" s="685"/>
      <c r="I208" s="685"/>
      <c r="J208" s="685"/>
      <c r="K208" s="685"/>
      <c r="L208" s="685"/>
      <c r="M208" s="685"/>
      <c r="N208" s="675"/>
    </row>
    <row r="209" spans="1:15" ht="13" x14ac:dyDescent="0.3">
      <c r="A209" s="120"/>
      <c r="B209" s="73"/>
      <c r="C209" s="73"/>
    </row>
    <row r="210" spans="1:15" x14ac:dyDescent="0.25">
      <c r="A210" s="138" t="s">
        <v>14</v>
      </c>
      <c r="B210" s="139" t="s">
        <v>638</v>
      </c>
      <c r="C210" s="140" t="s">
        <v>15</v>
      </c>
      <c r="D210" s="13"/>
      <c r="E210" s="13"/>
      <c r="F210" s="657"/>
      <c r="G210" s="657"/>
    </row>
    <row r="211" spans="1:15" x14ac:dyDescent="0.25">
      <c r="A211" s="93" t="s">
        <v>16</v>
      </c>
      <c r="B211" s="92">
        <v>2014</v>
      </c>
      <c r="C211" s="92">
        <v>2015</v>
      </c>
      <c r="D211" s="95">
        <v>2016</v>
      </c>
      <c r="E211" s="92">
        <v>2017</v>
      </c>
      <c r="F211" s="655">
        <v>2018</v>
      </c>
      <c r="G211" s="655">
        <v>2019</v>
      </c>
      <c r="H211" s="655">
        <v>2020</v>
      </c>
      <c r="I211" s="655">
        <v>2021</v>
      </c>
      <c r="J211" s="655">
        <v>2022</v>
      </c>
      <c r="K211" s="655">
        <v>2023</v>
      </c>
      <c r="L211" s="655">
        <v>2024</v>
      </c>
      <c r="M211" s="655">
        <v>2025</v>
      </c>
      <c r="N211" s="655">
        <v>2026</v>
      </c>
      <c r="O211" s="655">
        <v>2027</v>
      </c>
    </row>
    <row r="212" spans="1:15" x14ac:dyDescent="0.25">
      <c r="A212" s="93" t="s">
        <v>17</v>
      </c>
      <c r="B212" s="141">
        <v>2160</v>
      </c>
      <c r="C212" s="141">
        <v>2160</v>
      </c>
      <c r="D212" s="141">
        <v>2160</v>
      </c>
      <c r="E212" s="141">
        <v>2160</v>
      </c>
      <c r="F212" s="730">
        <v>2160</v>
      </c>
      <c r="G212" s="730">
        <v>2160</v>
      </c>
      <c r="H212" s="730">
        <v>2160</v>
      </c>
      <c r="I212" s="730">
        <v>2160</v>
      </c>
      <c r="J212" s="730">
        <v>2160</v>
      </c>
      <c r="K212" s="730">
        <v>2600</v>
      </c>
      <c r="L212" s="730">
        <v>2600</v>
      </c>
      <c r="M212" s="730">
        <v>2600</v>
      </c>
      <c r="N212" s="730">
        <v>2600</v>
      </c>
      <c r="O212" s="730">
        <v>2600</v>
      </c>
    </row>
    <row r="213" spans="1:15" x14ac:dyDescent="0.25">
      <c r="A213" s="93" t="s">
        <v>18</v>
      </c>
      <c r="B213" s="141">
        <v>2700</v>
      </c>
      <c r="C213" s="141">
        <v>2700</v>
      </c>
      <c r="D213" s="141">
        <v>2700</v>
      </c>
      <c r="E213" s="141">
        <v>2600</v>
      </c>
      <c r="F213" s="729">
        <v>2600</v>
      </c>
      <c r="G213" s="729">
        <v>2600</v>
      </c>
      <c r="H213" s="729">
        <f>H212+0.25*G212-200</f>
        <v>2500</v>
      </c>
      <c r="I213" s="729">
        <f>I212+0.25*H212</f>
        <v>2700</v>
      </c>
      <c r="J213" s="729">
        <f>J212*(1+0.25)-259.96</f>
        <v>2440.04</v>
      </c>
      <c r="K213" s="729">
        <f>K212+0.25*I212-100</f>
        <v>3040</v>
      </c>
      <c r="L213" s="729">
        <f>L212-100</f>
        <v>2500</v>
      </c>
      <c r="M213" s="729">
        <f>M212+0.25*J212-100</f>
        <v>3040</v>
      </c>
      <c r="N213" s="729">
        <f>N212+0.25*L212-100</f>
        <v>3150</v>
      </c>
      <c r="O213" s="729"/>
    </row>
    <row r="214" spans="1:15" ht="27.65" customHeight="1" x14ac:dyDescent="0.25">
      <c r="A214" s="93" t="s">
        <v>19</v>
      </c>
      <c r="B214" s="142" t="s">
        <v>317</v>
      </c>
      <c r="C214" s="142" t="s">
        <v>317</v>
      </c>
      <c r="D214" s="142" t="s">
        <v>317</v>
      </c>
      <c r="E214" s="142" t="s">
        <v>318</v>
      </c>
      <c r="F214" s="731" t="s">
        <v>318</v>
      </c>
      <c r="G214" s="731" t="s">
        <v>318</v>
      </c>
      <c r="H214" s="731" t="s">
        <v>428</v>
      </c>
      <c r="I214" s="731" t="s">
        <v>317</v>
      </c>
      <c r="J214" s="731" t="s">
        <v>905</v>
      </c>
      <c r="K214" s="731" t="s">
        <v>820</v>
      </c>
      <c r="L214" s="731" t="s">
        <v>1020</v>
      </c>
      <c r="M214" s="731" t="s">
        <v>820</v>
      </c>
      <c r="N214" s="731" t="s">
        <v>820</v>
      </c>
      <c r="O214" s="731"/>
    </row>
    <row r="215" spans="1:15" x14ac:dyDescent="0.25">
      <c r="A215" s="93" t="s">
        <v>20</v>
      </c>
      <c r="B215" s="141">
        <v>462.36</v>
      </c>
      <c r="C215" s="141">
        <v>490.22</v>
      </c>
      <c r="D215" s="141">
        <v>657.59</v>
      </c>
      <c r="E215" s="141">
        <v>496.85</v>
      </c>
      <c r="F215" s="730">
        <v>396</v>
      </c>
      <c r="G215" s="730">
        <v>1002.664409132517</v>
      </c>
      <c r="H215" s="730">
        <v>617</v>
      </c>
      <c r="I215" s="730">
        <v>516</v>
      </c>
      <c r="J215" s="730">
        <v>543</v>
      </c>
      <c r="K215" s="730">
        <v>524</v>
      </c>
      <c r="L215" s="730">
        <v>524</v>
      </c>
      <c r="M215" s="732">
        <v>579.31700000000001</v>
      </c>
      <c r="N215" s="730"/>
      <c r="O215" s="730"/>
    </row>
    <row r="216" spans="1:15" x14ac:dyDescent="0.25">
      <c r="A216" s="93" t="s">
        <v>21</v>
      </c>
      <c r="B216" s="141">
        <f t="shared" ref="B216:G216" si="14">B213-B215</f>
        <v>2237.64</v>
      </c>
      <c r="C216" s="141">
        <f t="shared" si="14"/>
        <v>2209.7799999999997</v>
      </c>
      <c r="D216" s="141">
        <f t="shared" si="14"/>
        <v>2042.4099999999999</v>
      </c>
      <c r="E216" s="141">
        <f t="shared" si="14"/>
        <v>2103.15</v>
      </c>
      <c r="F216" s="729">
        <f t="shared" si="14"/>
        <v>2204</v>
      </c>
      <c r="G216" s="729">
        <f t="shared" si="14"/>
        <v>1597.335590867483</v>
      </c>
      <c r="H216" s="729">
        <f>H213-H215</f>
        <v>1883</v>
      </c>
      <c r="I216" s="729">
        <f>I213-I215</f>
        <v>2184</v>
      </c>
      <c r="J216" s="729">
        <f>J213-J215</f>
        <v>1897.04</v>
      </c>
      <c r="K216" s="729">
        <f>K213-K215</f>
        <v>2516</v>
      </c>
      <c r="L216" s="729">
        <f>L213-L215</f>
        <v>1976</v>
      </c>
      <c r="M216" s="706">
        <v>2460.6799999999998</v>
      </c>
      <c r="N216" s="729"/>
      <c r="O216" s="729"/>
    </row>
    <row r="217" spans="1:15" x14ac:dyDescent="0.25">
      <c r="A217" s="102" t="s">
        <v>22</v>
      </c>
      <c r="B217" s="137">
        <v>2016</v>
      </c>
      <c r="C217" s="137">
        <v>2017</v>
      </c>
      <c r="D217" s="137">
        <v>2018</v>
      </c>
      <c r="E217" s="137">
        <v>2019</v>
      </c>
      <c r="F217" s="728">
        <v>2020</v>
      </c>
      <c r="G217" s="728">
        <v>2021</v>
      </c>
      <c r="H217" s="728">
        <v>2022</v>
      </c>
      <c r="I217" s="728">
        <v>2023</v>
      </c>
      <c r="J217" s="728">
        <v>2024</v>
      </c>
      <c r="K217" s="728">
        <v>2025</v>
      </c>
      <c r="L217" s="728">
        <v>2026</v>
      </c>
      <c r="M217" s="728">
        <v>2027</v>
      </c>
      <c r="N217" s="728">
        <v>2028</v>
      </c>
      <c r="O217" s="728">
        <v>2029</v>
      </c>
    </row>
    <row r="218" spans="1:15" x14ac:dyDescent="0.25">
      <c r="A218" s="105" t="s">
        <v>790</v>
      </c>
      <c r="B218" s="106"/>
      <c r="C218" s="106"/>
      <c r="D218" s="106"/>
      <c r="E218" s="106"/>
      <c r="F218" s="106"/>
      <c r="G218" s="106"/>
      <c r="H218" s="712"/>
      <c r="I218" s="712"/>
      <c r="J218" s="712"/>
      <c r="K218" s="713"/>
      <c r="L218" s="713"/>
      <c r="M218" s="713"/>
      <c r="N218" s="713"/>
      <c r="O218" s="713"/>
    </row>
    <row r="219" spans="1:15" x14ac:dyDescent="0.25">
      <c r="A219" s="143" t="s">
        <v>319</v>
      </c>
      <c r="B219" s="144"/>
      <c r="C219" s="144"/>
      <c r="D219" s="144"/>
      <c r="E219" s="144"/>
      <c r="F219" s="733"/>
      <c r="G219" s="733"/>
      <c r="H219" s="697"/>
      <c r="I219" s="697"/>
      <c r="J219" s="697"/>
      <c r="K219" s="697"/>
      <c r="L219" s="697"/>
      <c r="M219" s="697"/>
      <c r="N219" s="729"/>
      <c r="O219" s="704"/>
    </row>
    <row r="220" spans="1:15" x14ac:dyDescent="0.25">
      <c r="A220" s="145" t="s">
        <v>1017</v>
      </c>
      <c r="B220" s="113"/>
      <c r="C220" s="113"/>
      <c r="D220" s="113"/>
      <c r="E220" s="113"/>
      <c r="F220" s="714"/>
      <c r="G220" s="714"/>
      <c r="O220" s="684"/>
    </row>
    <row r="221" spans="1:15" x14ac:dyDescent="0.25">
      <c r="A221" s="145" t="s">
        <v>427</v>
      </c>
      <c r="B221" s="113"/>
      <c r="C221" s="113"/>
      <c r="D221" s="113"/>
      <c r="E221" s="113"/>
      <c r="F221" s="714"/>
      <c r="G221" s="714"/>
      <c r="O221" s="684"/>
    </row>
    <row r="222" spans="1:15" x14ac:dyDescent="0.25">
      <c r="A222" s="145" t="s">
        <v>904</v>
      </c>
      <c r="B222" s="113"/>
      <c r="C222" s="113"/>
      <c r="D222" s="113"/>
      <c r="E222" s="113"/>
      <c r="F222" s="714"/>
      <c r="G222" s="714"/>
      <c r="O222" s="684"/>
    </row>
    <row r="223" spans="1:15" x14ac:dyDescent="0.25">
      <c r="A223" s="145" t="s">
        <v>819</v>
      </c>
      <c r="B223" s="113"/>
      <c r="C223" s="113"/>
      <c r="D223" s="113"/>
      <c r="E223" s="113"/>
      <c r="F223" s="714"/>
      <c r="G223" s="714"/>
      <c r="O223" s="684"/>
    </row>
    <row r="224" spans="1:15" x14ac:dyDescent="0.25">
      <c r="A224" s="145" t="s">
        <v>1019</v>
      </c>
      <c r="B224" s="113"/>
      <c r="C224" s="113"/>
      <c r="D224" s="113"/>
      <c r="E224" s="113"/>
      <c r="F224" s="714"/>
      <c r="G224" s="714"/>
      <c r="O224" s="684"/>
    </row>
    <row r="225" spans="1:15" x14ac:dyDescent="0.25">
      <c r="A225" s="146" t="s">
        <v>1087</v>
      </c>
      <c r="B225" s="147"/>
      <c r="C225" s="147"/>
      <c r="D225" s="147"/>
      <c r="E225" s="147"/>
      <c r="F225" s="734"/>
      <c r="G225" s="734"/>
      <c r="H225" s="685"/>
      <c r="I225" s="685"/>
      <c r="J225" s="685"/>
      <c r="K225" s="685"/>
      <c r="L225" s="685"/>
      <c r="M225" s="685"/>
      <c r="N225" s="685"/>
      <c r="O225" s="675"/>
    </row>
    <row r="226" spans="1:15" x14ac:dyDescent="0.25">
      <c r="A226" s="148"/>
      <c r="B226" s="144"/>
      <c r="C226" s="144"/>
      <c r="D226" s="144"/>
      <c r="E226" s="144"/>
      <c r="F226" s="733"/>
      <c r="G226" s="733"/>
      <c r="H226" s="697"/>
      <c r="I226" s="697"/>
      <c r="J226" s="697"/>
      <c r="K226" s="697"/>
      <c r="L226" s="697"/>
      <c r="M226" s="697"/>
      <c r="N226" s="697"/>
      <c r="O226" s="697"/>
    </row>
    <row r="227" spans="1:15" x14ac:dyDescent="0.25">
      <c r="A227" s="149" t="s">
        <v>14</v>
      </c>
      <c r="B227" s="150" t="s">
        <v>623</v>
      </c>
      <c r="C227" s="151" t="s">
        <v>15</v>
      </c>
      <c r="D227" s="13"/>
      <c r="E227" s="13"/>
      <c r="F227" s="657"/>
    </row>
    <row r="228" spans="1:15" ht="13" x14ac:dyDescent="0.3">
      <c r="A228" s="93" t="s">
        <v>16</v>
      </c>
      <c r="B228" s="92">
        <v>2014</v>
      </c>
      <c r="C228" s="92">
        <v>2015</v>
      </c>
      <c r="D228" s="95">
        <v>2016</v>
      </c>
      <c r="E228" s="92">
        <v>2017</v>
      </c>
      <c r="F228" s="655">
        <v>2018</v>
      </c>
      <c r="G228" s="655">
        <v>2019</v>
      </c>
      <c r="H228" s="655">
        <v>2020</v>
      </c>
      <c r="I228" s="655">
        <v>2021</v>
      </c>
      <c r="J228" s="655">
        <v>2022</v>
      </c>
      <c r="K228" s="655">
        <v>2023</v>
      </c>
      <c r="L228" s="655">
        <v>2024</v>
      </c>
      <c r="M228" s="735">
        <v>2025</v>
      </c>
      <c r="N228" s="735">
        <v>2026</v>
      </c>
      <c r="O228" s="735">
        <v>2027</v>
      </c>
    </row>
    <row r="229" spans="1:15" ht="13" x14ac:dyDescent="0.3">
      <c r="A229" s="93" t="s">
        <v>17</v>
      </c>
      <c r="B229" s="135">
        <v>50</v>
      </c>
      <c r="C229" s="135">
        <v>50</v>
      </c>
      <c r="D229" s="135">
        <v>50</v>
      </c>
      <c r="E229" s="135">
        <v>50</v>
      </c>
      <c r="F229" s="723">
        <v>50</v>
      </c>
      <c r="G229" s="723">
        <v>50</v>
      </c>
      <c r="H229" s="723">
        <v>50</v>
      </c>
      <c r="I229" s="723">
        <v>50</v>
      </c>
      <c r="J229" s="723">
        <v>50</v>
      </c>
      <c r="K229" s="723">
        <v>50</v>
      </c>
      <c r="L229" s="723">
        <v>50</v>
      </c>
      <c r="M229" s="736">
        <v>50</v>
      </c>
      <c r="N229" s="736">
        <v>50</v>
      </c>
      <c r="O229" s="736">
        <v>50</v>
      </c>
    </row>
    <row r="230" spans="1:15" ht="13" x14ac:dyDescent="0.3">
      <c r="A230" s="93" t="s">
        <v>18</v>
      </c>
      <c r="B230" s="135">
        <v>75</v>
      </c>
      <c r="C230" s="135">
        <v>50</v>
      </c>
      <c r="D230" s="135">
        <v>50</v>
      </c>
      <c r="E230" s="135">
        <f>E229*1.5-25</f>
        <v>50</v>
      </c>
      <c r="F230" s="723">
        <f>F229*1.4-25</f>
        <v>45</v>
      </c>
      <c r="G230" s="723">
        <f>G229*1.4-25</f>
        <v>45</v>
      </c>
      <c r="H230" s="723">
        <f>H229*1.4-25</f>
        <v>45</v>
      </c>
      <c r="I230" s="723">
        <f>I229*1.4-25</f>
        <v>45</v>
      </c>
      <c r="J230" s="723">
        <f>J229*1.4-25</f>
        <v>45</v>
      </c>
      <c r="K230" s="723">
        <f>50+0.4*50-25</f>
        <v>45</v>
      </c>
      <c r="L230" s="723">
        <f>50+0.4*50-25</f>
        <v>45</v>
      </c>
      <c r="M230" s="736">
        <f>(M229)+(0.4*50)</f>
        <v>70</v>
      </c>
      <c r="N230" s="736">
        <f>(N229)+(0.4*50)</f>
        <v>70</v>
      </c>
      <c r="O230" s="736">
        <f>(O229)+(0.4*50)</f>
        <v>70</v>
      </c>
    </row>
    <row r="231" spans="1:15" ht="13" x14ac:dyDescent="0.3">
      <c r="A231" s="93" t="s">
        <v>19</v>
      </c>
      <c r="B231" s="135" t="s">
        <v>320</v>
      </c>
      <c r="C231" s="135" t="s">
        <v>321</v>
      </c>
      <c r="D231" s="135" t="s">
        <v>321</v>
      </c>
      <c r="E231" s="135" t="s">
        <v>321</v>
      </c>
      <c r="F231" s="723" t="s">
        <v>322</v>
      </c>
      <c r="G231" s="723" t="s">
        <v>322</v>
      </c>
      <c r="H231" s="723" t="s">
        <v>322</v>
      </c>
      <c r="I231" s="723" t="s">
        <v>322</v>
      </c>
      <c r="J231" s="723" t="s">
        <v>322</v>
      </c>
      <c r="K231" s="723" t="s">
        <v>1098</v>
      </c>
      <c r="L231" s="723" t="s">
        <v>1098</v>
      </c>
      <c r="M231" s="737" t="s">
        <v>1129</v>
      </c>
      <c r="N231" s="737" t="s">
        <v>1129</v>
      </c>
      <c r="O231" s="737" t="s">
        <v>1129</v>
      </c>
    </row>
    <row r="232" spans="1:15" ht="13" x14ac:dyDescent="0.3">
      <c r="A232" s="93" t="s">
        <v>20</v>
      </c>
      <c r="B232" s="135">
        <v>0</v>
      </c>
      <c r="C232" s="135">
        <v>0</v>
      </c>
      <c r="D232" s="135">
        <v>0</v>
      </c>
      <c r="E232" s="135">
        <v>0</v>
      </c>
      <c r="F232" s="723">
        <v>0</v>
      </c>
      <c r="G232" s="723">
        <v>0</v>
      </c>
      <c r="H232" s="723">
        <v>0</v>
      </c>
      <c r="I232" s="723">
        <v>0</v>
      </c>
      <c r="J232" s="723">
        <v>0</v>
      </c>
      <c r="K232" s="723">
        <v>0</v>
      </c>
      <c r="L232" s="723">
        <v>0</v>
      </c>
      <c r="M232" s="738">
        <v>58.933</v>
      </c>
      <c r="N232" s="736"/>
      <c r="O232" s="736"/>
    </row>
    <row r="233" spans="1:15" ht="13" x14ac:dyDescent="0.3">
      <c r="A233" s="93" t="s">
        <v>21</v>
      </c>
      <c r="B233" s="135">
        <f t="shared" ref="B233:I233" si="15">B230</f>
        <v>75</v>
      </c>
      <c r="C233" s="135">
        <f t="shared" si="15"/>
        <v>50</v>
      </c>
      <c r="D233" s="135">
        <f t="shared" si="15"/>
        <v>50</v>
      </c>
      <c r="E233" s="135">
        <f t="shared" si="15"/>
        <v>50</v>
      </c>
      <c r="F233" s="723">
        <f t="shared" si="15"/>
        <v>45</v>
      </c>
      <c r="G233" s="723">
        <f t="shared" si="15"/>
        <v>45</v>
      </c>
      <c r="H233" s="723">
        <f t="shared" si="15"/>
        <v>45</v>
      </c>
      <c r="I233" s="723">
        <f t="shared" si="15"/>
        <v>45</v>
      </c>
      <c r="J233" s="723">
        <f>J230-J232</f>
        <v>45</v>
      </c>
      <c r="K233" s="723">
        <f>K230-K232</f>
        <v>45</v>
      </c>
      <c r="L233" s="723">
        <f>L230-L232</f>
        <v>45</v>
      </c>
      <c r="M233" s="739">
        <f>M230-M232</f>
        <v>11.067</v>
      </c>
      <c r="N233" s="736"/>
      <c r="O233" s="736"/>
    </row>
    <row r="234" spans="1:15" ht="13" x14ac:dyDescent="0.3">
      <c r="A234" s="152" t="s">
        <v>22</v>
      </c>
      <c r="B234" s="153">
        <v>2016</v>
      </c>
      <c r="C234" s="153">
        <v>2017</v>
      </c>
      <c r="D234" s="153">
        <v>2018</v>
      </c>
      <c r="E234" s="153">
        <v>2019</v>
      </c>
      <c r="F234" s="740">
        <v>2020</v>
      </c>
      <c r="G234" s="740">
        <v>2021</v>
      </c>
      <c r="H234" s="740">
        <v>2022</v>
      </c>
      <c r="I234" s="740">
        <v>2023</v>
      </c>
      <c r="J234" s="740">
        <v>2024</v>
      </c>
      <c r="K234" s="740">
        <v>2025</v>
      </c>
      <c r="L234" s="740">
        <v>2026</v>
      </c>
      <c r="M234" s="741"/>
      <c r="N234" s="741"/>
      <c r="O234" s="741"/>
    </row>
    <row r="235" spans="1:15" x14ac:dyDescent="0.25">
      <c r="A235" s="155" t="s">
        <v>791</v>
      </c>
      <c r="B235" s="156"/>
      <c r="C235" s="156"/>
      <c r="D235" s="156"/>
      <c r="E235" s="156"/>
      <c r="F235" s="156"/>
      <c r="G235" s="156"/>
      <c r="H235" s="669"/>
      <c r="I235" s="669"/>
      <c r="J235" s="669"/>
      <c r="K235" s="669"/>
      <c r="L235" s="669"/>
      <c r="M235" s="669"/>
      <c r="N235" s="669"/>
      <c r="O235" s="672"/>
    </row>
    <row r="236" spans="1:15" x14ac:dyDescent="0.25">
      <c r="A236" s="145" t="s">
        <v>1095</v>
      </c>
      <c r="B236" s="113"/>
      <c r="C236" s="113"/>
      <c r="D236" s="113"/>
      <c r="E236" s="113"/>
      <c r="F236" s="714"/>
      <c r="G236" s="714"/>
      <c r="O236" s="684"/>
    </row>
    <row r="237" spans="1:15" ht="13" x14ac:dyDescent="0.3">
      <c r="A237" s="157" t="s">
        <v>1096</v>
      </c>
      <c r="B237" s="158"/>
      <c r="C237" s="158"/>
      <c r="D237" s="158"/>
      <c r="E237" s="158"/>
      <c r="F237" s="158"/>
      <c r="G237" s="158"/>
      <c r="O237" s="684"/>
    </row>
    <row r="238" spans="1:15" ht="13" x14ac:dyDescent="0.3">
      <c r="A238" s="120" t="s">
        <v>1097</v>
      </c>
      <c r="B238" s="118"/>
      <c r="C238" s="118"/>
      <c r="D238" s="118"/>
      <c r="E238" s="118"/>
      <c r="F238" s="278"/>
      <c r="G238" s="278"/>
      <c r="H238" s="685"/>
      <c r="I238" s="685"/>
      <c r="J238" s="685"/>
      <c r="K238" s="685"/>
      <c r="L238" s="685"/>
      <c r="M238" s="685"/>
      <c r="N238" s="685"/>
      <c r="O238" s="675"/>
    </row>
    <row r="240" spans="1:15" x14ac:dyDescent="0.25">
      <c r="A240" s="10" t="s">
        <v>14</v>
      </c>
      <c r="B240" s="11" t="s">
        <v>641</v>
      </c>
      <c r="C240" s="92" t="s">
        <v>15</v>
      </c>
      <c r="D240" s="13"/>
      <c r="E240" s="13"/>
      <c r="F240" s="657"/>
      <c r="G240" s="657"/>
    </row>
    <row r="241" spans="1:15" x14ac:dyDescent="0.25">
      <c r="A241" s="93" t="s">
        <v>16</v>
      </c>
      <c r="B241" s="92">
        <v>2014</v>
      </c>
      <c r="C241" s="92">
        <v>2015</v>
      </c>
      <c r="D241" s="95">
        <v>2016</v>
      </c>
      <c r="E241" s="92">
        <v>2017</v>
      </c>
      <c r="F241" s="655">
        <v>2018</v>
      </c>
      <c r="G241" s="655">
        <v>2019</v>
      </c>
      <c r="H241" s="655">
        <v>2020</v>
      </c>
      <c r="I241" s="655">
        <v>2021</v>
      </c>
      <c r="J241" s="655">
        <v>2022</v>
      </c>
      <c r="K241" s="655">
        <v>2023</v>
      </c>
      <c r="L241" s="655">
        <v>2024</v>
      </c>
      <c r="M241" s="655">
        <v>2025</v>
      </c>
      <c r="N241" s="655">
        <v>2026</v>
      </c>
      <c r="O241" s="655">
        <v>2027</v>
      </c>
    </row>
    <row r="242" spans="1:15" x14ac:dyDescent="0.25">
      <c r="A242" s="93" t="s">
        <v>17</v>
      </c>
      <c r="B242" s="141">
        <v>3940</v>
      </c>
      <c r="C242" s="141">
        <v>3940</v>
      </c>
      <c r="D242" s="141">
        <v>3940</v>
      </c>
      <c r="E242" s="141">
        <v>3940</v>
      </c>
      <c r="F242" s="729">
        <v>3940</v>
      </c>
      <c r="G242" s="729">
        <v>3940</v>
      </c>
      <c r="H242" s="729">
        <v>3940</v>
      </c>
      <c r="I242" s="729">
        <v>3940</v>
      </c>
      <c r="J242" s="729">
        <v>3940</v>
      </c>
      <c r="K242" s="729">
        <v>3940</v>
      </c>
      <c r="L242" s="729">
        <v>3940</v>
      </c>
      <c r="M242" s="729">
        <v>3940</v>
      </c>
      <c r="N242" s="729">
        <v>3940</v>
      </c>
      <c r="O242" s="729">
        <v>3940</v>
      </c>
    </row>
    <row r="243" spans="1:15" x14ac:dyDescent="0.25">
      <c r="A243" s="93" t="s">
        <v>18</v>
      </c>
      <c r="B243" s="141">
        <f>B242*1.3-50</f>
        <v>5072</v>
      </c>
      <c r="C243" s="141">
        <f>C242*1.3-50</f>
        <v>5072</v>
      </c>
      <c r="D243" s="141">
        <f>D242*1.3-50</f>
        <v>5072</v>
      </c>
      <c r="E243" s="141">
        <f>E242*1.3-50</f>
        <v>5072</v>
      </c>
      <c r="F243" s="729">
        <f>F242*1.2-50</f>
        <v>4678</v>
      </c>
      <c r="G243" s="729">
        <f>G242*1.2-50</f>
        <v>4678</v>
      </c>
      <c r="H243" s="729">
        <f>H242*1.2-50</f>
        <v>4678</v>
      </c>
      <c r="I243" s="729">
        <f>I242*1.2-50</f>
        <v>4678</v>
      </c>
      <c r="J243" s="729">
        <f>J242*1.2-50</f>
        <v>4678</v>
      </c>
      <c r="K243" s="729">
        <f>K242*1.1-50</f>
        <v>4284</v>
      </c>
      <c r="L243" s="729">
        <f>L242*1.1-50</f>
        <v>4284</v>
      </c>
      <c r="M243" s="729">
        <f>M242*1.1-50</f>
        <v>4284</v>
      </c>
      <c r="N243" s="729">
        <f>N242*1.1-50</f>
        <v>4284</v>
      </c>
      <c r="O243" s="729"/>
    </row>
    <row r="244" spans="1:15" x14ac:dyDescent="0.25">
      <c r="A244" s="93" t="s">
        <v>19</v>
      </c>
      <c r="B244" s="141" t="s">
        <v>324</v>
      </c>
      <c r="C244" s="141" t="s">
        <v>324</v>
      </c>
      <c r="D244" s="141" t="s">
        <v>324</v>
      </c>
      <c r="E244" s="141" t="s">
        <v>324</v>
      </c>
      <c r="F244" s="729" t="s">
        <v>325</v>
      </c>
      <c r="G244" s="729" t="s">
        <v>325</v>
      </c>
      <c r="H244" s="729" t="s">
        <v>325</v>
      </c>
      <c r="I244" s="729" t="s">
        <v>325</v>
      </c>
      <c r="J244" s="729" t="s">
        <v>325</v>
      </c>
      <c r="K244" s="729" t="s">
        <v>1099</v>
      </c>
      <c r="L244" s="729" t="s">
        <v>1099</v>
      </c>
      <c r="M244" s="729" t="s">
        <v>1099</v>
      </c>
      <c r="N244" s="729" t="s">
        <v>1099</v>
      </c>
      <c r="O244" s="729"/>
    </row>
    <row r="245" spans="1:15" x14ac:dyDescent="0.25">
      <c r="A245" s="93" t="s">
        <v>20</v>
      </c>
      <c r="B245" s="141">
        <v>2892.02</v>
      </c>
      <c r="C245" s="141">
        <v>2599.0703200000003</v>
      </c>
      <c r="D245" s="141">
        <v>2934.78017</v>
      </c>
      <c r="E245" s="141">
        <v>2406.0276984999996</v>
      </c>
      <c r="F245" s="729">
        <v>2798</v>
      </c>
      <c r="G245" s="729">
        <v>2858.8298242939013</v>
      </c>
      <c r="H245" s="729">
        <v>2105</v>
      </c>
      <c r="I245" s="729">
        <v>2823</v>
      </c>
      <c r="J245" s="729">
        <v>2197</v>
      </c>
      <c r="K245" s="729">
        <v>1984</v>
      </c>
      <c r="L245" s="729">
        <v>1984</v>
      </c>
      <c r="M245" s="708">
        <v>2807.145</v>
      </c>
      <c r="N245" s="729"/>
      <c r="O245" s="729"/>
    </row>
    <row r="246" spans="1:15" x14ac:dyDescent="0.25">
      <c r="A246" s="93" t="s">
        <v>21</v>
      </c>
      <c r="B246" s="141">
        <f t="shared" ref="B246:L246" si="16">B243-B245</f>
        <v>2179.98</v>
      </c>
      <c r="C246" s="141">
        <f t="shared" si="16"/>
        <v>2472.9296799999997</v>
      </c>
      <c r="D246" s="141">
        <f t="shared" si="16"/>
        <v>2137.21983</v>
      </c>
      <c r="E246" s="141">
        <f t="shared" si="16"/>
        <v>2665.9723015000004</v>
      </c>
      <c r="F246" s="729">
        <f t="shared" si="16"/>
        <v>1880</v>
      </c>
      <c r="G246" s="729">
        <f t="shared" si="16"/>
        <v>1819.1701757060987</v>
      </c>
      <c r="H246" s="729">
        <f t="shared" si="16"/>
        <v>2573</v>
      </c>
      <c r="I246" s="729">
        <f t="shared" si="16"/>
        <v>1855</v>
      </c>
      <c r="J246" s="729">
        <f t="shared" si="16"/>
        <v>2481</v>
      </c>
      <c r="K246" s="729">
        <f t="shared" si="16"/>
        <v>2300</v>
      </c>
      <c r="L246" s="729">
        <f t="shared" si="16"/>
        <v>2300</v>
      </c>
      <c r="M246" s="729">
        <f>M243-M245</f>
        <v>1476.855</v>
      </c>
      <c r="N246" s="729"/>
      <c r="O246" s="729"/>
    </row>
    <row r="247" spans="1:15" x14ac:dyDescent="0.25">
      <c r="A247" s="102" t="s">
        <v>22</v>
      </c>
      <c r="B247" s="103">
        <v>2015</v>
      </c>
      <c r="C247" s="103">
        <v>2016</v>
      </c>
      <c r="D247" s="104">
        <v>2017</v>
      </c>
      <c r="E247" s="103">
        <v>2018</v>
      </c>
      <c r="F247" s="742">
        <v>2019</v>
      </c>
      <c r="G247" s="742">
        <v>2020</v>
      </c>
      <c r="H247" s="742">
        <v>2021</v>
      </c>
      <c r="I247" s="742">
        <v>2022</v>
      </c>
      <c r="J247" s="742">
        <v>2023</v>
      </c>
      <c r="K247" s="742">
        <v>2024</v>
      </c>
      <c r="L247" s="742">
        <v>2025</v>
      </c>
      <c r="M247" s="742">
        <v>2026</v>
      </c>
      <c r="N247" s="742">
        <v>2027</v>
      </c>
      <c r="O247" s="742">
        <v>2028</v>
      </c>
    </row>
    <row r="248" spans="1:15" x14ac:dyDescent="0.25">
      <c r="A248" s="155" t="s">
        <v>1021</v>
      </c>
      <c r="B248" s="156"/>
      <c r="C248" s="156"/>
      <c r="D248" s="156"/>
      <c r="E248" s="156"/>
      <c r="F248" s="156"/>
      <c r="G248" s="156"/>
      <c r="H248" s="669"/>
      <c r="I248" s="669"/>
      <c r="J248" s="669"/>
      <c r="K248" s="669"/>
      <c r="L248" s="669"/>
      <c r="M248" s="669"/>
      <c r="N248" s="669"/>
      <c r="O248" s="672"/>
    </row>
    <row r="249" spans="1:15" x14ac:dyDescent="0.25">
      <c r="A249" s="146" t="s">
        <v>1022</v>
      </c>
      <c r="B249" s="147"/>
      <c r="C249" s="147"/>
      <c r="D249" s="147"/>
      <c r="E249" s="147"/>
      <c r="F249" s="734"/>
      <c r="G249" s="734"/>
      <c r="H249" s="685"/>
      <c r="I249" s="685"/>
      <c r="J249" s="685"/>
      <c r="K249" s="685"/>
      <c r="L249" s="685"/>
      <c r="M249" s="685"/>
      <c r="N249" s="685"/>
      <c r="O249" s="675"/>
    </row>
    <row r="251" spans="1:15" x14ac:dyDescent="0.25">
      <c r="A251" s="10" t="s">
        <v>14</v>
      </c>
      <c r="B251" s="11" t="s">
        <v>66</v>
      </c>
      <c r="C251" s="92" t="s">
        <v>15</v>
      </c>
      <c r="D251" s="13"/>
      <c r="E251" s="13"/>
      <c r="F251" s="657"/>
    </row>
    <row r="252" spans="1:15" x14ac:dyDescent="0.25">
      <c r="A252" s="93" t="s">
        <v>16</v>
      </c>
      <c r="B252" s="94"/>
      <c r="C252" s="27">
        <v>2020</v>
      </c>
      <c r="D252" s="27">
        <v>2021</v>
      </c>
      <c r="E252" s="27">
        <v>2022</v>
      </c>
      <c r="F252" s="666">
        <v>2023</v>
      </c>
      <c r="G252" s="666">
        <v>2024</v>
      </c>
      <c r="H252" s="666">
        <v>2025</v>
      </c>
      <c r="I252" s="666">
        <v>2026</v>
      </c>
      <c r="J252" s="666">
        <v>2027</v>
      </c>
      <c r="K252" s="666">
        <v>2028</v>
      </c>
      <c r="L252" s="666"/>
    </row>
    <row r="253" spans="1:15" x14ac:dyDescent="0.25">
      <c r="A253" s="93" t="s">
        <v>17</v>
      </c>
      <c r="B253" s="97"/>
      <c r="C253" s="30">
        <v>6043</v>
      </c>
      <c r="D253" s="30">
        <v>5946.3120000000008</v>
      </c>
      <c r="E253" s="30">
        <v>5994.6559999999999</v>
      </c>
      <c r="F253" s="47">
        <v>5994.6559999999999</v>
      </c>
      <c r="G253" s="47">
        <v>5994.6559999999999</v>
      </c>
      <c r="H253" s="47">
        <v>6825.37</v>
      </c>
      <c r="I253" s="47">
        <v>6825.37</v>
      </c>
      <c r="J253" s="47">
        <v>6825.37</v>
      </c>
      <c r="K253" s="47">
        <v>6825.37</v>
      </c>
      <c r="L253" s="47"/>
    </row>
    <row r="254" spans="1:15" x14ac:dyDescent="0.25">
      <c r="A254" s="93" t="s">
        <v>18</v>
      </c>
      <c r="B254" s="97"/>
      <c r="C254" s="30"/>
      <c r="D254" s="30"/>
      <c r="E254" s="30">
        <f>E253+C257</f>
        <v>5753.6559999999999</v>
      </c>
      <c r="F254" s="47">
        <f>F253+D257</f>
        <v>5441.9680000000008</v>
      </c>
      <c r="G254" s="47">
        <f>G253-355.34</f>
        <v>5639.3159999999998</v>
      </c>
      <c r="H254" s="47">
        <f>H253-538.5</f>
        <v>6286.87</v>
      </c>
      <c r="I254" s="47">
        <f>I253-538.5</f>
        <v>6286.87</v>
      </c>
      <c r="J254" s="47">
        <f>J253-538.5</f>
        <v>6286.87</v>
      </c>
      <c r="K254" s="47">
        <f>K253-538.5</f>
        <v>6286.87</v>
      </c>
      <c r="L254" s="47"/>
    </row>
    <row r="255" spans="1:15" x14ac:dyDescent="0.25">
      <c r="A255" s="93" t="s">
        <v>19</v>
      </c>
      <c r="B255" s="97"/>
      <c r="C255" s="30"/>
      <c r="D255" s="30"/>
      <c r="E255" s="30" t="s">
        <v>714</v>
      </c>
      <c r="F255" s="47" t="s">
        <v>715</v>
      </c>
      <c r="G255" s="47" t="s">
        <v>930</v>
      </c>
      <c r="H255" s="496" t="s">
        <v>1233</v>
      </c>
      <c r="I255" s="47" t="s">
        <v>1234</v>
      </c>
      <c r="J255" s="47" t="s">
        <v>1235</v>
      </c>
      <c r="K255" s="47" t="s">
        <v>1236</v>
      </c>
      <c r="L255" s="47"/>
      <c r="M255" s="692"/>
    </row>
    <row r="256" spans="1:15" x14ac:dyDescent="0.25">
      <c r="A256" s="93" t="s">
        <v>20</v>
      </c>
      <c r="B256" s="97"/>
      <c r="C256" s="30">
        <v>6284</v>
      </c>
      <c r="D256" s="30">
        <v>6499</v>
      </c>
      <c r="E256" s="30">
        <v>7341</v>
      </c>
      <c r="F256" s="47">
        <v>6364</v>
      </c>
      <c r="G256" s="47">
        <v>3647.55</v>
      </c>
      <c r="H256" s="47">
        <v>4955.0959999999995</v>
      </c>
      <c r="I256" s="47"/>
      <c r="J256" s="47"/>
      <c r="K256" s="47"/>
      <c r="L256" s="47"/>
    </row>
    <row r="257" spans="1:14" x14ac:dyDescent="0.25">
      <c r="A257" s="93" t="s">
        <v>21</v>
      </c>
      <c r="B257" s="136"/>
      <c r="C257" s="30">
        <f>C253-C256</f>
        <v>-241</v>
      </c>
      <c r="D257" s="30">
        <f>D253-D256</f>
        <v>-552.68799999999919</v>
      </c>
      <c r="E257" s="30">
        <f>E254-E256</f>
        <v>-1587.3440000000001</v>
      </c>
      <c r="F257" s="47">
        <f>F254-F256</f>
        <v>-922.03199999999924</v>
      </c>
      <c r="G257" s="47">
        <f>G254-G256</f>
        <v>1991.7659999999996</v>
      </c>
      <c r="H257" s="47">
        <f>H254-H256</f>
        <v>1331.7740000000003</v>
      </c>
      <c r="I257" s="47"/>
      <c r="J257" s="47"/>
      <c r="K257" s="47"/>
      <c r="L257" s="47"/>
    </row>
    <row r="258" spans="1:14" x14ac:dyDescent="0.25">
      <c r="A258" s="102" t="s">
        <v>22</v>
      </c>
      <c r="B258" s="137"/>
      <c r="C258" s="35">
        <v>2022</v>
      </c>
      <c r="D258" s="35">
        <v>2023</v>
      </c>
      <c r="E258" s="35">
        <v>2024</v>
      </c>
      <c r="F258" s="49">
        <v>2025</v>
      </c>
      <c r="G258" s="49">
        <v>2026</v>
      </c>
      <c r="H258" s="49">
        <v>2027</v>
      </c>
      <c r="I258" s="49">
        <v>2028</v>
      </c>
      <c r="J258" s="49">
        <v>2029</v>
      </c>
      <c r="K258" s="49">
        <v>2030</v>
      </c>
      <c r="L258" s="49"/>
    </row>
    <row r="259" spans="1:14" ht="12.75" customHeight="1" x14ac:dyDescent="0.25">
      <c r="A259" s="160" t="s">
        <v>23</v>
      </c>
      <c r="B259" s="161"/>
      <c r="C259" s="161"/>
      <c r="D259" s="161"/>
      <c r="E259" s="161"/>
      <c r="F259" s="743"/>
      <c r="G259" s="743"/>
      <c r="H259" s="743"/>
      <c r="I259" s="743"/>
      <c r="J259" s="743"/>
      <c r="K259" s="744"/>
      <c r="L259" s="744"/>
    </row>
    <row r="260" spans="1:14" ht="12.75" customHeight="1" x14ac:dyDescent="0.25">
      <c r="A260" s="162" t="s">
        <v>654</v>
      </c>
      <c r="B260" s="161"/>
      <c r="C260" s="161"/>
      <c r="D260" s="161"/>
      <c r="E260" s="161"/>
      <c r="F260" s="743"/>
      <c r="G260" s="745"/>
      <c r="H260" s="745"/>
      <c r="I260" s="682"/>
      <c r="J260" s="682"/>
      <c r="K260" s="682"/>
      <c r="L260" s="683"/>
    </row>
    <row r="261" spans="1:14" ht="12.75" customHeight="1" x14ac:dyDescent="0.25">
      <c r="A261" s="163" t="s">
        <v>1242</v>
      </c>
      <c r="B261" s="164"/>
      <c r="C261" s="164"/>
      <c r="D261" s="164"/>
      <c r="E261" s="164"/>
      <c r="F261" s="746"/>
      <c r="G261" s="747"/>
      <c r="H261" s="747"/>
      <c r="L261" s="684"/>
    </row>
    <row r="262" spans="1:14" ht="12.75" customHeight="1" x14ac:dyDescent="0.25">
      <c r="A262" s="163" t="s">
        <v>1243</v>
      </c>
      <c r="B262" s="164"/>
      <c r="C262" s="164"/>
      <c r="D262" s="164"/>
      <c r="E262" s="164"/>
      <c r="F262" s="746"/>
      <c r="G262" s="747"/>
      <c r="H262" s="747"/>
      <c r="L262" s="684"/>
    </row>
    <row r="263" spans="1:14" ht="12.75" customHeight="1" x14ac:dyDescent="0.25">
      <c r="A263" s="163" t="s">
        <v>1237</v>
      </c>
      <c r="B263" s="164"/>
      <c r="C263" s="164"/>
      <c r="D263" s="164"/>
      <c r="E263" s="164"/>
      <c r="F263" s="746"/>
      <c r="G263" s="747"/>
      <c r="H263" s="747"/>
      <c r="L263" s="684"/>
    </row>
    <row r="264" spans="1:14" ht="12.75" customHeight="1" x14ac:dyDescent="0.25">
      <c r="A264" s="163" t="s">
        <v>1238</v>
      </c>
      <c r="B264" s="164"/>
      <c r="C264" s="164"/>
      <c r="D264" s="164"/>
      <c r="E264" s="164"/>
      <c r="F264" s="746"/>
      <c r="G264" s="747"/>
      <c r="H264" s="747"/>
      <c r="L264" s="684"/>
    </row>
    <row r="265" spans="1:14" ht="12.75" customHeight="1" x14ac:dyDescent="0.25">
      <c r="A265" s="163" t="s">
        <v>1239</v>
      </c>
      <c r="B265" s="164"/>
      <c r="C265" s="164"/>
      <c r="D265" s="164"/>
      <c r="E265" s="164"/>
      <c r="F265" s="746"/>
      <c r="G265" s="747"/>
      <c r="H265" s="747"/>
      <c r="L265" s="684"/>
    </row>
    <row r="266" spans="1:14" ht="12.75" customHeight="1" x14ac:dyDescent="0.25">
      <c r="A266" s="163" t="s">
        <v>1240</v>
      </c>
      <c r="B266" s="164"/>
      <c r="C266" s="164"/>
      <c r="D266" s="164"/>
      <c r="E266" s="164"/>
      <c r="F266" s="746"/>
      <c r="G266" s="747"/>
      <c r="H266" s="747"/>
      <c r="L266" s="684"/>
    </row>
    <row r="267" spans="1:14" ht="12.75" customHeight="1" x14ac:dyDescent="0.25">
      <c r="A267" s="166" t="s">
        <v>1241</v>
      </c>
      <c r="B267" s="167"/>
      <c r="C267" s="167"/>
      <c r="D267" s="167"/>
      <c r="E267" s="167"/>
      <c r="F267" s="748"/>
      <c r="G267" s="748"/>
      <c r="H267" s="748"/>
      <c r="I267" s="685"/>
      <c r="J267" s="685"/>
      <c r="K267" s="685"/>
      <c r="L267" s="675"/>
    </row>
    <row r="268" spans="1:14" x14ac:dyDescent="0.25">
      <c r="C268" s="169"/>
    </row>
    <row r="269" spans="1:14" x14ac:dyDescent="0.25">
      <c r="A269" s="10" t="s">
        <v>14</v>
      </c>
      <c r="B269" s="11" t="s">
        <v>74</v>
      </c>
      <c r="C269" s="92" t="s">
        <v>15</v>
      </c>
      <c r="D269" s="13"/>
      <c r="E269" s="13"/>
      <c r="F269" s="657"/>
    </row>
    <row r="270" spans="1:14" x14ac:dyDescent="0.25">
      <c r="A270" s="152" t="s">
        <v>16</v>
      </c>
      <c r="B270" s="170">
        <v>2014</v>
      </c>
      <c r="C270" s="170">
        <v>2015</v>
      </c>
      <c r="D270" s="171">
        <v>2016</v>
      </c>
      <c r="E270" s="170">
        <v>2017</v>
      </c>
      <c r="F270" s="750">
        <v>2018</v>
      </c>
      <c r="G270" s="751">
        <v>2019</v>
      </c>
      <c r="H270" s="751">
        <v>2020</v>
      </c>
      <c r="I270" s="751">
        <v>2021</v>
      </c>
      <c r="J270" s="751">
        <v>2022</v>
      </c>
      <c r="K270" s="752">
        <v>2023</v>
      </c>
      <c r="L270" s="753">
        <v>2024</v>
      </c>
      <c r="M270" s="754">
        <v>2025</v>
      </c>
      <c r="N270" s="754">
        <v>2026</v>
      </c>
    </row>
    <row r="271" spans="1:14" x14ac:dyDescent="0.25">
      <c r="A271" s="14" t="s">
        <v>17</v>
      </c>
      <c r="B271" s="16">
        <v>190</v>
      </c>
      <c r="C271" s="16">
        <v>190</v>
      </c>
      <c r="D271" s="16">
        <v>190</v>
      </c>
      <c r="E271" s="16">
        <v>190</v>
      </c>
      <c r="F271" s="506">
        <v>190</v>
      </c>
      <c r="G271" s="496">
        <v>190</v>
      </c>
      <c r="H271" s="496">
        <v>159.80000000000001</v>
      </c>
      <c r="I271" s="496">
        <v>159.80000000000001</v>
      </c>
      <c r="J271" s="496">
        <v>159.80000000000001</v>
      </c>
      <c r="K271" s="496">
        <v>159.80000000000001</v>
      </c>
      <c r="L271" s="496">
        <v>159.80000000000001</v>
      </c>
      <c r="M271" s="496">
        <v>159.80000000000001</v>
      </c>
      <c r="N271" s="496">
        <v>159.80000000000001</v>
      </c>
    </row>
    <row r="272" spans="1:14" x14ac:dyDescent="0.25">
      <c r="A272" s="14" t="s">
        <v>18</v>
      </c>
      <c r="B272" s="16"/>
      <c r="C272" s="16"/>
      <c r="D272" s="16"/>
      <c r="E272" s="16"/>
      <c r="F272" s="506"/>
      <c r="G272" s="496"/>
      <c r="H272" s="496"/>
      <c r="I272" s="496"/>
      <c r="J272" s="496"/>
      <c r="K272" s="709"/>
      <c r="L272" s="755"/>
      <c r="M272" s="690"/>
      <c r="N272" s="690"/>
    </row>
    <row r="273" spans="1:14" x14ac:dyDescent="0.25">
      <c r="A273" s="14" t="s">
        <v>19</v>
      </c>
      <c r="B273" s="16"/>
      <c r="C273" s="16"/>
      <c r="D273" s="16"/>
      <c r="E273" s="16"/>
      <c r="F273" s="506"/>
      <c r="G273" s="496"/>
      <c r="H273" s="496"/>
      <c r="I273" s="496"/>
      <c r="J273" s="496"/>
      <c r="K273" s="709"/>
      <c r="L273" s="755"/>
      <c r="M273" s="690"/>
      <c r="N273" s="690"/>
    </row>
    <row r="274" spans="1:14" x14ac:dyDescent="0.25">
      <c r="A274" s="14" t="s">
        <v>20</v>
      </c>
      <c r="B274" s="16">
        <v>104.95522</v>
      </c>
      <c r="C274" s="16">
        <v>89.182190000000006</v>
      </c>
      <c r="D274" s="16">
        <v>79.192750000000004</v>
      </c>
      <c r="E274" s="175">
        <v>64.003107999999997</v>
      </c>
      <c r="F274" s="506">
        <v>37</v>
      </c>
      <c r="G274" s="496">
        <v>19.91</v>
      </c>
      <c r="H274" s="496">
        <v>13</v>
      </c>
      <c r="I274" s="496">
        <v>2</v>
      </c>
      <c r="J274" s="496">
        <v>3</v>
      </c>
      <c r="K274" s="709">
        <v>5</v>
      </c>
      <c r="L274" s="756">
        <v>3.04</v>
      </c>
      <c r="M274" s="691">
        <v>8.109</v>
      </c>
      <c r="N274" s="690"/>
    </row>
    <row r="275" spans="1:14" x14ac:dyDescent="0.25">
      <c r="A275" s="14" t="s">
        <v>21</v>
      </c>
      <c r="B275" s="174">
        <f t="shared" ref="B275:I275" si="17">B271-B274</f>
        <v>85.044780000000003</v>
      </c>
      <c r="C275" s="174">
        <f t="shared" si="17"/>
        <v>100.81780999999999</v>
      </c>
      <c r="D275" s="174">
        <f t="shared" si="17"/>
        <v>110.80725</v>
      </c>
      <c r="E275" s="174">
        <f t="shared" si="17"/>
        <v>125.996892</v>
      </c>
      <c r="F275" s="496">
        <f t="shared" si="17"/>
        <v>153</v>
      </c>
      <c r="G275" s="496">
        <f t="shared" si="17"/>
        <v>170.09</v>
      </c>
      <c r="H275" s="496">
        <f t="shared" si="17"/>
        <v>146.80000000000001</v>
      </c>
      <c r="I275" s="496">
        <f t="shared" si="17"/>
        <v>157.80000000000001</v>
      </c>
      <c r="J275" s="496">
        <f>J271-J274</f>
        <v>156.80000000000001</v>
      </c>
      <c r="K275" s="496">
        <f t="shared" ref="K275:M275" si="18">K271-K274</f>
        <v>154.80000000000001</v>
      </c>
      <c r="L275" s="496">
        <f t="shared" si="18"/>
        <v>156.76000000000002</v>
      </c>
      <c r="M275" s="496">
        <f t="shared" si="18"/>
        <v>151.691</v>
      </c>
      <c r="N275" s="691"/>
    </row>
    <row r="276" spans="1:14" x14ac:dyDescent="0.25">
      <c r="A276" s="176" t="s">
        <v>22</v>
      </c>
      <c r="B276" s="177"/>
      <c r="C276" s="177"/>
      <c r="D276" s="177"/>
      <c r="E276" s="177"/>
      <c r="F276" s="757"/>
      <c r="G276" s="695"/>
      <c r="H276" s="695"/>
      <c r="I276" s="695"/>
      <c r="J276" s="695"/>
      <c r="K276" s="695"/>
      <c r="L276" s="696"/>
      <c r="M276" s="695"/>
      <c r="N276" s="695"/>
    </row>
    <row r="277" spans="1:14" ht="36" customHeight="1" x14ac:dyDescent="0.25">
      <c r="A277" s="178" t="s">
        <v>323</v>
      </c>
      <c r="B277" s="179"/>
      <c r="C277" s="179"/>
      <c r="D277" s="179"/>
      <c r="E277" s="179"/>
      <c r="F277" s="179"/>
      <c r="G277" s="179"/>
      <c r="H277" s="179"/>
      <c r="I277" s="179"/>
      <c r="J277" s="179"/>
      <c r="K277" s="179"/>
      <c r="L277" s="179"/>
      <c r="M277" s="179"/>
      <c r="N277" s="180"/>
    </row>
    <row r="278" spans="1:14" x14ac:dyDescent="0.25">
      <c r="C278" s="169"/>
    </row>
    <row r="279" spans="1:14" x14ac:dyDescent="0.25">
      <c r="A279" s="10" t="s">
        <v>14</v>
      </c>
      <c r="B279" s="11" t="s">
        <v>79</v>
      </c>
      <c r="C279" s="92" t="s">
        <v>15</v>
      </c>
      <c r="D279" s="13"/>
      <c r="E279" s="13"/>
      <c r="F279" s="657"/>
    </row>
    <row r="280" spans="1:14" x14ac:dyDescent="0.25">
      <c r="A280" s="93" t="s">
        <v>16</v>
      </c>
      <c r="B280" s="92">
        <v>2014</v>
      </c>
      <c r="C280" s="92">
        <v>2015</v>
      </c>
      <c r="D280" s="95">
        <v>2016</v>
      </c>
      <c r="E280" s="92">
        <v>2017</v>
      </c>
      <c r="F280" s="655">
        <v>2018</v>
      </c>
      <c r="G280" s="666">
        <v>2019</v>
      </c>
      <c r="H280" s="666">
        <v>2020</v>
      </c>
      <c r="I280" s="666">
        <v>2021</v>
      </c>
      <c r="J280" s="666">
        <v>2022</v>
      </c>
      <c r="K280" s="752">
        <v>2023</v>
      </c>
      <c r="L280" s="752">
        <v>2024</v>
      </c>
      <c r="M280" s="752">
        <v>2025</v>
      </c>
      <c r="N280" s="752">
        <v>2026</v>
      </c>
    </row>
    <row r="281" spans="1:14" x14ac:dyDescent="0.25">
      <c r="A281" s="93" t="s">
        <v>17</v>
      </c>
      <c r="B281" s="136">
        <v>50</v>
      </c>
      <c r="C281" s="136">
        <v>50</v>
      </c>
      <c r="D281" s="136">
        <v>50</v>
      </c>
      <c r="E281" s="136">
        <v>50</v>
      </c>
      <c r="F281" s="758">
        <v>50</v>
      </c>
      <c r="G281" s="47">
        <v>50</v>
      </c>
      <c r="H281" s="47">
        <v>50</v>
      </c>
      <c r="I281" s="47">
        <v>50</v>
      </c>
      <c r="J281" s="47">
        <v>50</v>
      </c>
      <c r="K281" s="709">
        <v>50</v>
      </c>
      <c r="L281" s="709">
        <v>50</v>
      </c>
      <c r="M281" s="709">
        <v>50</v>
      </c>
      <c r="N281" s="709">
        <v>50</v>
      </c>
    </row>
    <row r="282" spans="1:14" x14ac:dyDescent="0.25">
      <c r="A282" s="93" t="s">
        <v>18</v>
      </c>
      <c r="B282" s="136"/>
      <c r="C282" s="136"/>
      <c r="D282" s="136"/>
      <c r="E282" s="136"/>
      <c r="F282" s="758"/>
      <c r="G282" s="46"/>
      <c r="H282" s="47"/>
      <c r="I282" s="47"/>
      <c r="J282" s="47"/>
      <c r="K282" s="709"/>
      <c r="L282" s="709"/>
      <c r="M282" s="709"/>
      <c r="N282" s="709"/>
    </row>
    <row r="283" spans="1:14" x14ac:dyDescent="0.25">
      <c r="A283" s="93" t="s">
        <v>19</v>
      </c>
      <c r="B283" s="136"/>
      <c r="C283" s="136"/>
      <c r="D283" s="136"/>
      <c r="E283" s="136"/>
      <c r="F283" s="758"/>
      <c r="G283" s="46"/>
      <c r="H283" s="47"/>
      <c r="I283" s="47"/>
      <c r="J283" s="47"/>
      <c r="K283" s="709"/>
      <c r="L283" s="709"/>
      <c r="M283" s="709"/>
      <c r="N283" s="709"/>
    </row>
    <row r="284" spans="1:14" x14ac:dyDescent="0.25">
      <c r="A284" s="93" t="s">
        <v>20</v>
      </c>
      <c r="B284" s="136">
        <v>102.32362999999999</v>
      </c>
      <c r="C284" s="136">
        <v>121.20529999999999</v>
      </c>
      <c r="D284" s="136">
        <v>66.934179999999998</v>
      </c>
      <c r="E284" s="136">
        <v>46.581100000000006</v>
      </c>
      <c r="F284" s="725">
        <v>62</v>
      </c>
      <c r="G284" s="46">
        <v>76.31</v>
      </c>
      <c r="H284" s="47">
        <v>46</v>
      </c>
      <c r="I284" s="47">
        <v>0</v>
      </c>
      <c r="J284" s="47">
        <v>0</v>
      </c>
      <c r="K284" s="709">
        <v>17</v>
      </c>
      <c r="L284" s="709">
        <v>1.36</v>
      </c>
      <c r="M284" s="496">
        <v>3.7949999999999999</v>
      </c>
      <c r="N284" s="709"/>
    </row>
    <row r="285" spans="1:14" x14ac:dyDescent="0.25">
      <c r="A285" s="93" t="s">
        <v>21</v>
      </c>
      <c r="B285" s="136"/>
      <c r="C285" s="136"/>
      <c r="D285" s="136"/>
      <c r="E285" s="136"/>
      <c r="F285" s="758"/>
      <c r="G285" s="46"/>
      <c r="H285" s="47"/>
      <c r="I285" s="47"/>
      <c r="J285" s="47"/>
      <c r="K285" s="709">
        <v>33</v>
      </c>
      <c r="L285" s="709">
        <v>48.64</v>
      </c>
      <c r="M285" s="496">
        <f>M281-M284</f>
        <v>46.204999999999998</v>
      </c>
      <c r="N285" s="709"/>
    </row>
    <row r="286" spans="1:14" x14ac:dyDescent="0.25">
      <c r="A286" s="93" t="s">
        <v>22</v>
      </c>
      <c r="B286" s="94"/>
      <c r="C286" s="94"/>
      <c r="D286" s="181"/>
      <c r="E286" s="94"/>
      <c r="F286" s="656"/>
      <c r="G286" s="46"/>
      <c r="H286" s="47"/>
      <c r="I286" s="47"/>
      <c r="J286" s="47"/>
      <c r="K286" s="709"/>
      <c r="L286" s="709"/>
      <c r="M286" s="709"/>
      <c r="N286" s="690"/>
    </row>
    <row r="287" spans="1:14" x14ac:dyDescent="0.25">
      <c r="A287" s="182" t="s">
        <v>23</v>
      </c>
      <c r="B287" s="182"/>
      <c r="C287" s="182"/>
      <c r="D287" s="182"/>
      <c r="E287" s="182"/>
      <c r="F287" s="182"/>
      <c r="G287" s="695"/>
      <c r="H287" s="760"/>
      <c r="I287" s="760"/>
      <c r="J287" s="760"/>
      <c r="K287" s="695"/>
      <c r="L287" s="695"/>
      <c r="M287" s="695"/>
      <c r="N287" s="690"/>
    </row>
    <row r="288" spans="1:14" ht="38.25" customHeight="1" x14ac:dyDescent="0.25">
      <c r="A288" s="178" t="s">
        <v>323</v>
      </c>
      <c r="B288" s="179"/>
      <c r="C288" s="179"/>
      <c r="D288" s="179"/>
      <c r="E288" s="179"/>
      <c r="F288" s="179"/>
      <c r="G288" s="179"/>
      <c r="H288" s="179"/>
      <c r="I288" s="179"/>
      <c r="J288" s="179"/>
      <c r="K288" s="179"/>
      <c r="L288" s="179"/>
      <c r="M288" s="179"/>
      <c r="N288" s="180"/>
    </row>
    <row r="289" spans="1:12" ht="38.25" customHeight="1" x14ac:dyDescent="0.25">
      <c r="A289" s="183"/>
      <c r="B289" s="183"/>
      <c r="C289" s="183"/>
      <c r="D289" s="183"/>
      <c r="E289" s="183"/>
      <c r="F289" s="761"/>
      <c r="G289" s="761"/>
      <c r="H289" s="761"/>
      <c r="I289" s="761"/>
      <c r="J289" s="761"/>
      <c r="K289" s="761"/>
      <c r="L289" s="761"/>
    </row>
    <row r="290" spans="1:12" ht="16.399999999999999" customHeight="1" x14ac:dyDescent="0.25">
      <c r="A290" s="10" t="s">
        <v>14</v>
      </c>
      <c r="B290" s="11" t="s">
        <v>1244</v>
      </c>
      <c r="C290" s="92" t="s">
        <v>15</v>
      </c>
      <c r="D290" s="13"/>
      <c r="E290" s="183"/>
      <c r="F290" s="761"/>
      <c r="G290" s="761"/>
      <c r="H290" s="761"/>
      <c r="I290" s="761"/>
      <c r="J290" s="761"/>
      <c r="K290" s="761"/>
      <c r="L290" s="761"/>
    </row>
    <row r="291" spans="1:12" ht="16.399999999999999" customHeight="1" x14ac:dyDescent="0.25">
      <c r="A291" s="93" t="s">
        <v>16</v>
      </c>
      <c r="B291" s="92">
        <v>2024</v>
      </c>
      <c r="C291" s="92">
        <v>2025</v>
      </c>
      <c r="D291" s="184">
        <v>2026</v>
      </c>
      <c r="E291" s="184">
        <v>2027</v>
      </c>
      <c r="F291" s="761"/>
      <c r="G291" s="761"/>
      <c r="H291" s="761"/>
      <c r="I291" s="761"/>
      <c r="J291" s="761"/>
      <c r="K291" s="761"/>
      <c r="L291" s="761"/>
    </row>
    <row r="292" spans="1:12" ht="16.399999999999999" customHeight="1" x14ac:dyDescent="0.25">
      <c r="A292" s="185" t="s">
        <v>17</v>
      </c>
      <c r="B292" s="186">
        <v>3481</v>
      </c>
      <c r="C292" s="186">
        <v>3481</v>
      </c>
      <c r="D292" s="186">
        <v>3481</v>
      </c>
      <c r="E292" s="186">
        <v>3481</v>
      </c>
      <c r="F292" s="761"/>
      <c r="G292" s="761"/>
      <c r="H292" s="761"/>
      <c r="I292" s="761"/>
      <c r="J292" s="761"/>
      <c r="K292" s="761"/>
      <c r="L292" s="761"/>
    </row>
    <row r="293" spans="1:12" ht="16.399999999999999" customHeight="1" x14ac:dyDescent="0.25">
      <c r="A293" s="185" t="s">
        <v>18</v>
      </c>
      <c r="B293" s="186"/>
      <c r="C293" s="186"/>
      <c r="D293" s="186"/>
      <c r="E293" s="186"/>
      <c r="F293" s="761"/>
      <c r="G293" s="761"/>
      <c r="H293" s="761"/>
      <c r="I293" s="761"/>
      <c r="J293" s="761"/>
      <c r="K293" s="761"/>
      <c r="L293" s="761"/>
    </row>
    <row r="294" spans="1:12" ht="16.399999999999999" customHeight="1" x14ac:dyDescent="0.25">
      <c r="A294" s="185" t="s">
        <v>19</v>
      </c>
      <c r="B294" s="186"/>
      <c r="C294" s="186"/>
      <c r="D294" s="186"/>
      <c r="E294" s="186"/>
      <c r="F294" s="761"/>
      <c r="G294" s="761"/>
      <c r="H294" s="761"/>
      <c r="I294" s="761"/>
      <c r="J294" s="761"/>
      <c r="K294" s="761"/>
      <c r="L294" s="761"/>
    </row>
    <row r="295" spans="1:12" ht="16.399999999999999" customHeight="1" x14ac:dyDescent="0.25">
      <c r="A295" s="185" t="s">
        <v>20</v>
      </c>
      <c r="B295" s="186">
        <v>2585.9656100000029</v>
      </c>
      <c r="C295" s="186">
        <v>2558.9679999999998</v>
      </c>
      <c r="D295" s="186"/>
      <c r="E295" s="186"/>
      <c r="F295" s="761"/>
      <c r="G295" s="761"/>
      <c r="H295" s="761"/>
      <c r="I295" s="761"/>
      <c r="J295" s="761"/>
      <c r="K295" s="761"/>
      <c r="L295" s="761"/>
    </row>
    <row r="296" spans="1:12" ht="16.399999999999999" customHeight="1" x14ac:dyDescent="0.25">
      <c r="A296" s="185" t="s">
        <v>21</v>
      </c>
      <c r="B296" s="186">
        <v>895.03438999999707</v>
      </c>
      <c r="C296" s="186">
        <f>C292-C295</f>
        <v>922.03200000000015</v>
      </c>
      <c r="D296" s="186"/>
      <c r="E296" s="186"/>
      <c r="F296" s="761"/>
      <c r="G296" s="761"/>
      <c r="H296" s="761"/>
      <c r="I296" s="761"/>
      <c r="J296" s="761"/>
      <c r="K296" s="761"/>
      <c r="L296" s="761"/>
    </row>
    <row r="297" spans="1:12" ht="16.399999999999999" customHeight="1" x14ac:dyDescent="0.25">
      <c r="A297" s="185" t="s">
        <v>22</v>
      </c>
      <c r="B297" s="187">
        <v>2025</v>
      </c>
      <c r="C297" s="187">
        <v>2026</v>
      </c>
      <c r="D297" s="187">
        <v>2027</v>
      </c>
      <c r="E297" s="187">
        <v>2028</v>
      </c>
      <c r="F297" s="761"/>
      <c r="G297" s="761"/>
      <c r="H297" s="761"/>
      <c r="I297" s="761"/>
      <c r="J297" s="761"/>
      <c r="K297" s="761"/>
      <c r="L297" s="761"/>
    </row>
    <row r="298" spans="1:12" ht="16.399999999999999" customHeight="1" x14ac:dyDescent="0.25">
      <c r="A298" s="188" t="s">
        <v>23</v>
      </c>
      <c r="B298" s="188"/>
      <c r="C298" s="188"/>
      <c r="D298" s="188"/>
      <c r="E298" s="188"/>
      <c r="F298" s="714"/>
      <c r="G298" s="714"/>
      <c r="H298" s="714"/>
      <c r="I298" s="714"/>
      <c r="J298" s="714"/>
      <c r="K298" s="714"/>
      <c r="L298" s="714"/>
    </row>
    <row r="299" spans="1:12" ht="16.399999999999999" customHeight="1" x14ac:dyDescent="0.25">
      <c r="A299" s="189" t="s">
        <v>1245</v>
      </c>
      <c r="B299" s="190"/>
      <c r="C299" s="188"/>
      <c r="D299" s="188"/>
      <c r="E299" s="188"/>
      <c r="F299" s="714"/>
      <c r="G299" s="714"/>
      <c r="H299" s="714"/>
      <c r="I299" s="714"/>
      <c r="J299" s="714"/>
      <c r="K299" s="714"/>
      <c r="L299" s="714"/>
    </row>
    <row r="300" spans="1:12" ht="16.399999999999999" customHeight="1" x14ac:dyDescent="0.25">
      <c r="A300" s="183"/>
      <c r="B300" s="183"/>
      <c r="C300" s="183"/>
      <c r="D300" s="183"/>
      <c r="E300" s="183"/>
      <c r="F300" s="761"/>
      <c r="G300" s="761"/>
      <c r="H300" s="761"/>
      <c r="I300" s="761"/>
      <c r="J300" s="761"/>
      <c r="K300" s="761"/>
      <c r="L300" s="761"/>
    </row>
    <row r="301" spans="1:12" ht="16.399999999999999" customHeight="1" x14ac:dyDescent="0.25">
      <c r="A301" s="10" t="s">
        <v>14</v>
      </c>
      <c r="B301" s="11" t="s">
        <v>1130</v>
      </c>
      <c r="C301" s="92" t="s">
        <v>15</v>
      </c>
      <c r="D301" s="13"/>
      <c r="E301" s="13"/>
      <c r="F301" s="657"/>
      <c r="G301" s="761"/>
      <c r="H301" s="761"/>
      <c r="I301" s="761"/>
      <c r="J301" s="761"/>
      <c r="K301" s="761"/>
      <c r="L301" s="761"/>
    </row>
    <row r="302" spans="1:12" ht="16.399999999999999" customHeight="1" x14ac:dyDescent="0.25">
      <c r="A302" s="93" t="s">
        <v>16</v>
      </c>
      <c r="B302" s="92">
        <v>2023</v>
      </c>
      <c r="C302" s="92">
        <v>2024</v>
      </c>
      <c r="D302" s="184">
        <v>2025</v>
      </c>
      <c r="E302" s="184">
        <v>2026</v>
      </c>
      <c r="F302" s="761"/>
      <c r="G302" s="761"/>
      <c r="H302" s="761"/>
      <c r="I302" s="761"/>
      <c r="J302" s="761"/>
    </row>
    <row r="303" spans="1:12" ht="16.399999999999999" customHeight="1" x14ac:dyDescent="0.25">
      <c r="A303" s="93" t="s">
        <v>17</v>
      </c>
      <c r="B303" s="136">
        <v>208</v>
      </c>
      <c r="C303" s="136">
        <v>208</v>
      </c>
      <c r="D303" s="136">
        <v>208</v>
      </c>
      <c r="E303" s="136">
        <v>45.85</v>
      </c>
      <c r="F303" s="761"/>
      <c r="G303" s="761"/>
      <c r="H303" s="761"/>
      <c r="I303" s="761"/>
      <c r="J303" s="761"/>
    </row>
    <row r="304" spans="1:12" ht="16.399999999999999" customHeight="1" x14ac:dyDescent="0.25">
      <c r="A304" s="93" t="s">
        <v>18</v>
      </c>
      <c r="B304" s="136"/>
      <c r="C304" s="136"/>
      <c r="D304" s="136"/>
      <c r="E304" s="136"/>
      <c r="F304" s="761"/>
      <c r="G304" s="761"/>
      <c r="H304" s="761"/>
      <c r="I304" s="761"/>
      <c r="J304" s="761"/>
    </row>
    <row r="305" spans="1:14" ht="16.399999999999999" customHeight="1" x14ac:dyDescent="0.25">
      <c r="A305" s="93" t="s">
        <v>19</v>
      </c>
      <c r="B305" s="136"/>
      <c r="C305" s="136"/>
      <c r="D305" s="136"/>
      <c r="E305" s="136"/>
      <c r="F305" s="761"/>
      <c r="G305" s="761"/>
      <c r="H305" s="761"/>
      <c r="I305" s="761"/>
      <c r="J305" s="761"/>
    </row>
    <row r="306" spans="1:14" ht="16.399999999999999" customHeight="1" x14ac:dyDescent="0.25">
      <c r="A306" s="93" t="s">
        <v>20</v>
      </c>
      <c r="B306" s="136">
        <v>121</v>
      </c>
      <c r="C306" s="136">
        <v>121</v>
      </c>
      <c r="D306" s="136">
        <v>43.563000000000002</v>
      </c>
      <c r="E306" s="136"/>
      <c r="F306" s="761"/>
      <c r="G306" s="761"/>
      <c r="H306" s="761"/>
      <c r="I306" s="761"/>
      <c r="J306" s="761"/>
    </row>
    <row r="307" spans="1:14" ht="16.399999999999999" customHeight="1" x14ac:dyDescent="0.25">
      <c r="A307" s="93" t="s">
        <v>21</v>
      </c>
      <c r="B307" s="136">
        <v>87</v>
      </c>
      <c r="C307" s="191">
        <f>C303-C306</f>
        <v>87</v>
      </c>
      <c r="D307" s="191">
        <f>D303-D306</f>
        <v>164.43700000000001</v>
      </c>
      <c r="E307" s="136"/>
      <c r="F307" s="761"/>
      <c r="G307" s="761"/>
      <c r="H307" s="761"/>
      <c r="I307" s="761"/>
      <c r="J307" s="761"/>
    </row>
    <row r="308" spans="1:14" ht="16.399999999999999" customHeight="1" x14ac:dyDescent="0.25">
      <c r="A308" s="152" t="s">
        <v>22</v>
      </c>
      <c r="B308" s="20">
        <v>2025</v>
      </c>
      <c r="C308" s="20">
        <v>2026</v>
      </c>
      <c r="D308" s="20">
        <v>2027</v>
      </c>
      <c r="E308" s="20">
        <v>2028</v>
      </c>
      <c r="F308" s="761"/>
      <c r="G308" s="761"/>
      <c r="H308" s="761"/>
      <c r="I308" s="761"/>
      <c r="J308" s="761"/>
    </row>
    <row r="309" spans="1:14" x14ac:dyDescent="0.25">
      <c r="A309" s="192" t="s">
        <v>23</v>
      </c>
      <c r="B309" s="192"/>
      <c r="C309" s="193"/>
      <c r="D309" s="193"/>
      <c r="E309" s="194"/>
      <c r="F309" s="657"/>
    </row>
    <row r="310" spans="1:14" x14ac:dyDescent="0.25">
      <c r="A310" s="13"/>
      <c r="B310" s="13"/>
      <c r="C310" s="13"/>
      <c r="D310" s="13"/>
      <c r="E310" s="13"/>
      <c r="F310" s="657"/>
    </row>
    <row r="311" spans="1:14" x14ac:dyDescent="0.25">
      <c r="A311" s="28" t="s">
        <v>12</v>
      </c>
      <c r="B311" s="9" t="s">
        <v>171</v>
      </c>
    </row>
    <row r="312" spans="1:14" x14ac:dyDescent="0.25">
      <c r="A312" s="72" t="s">
        <v>14</v>
      </c>
      <c r="B312" s="57" t="s">
        <v>623</v>
      </c>
      <c r="C312" s="27" t="s">
        <v>15</v>
      </c>
    </row>
    <row r="313" spans="1:14" x14ac:dyDescent="0.25">
      <c r="A313" s="27" t="s">
        <v>16</v>
      </c>
      <c r="B313" s="27"/>
      <c r="C313" s="27">
        <v>2016</v>
      </c>
      <c r="D313" s="27">
        <v>2017</v>
      </c>
      <c r="E313" s="27">
        <v>2018</v>
      </c>
      <c r="F313" s="666">
        <v>2019</v>
      </c>
      <c r="G313" s="666">
        <v>2020</v>
      </c>
      <c r="H313" s="666">
        <v>2021</v>
      </c>
      <c r="I313" s="666">
        <v>2022</v>
      </c>
      <c r="J313" s="666">
        <v>2023</v>
      </c>
      <c r="K313" s="666">
        <v>2024</v>
      </c>
      <c r="L313" s="666">
        <v>2025</v>
      </c>
      <c r="M313" s="666">
        <v>2026</v>
      </c>
    </row>
    <row r="314" spans="1:14" x14ac:dyDescent="0.25">
      <c r="A314" s="29" t="s">
        <v>17</v>
      </c>
      <c r="B314" s="29"/>
      <c r="C314" s="30">
        <v>1348</v>
      </c>
      <c r="D314" s="30">
        <v>1348</v>
      </c>
      <c r="E314" s="30">
        <v>1348</v>
      </c>
      <c r="F314" s="47">
        <v>1348</v>
      </c>
      <c r="G314" s="47">
        <v>1348</v>
      </c>
      <c r="H314" s="47">
        <v>1348</v>
      </c>
      <c r="I314" s="47">
        <v>1348</v>
      </c>
      <c r="J314" s="47">
        <v>1348</v>
      </c>
      <c r="K314" s="47">
        <v>1348</v>
      </c>
      <c r="L314" s="709">
        <v>1880</v>
      </c>
      <c r="M314" s="709">
        <v>1880</v>
      </c>
    </row>
    <row r="315" spans="1:14" x14ac:dyDescent="0.25">
      <c r="A315" s="29" t="s">
        <v>18</v>
      </c>
      <c r="B315" s="29"/>
      <c r="C315" s="30">
        <v>2040.2</v>
      </c>
      <c r="D315" s="30">
        <v>2070.1999999999998</v>
      </c>
      <c r="E315" s="30">
        <v>2070.1999999999998</v>
      </c>
      <c r="F315" s="47">
        <v>2045.1999999999998</v>
      </c>
      <c r="G315" s="47">
        <f>G314*1.15+125+35+35+100</f>
        <v>1845.1999999999998</v>
      </c>
      <c r="H315" s="47">
        <f>H314+0.15*F314+150+35+35+200</f>
        <v>1970.2</v>
      </c>
      <c r="I315" s="47">
        <f>I314+150+35+35+250+202.2</f>
        <v>2020.2</v>
      </c>
      <c r="J315" s="47">
        <f>J314+125+35+35+327+202.2</f>
        <v>2072.1999999999998</v>
      </c>
      <c r="K315" s="47">
        <f>K314+125+35+35+280+202.2</f>
        <v>2025.2</v>
      </c>
      <c r="L315" s="709">
        <v>2226.23</v>
      </c>
      <c r="M315" s="690">
        <f>M314+260+202.2</f>
        <v>2342.1999999999998</v>
      </c>
    </row>
    <row r="316" spans="1:14" x14ac:dyDescent="0.25">
      <c r="A316" s="29" t="s">
        <v>19</v>
      </c>
      <c r="B316" s="29"/>
      <c r="C316" s="30"/>
      <c r="D316" s="30"/>
      <c r="E316" s="30"/>
      <c r="F316" s="47"/>
      <c r="G316" s="47"/>
      <c r="H316" s="47"/>
      <c r="I316" s="47"/>
      <c r="J316" s="47"/>
      <c r="K316" s="47"/>
      <c r="L316" s="709"/>
      <c r="M316" s="709"/>
    </row>
    <row r="317" spans="1:14" x14ac:dyDescent="0.25">
      <c r="A317" s="29" t="s">
        <v>20</v>
      </c>
      <c r="B317" s="29"/>
      <c r="C317" s="30">
        <v>1558.88</v>
      </c>
      <c r="D317" s="30">
        <v>1209.21</v>
      </c>
      <c r="E317" s="30">
        <v>786.81</v>
      </c>
      <c r="F317" s="47">
        <v>997.23400000000004</v>
      </c>
      <c r="G317" s="47">
        <v>1335.83</v>
      </c>
      <c r="H317" s="47">
        <v>1380.2959000000001</v>
      </c>
      <c r="I317" s="47">
        <v>1343.9679999999998</v>
      </c>
      <c r="J317" s="47">
        <v>1925.9659999999999</v>
      </c>
      <c r="K317" s="47">
        <v>1687.3495874040746</v>
      </c>
      <c r="L317" s="709">
        <v>1946.62</v>
      </c>
      <c r="M317" s="709"/>
    </row>
    <row r="318" spans="1:14" x14ac:dyDescent="0.25">
      <c r="A318" s="29" t="s">
        <v>21</v>
      </c>
      <c r="B318" s="29"/>
      <c r="C318" s="30">
        <v>481.32</v>
      </c>
      <c r="D318" s="30">
        <v>860.99</v>
      </c>
      <c r="E318" s="30">
        <v>1283.3900000000001</v>
      </c>
      <c r="F318" s="47">
        <v>1047.9659999999999</v>
      </c>
      <c r="G318" s="47">
        <f t="shared" ref="G318:L318" si="19">G315-G317</f>
        <v>509.36999999999989</v>
      </c>
      <c r="H318" s="47">
        <f t="shared" si="19"/>
        <v>589.90409999999997</v>
      </c>
      <c r="I318" s="47">
        <f t="shared" si="19"/>
        <v>676.2320000000002</v>
      </c>
      <c r="J318" s="47">
        <f t="shared" si="19"/>
        <v>146.23399999999992</v>
      </c>
      <c r="K318" s="47">
        <f t="shared" si="19"/>
        <v>337.85041259592549</v>
      </c>
      <c r="L318" s="47">
        <f t="shared" si="19"/>
        <v>279.61000000000013</v>
      </c>
      <c r="M318" s="709"/>
    </row>
    <row r="319" spans="1:14" x14ac:dyDescent="0.25">
      <c r="A319" s="90" t="s">
        <v>22</v>
      </c>
      <c r="B319" s="90"/>
      <c r="C319" s="90">
        <v>2018</v>
      </c>
      <c r="D319" s="90">
        <v>2019</v>
      </c>
      <c r="E319" s="90">
        <v>2020</v>
      </c>
      <c r="F319" s="703">
        <v>2021</v>
      </c>
      <c r="G319" s="703">
        <v>2022</v>
      </c>
      <c r="H319" s="703">
        <v>2023</v>
      </c>
      <c r="I319" s="703">
        <v>2024</v>
      </c>
      <c r="J319" s="703">
        <v>2025</v>
      </c>
      <c r="K319" s="703">
        <v>2026</v>
      </c>
      <c r="L319" s="703">
        <v>2027</v>
      </c>
      <c r="M319" s="703">
        <v>2028</v>
      </c>
    </row>
    <row r="320" spans="1:14" x14ac:dyDescent="0.25">
      <c r="A320" s="195" t="s">
        <v>168</v>
      </c>
      <c r="B320" s="196"/>
      <c r="C320" s="196"/>
      <c r="D320" s="196"/>
      <c r="E320" s="196"/>
      <c r="F320" s="763"/>
      <c r="G320" s="763"/>
      <c r="H320" s="763"/>
      <c r="I320" s="763"/>
      <c r="J320" s="763"/>
      <c r="K320" s="763"/>
      <c r="L320" s="763"/>
      <c r="M320" s="764"/>
      <c r="N320" s="686"/>
    </row>
    <row r="321" spans="1:15" x14ac:dyDescent="0.25">
      <c r="A321" s="85" t="s">
        <v>169</v>
      </c>
      <c r="B321" s="74"/>
      <c r="C321" s="74"/>
      <c r="D321" s="74"/>
      <c r="E321" s="74"/>
      <c r="F321" s="686"/>
      <c r="G321" s="686"/>
      <c r="H321" s="686"/>
      <c r="I321" s="686"/>
      <c r="J321" s="686"/>
      <c r="K321" s="686"/>
      <c r="L321" s="686"/>
      <c r="M321" s="765"/>
      <c r="N321" s="686"/>
    </row>
    <row r="322" spans="1:15" x14ac:dyDescent="0.25">
      <c r="A322" s="85" t="s">
        <v>170</v>
      </c>
      <c r="B322" s="74"/>
      <c r="C322" s="74"/>
      <c r="D322" s="74"/>
      <c r="E322" s="74"/>
      <c r="F322" s="686"/>
      <c r="G322" s="686"/>
      <c r="H322" s="686"/>
      <c r="I322" s="686"/>
      <c r="J322" s="686"/>
      <c r="K322" s="686"/>
      <c r="L322" s="686"/>
      <c r="M322" s="765"/>
      <c r="N322" s="686"/>
    </row>
    <row r="323" spans="1:15" x14ac:dyDescent="0.25">
      <c r="A323" s="85" t="s">
        <v>390</v>
      </c>
      <c r="M323" s="684"/>
    </row>
    <row r="324" spans="1:15" x14ac:dyDescent="0.25">
      <c r="A324" s="85" t="s">
        <v>511</v>
      </c>
      <c r="M324" s="684"/>
    </row>
    <row r="325" spans="1:15" x14ac:dyDescent="0.25">
      <c r="A325" s="85" t="s">
        <v>512</v>
      </c>
      <c r="M325" s="684"/>
    </row>
    <row r="326" spans="1:15" x14ac:dyDescent="0.25">
      <c r="A326" s="85" t="s">
        <v>606</v>
      </c>
      <c r="M326" s="684"/>
    </row>
    <row r="327" spans="1:15" x14ac:dyDescent="0.25">
      <c r="A327" s="85" t="s">
        <v>767</v>
      </c>
      <c r="M327" s="684"/>
    </row>
    <row r="328" spans="1:15" x14ac:dyDescent="0.25">
      <c r="A328" s="85" t="s">
        <v>971</v>
      </c>
      <c r="M328" s="684"/>
    </row>
    <row r="329" spans="1:15" x14ac:dyDescent="0.25">
      <c r="A329" s="85" t="s">
        <v>1257</v>
      </c>
      <c r="M329" s="684"/>
    </row>
    <row r="330" spans="1:15" s="73" customFormat="1" x14ac:dyDescent="0.25">
      <c r="A330" s="197" t="s">
        <v>1304</v>
      </c>
      <c r="F330" s="685"/>
      <c r="G330" s="685"/>
      <c r="H330" s="685"/>
      <c r="I330" s="685"/>
      <c r="J330" s="685"/>
      <c r="K330" s="685"/>
      <c r="L330" s="685"/>
      <c r="M330" s="675"/>
      <c r="N330" s="685"/>
      <c r="O330" s="685"/>
    </row>
    <row r="332" spans="1:15" x14ac:dyDescent="0.25">
      <c r="A332" s="8" t="s">
        <v>14</v>
      </c>
      <c r="B332" s="198" t="s">
        <v>645</v>
      </c>
      <c r="C332" s="27" t="s">
        <v>15</v>
      </c>
      <c r="E332" s="199"/>
    </row>
    <row r="333" spans="1:15" x14ac:dyDescent="0.25">
      <c r="A333" s="28" t="s">
        <v>16</v>
      </c>
      <c r="B333" s="28"/>
      <c r="C333" s="200">
        <v>2015</v>
      </c>
      <c r="D333" s="200">
        <v>2016</v>
      </c>
      <c r="E333" s="200">
        <v>2017</v>
      </c>
      <c r="F333" s="766">
        <v>2018</v>
      </c>
      <c r="G333" s="766">
        <v>2019</v>
      </c>
      <c r="H333" s="766">
        <v>2020</v>
      </c>
      <c r="I333" s="766">
        <v>2021</v>
      </c>
      <c r="J333" s="766">
        <v>2022</v>
      </c>
      <c r="K333" s="766">
        <v>2023</v>
      </c>
      <c r="L333" s="766">
        <v>2024</v>
      </c>
      <c r="M333" s="752">
        <v>2025</v>
      </c>
      <c r="N333" s="752">
        <v>2025</v>
      </c>
    </row>
    <row r="334" spans="1:15" x14ac:dyDescent="0.25">
      <c r="A334" s="28" t="s">
        <v>17</v>
      </c>
      <c r="B334" s="28"/>
      <c r="C334" s="201">
        <v>452.47</v>
      </c>
      <c r="D334" s="201">
        <v>452.47</v>
      </c>
      <c r="E334" s="201">
        <v>452.47</v>
      </c>
      <c r="F334" s="767">
        <v>530.59</v>
      </c>
      <c r="G334" s="767">
        <v>530.59</v>
      </c>
      <c r="H334" s="767">
        <v>530.59</v>
      </c>
      <c r="I334" s="767">
        <v>530.59</v>
      </c>
      <c r="J334" s="767">
        <v>558.65</v>
      </c>
      <c r="K334" s="767">
        <v>558.65</v>
      </c>
      <c r="L334" s="767">
        <v>558.65</v>
      </c>
      <c r="M334" s="709">
        <v>558.65</v>
      </c>
      <c r="N334" s="709">
        <v>661.22</v>
      </c>
    </row>
    <row r="335" spans="1:15" x14ac:dyDescent="0.25">
      <c r="A335" s="28" t="s">
        <v>18</v>
      </c>
      <c r="B335" s="28"/>
      <c r="C335" s="201">
        <f>C334+24.4+86.5</f>
        <v>563.37</v>
      </c>
      <c r="D335" s="201">
        <f>D334+C338+51.98</f>
        <v>534.48</v>
      </c>
      <c r="E335" s="201">
        <f>E334+0.1*D334+55.98</f>
        <v>553.697</v>
      </c>
      <c r="F335" s="767">
        <f>F334+0.1*E334+73.98</f>
        <v>649.81700000000001</v>
      </c>
      <c r="G335" s="767">
        <f>G334+0.1*F334+9.62+60.44</f>
        <v>653.70900000000006</v>
      </c>
      <c r="H335" s="767">
        <f>H334+G338+79.44+4.78</f>
        <v>635.64900000000011</v>
      </c>
      <c r="I335" s="767">
        <f>I334+H338+100.44+4.78</f>
        <v>679.85600000000022</v>
      </c>
      <c r="J335" s="767">
        <f>J334+I338+60+4.78</f>
        <v>674.75400000000013</v>
      </c>
      <c r="K335" s="767">
        <f>K334+J338+5.18+60</f>
        <v>663.4140000000001</v>
      </c>
      <c r="L335" s="767">
        <f>L334+60+K338</f>
        <v>671.75000000000011</v>
      </c>
      <c r="M335" s="496">
        <f>M334+L338+60</f>
        <v>668.50300500000003</v>
      </c>
      <c r="N335" s="496">
        <f>N334+M338+60</f>
        <v>718.12600500000008</v>
      </c>
    </row>
    <row r="336" spans="1:15" x14ac:dyDescent="0.25">
      <c r="A336" s="28" t="s">
        <v>19</v>
      </c>
      <c r="B336" s="28"/>
      <c r="C336" s="202"/>
      <c r="D336" s="202"/>
      <c r="E336" s="202"/>
      <c r="F336" s="47"/>
      <c r="G336" s="47"/>
      <c r="H336" s="47"/>
      <c r="I336" s="47"/>
      <c r="J336" s="47"/>
      <c r="K336" s="47"/>
      <c r="L336" s="47"/>
      <c r="M336" s="709"/>
      <c r="N336" s="709"/>
    </row>
    <row r="337" spans="1:14" x14ac:dyDescent="0.25">
      <c r="A337" s="28" t="s">
        <v>20</v>
      </c>
      <c r="B337" s="28"/>
      <c r="C337" s="201">
        <v>533.34</v>
      </c>
      <c r="D337" s="201">
        <v>473.69</v>
      </c>
      <c r="E337" s="202">
        <v>473.03</v>
      </c>
      <c r="F337" s="47">
        <v>553.98</v>
      </c>
      <c r="G337" s="47">
        <v>632.86999999999989</v>
      </c>
      <c r="H337" s="47">
        <v>591.60299999999995</v>
      </c>
      <c r="I337" s="47">
        <v>628.53200000000004</v>
      </c>
      <c r="J337" s="47">
        <v>635.16999999999996</v>
      </c>
      <c r="K337" s="47">
        <v>610.31399999999996</v>
      </c>
      <c r="L337" s="47">
        <v>621.89699500000006</v>
      </c>
      <c r="M337" s="691">
        <f>661.875+9.722</f>
        <v>671.59699999999998</v>
      </c>
      <c r="N337" s="709"/>
    </row>
    <row r="338" spans="1:14" x14ac:dyDescent="0.25">
      <c r="A338" s="28" t="s">
        <v>21</v>
      </c>
      <c r="B338" s="28"/>
      <c r="C338" s="30">
        <f>C335-C337</f>
        <v>30.029999999999973</v>
      </c>
      <c r="D338" s="30">
        <f t="shared" ref="D338:K338" si="20">D335-D337</f>
        <v>60.79000000000002</v>
      </c>
      <c r="E338" s="30">
        <f t="shared" si="20"/>
        <v>80.66700000000003</v>
      </c>
      <c r="F338" s="47">
        <f t="shared" si="20"/>
        <v>95.836999999999989</v>
      </c>
      <c r="G338" s="47">
        <f t="shared" si="20"/>
        <v>20.839000000000169</v>
      </c>
      <c r="H338" s="47">
        <f t="shared" si="20"/>
        <v>44.046000000000163</v>
      </c>
      <c r="I338" s="47">
        <f>I335-I337</f>
        <v>51.324000000000183</v>
      </c>
      <c r="J338" s="47">
        <f t="shared" si="20"/>
        <v>39.584000000000174</v>
      </c>
      <c r="K338" s="47">
        <f t="shared" si="20"/>
        <v>53.100000000000136</v>
      </c>
      <c r="L338" s="47">
        <f>L335-L337</f>
        <v>49.853005000000053</v>
      </c>
      <c r="M338" s="47">
        <f>M335-M337</f>
        <v>-3.0939949999999499</v>
      </c>
      <c r="N338" s="709"/>
    </row>
    <row r="339" spans="1:14" x14ac:dyDescent="0.25">
      <c r="A339" s="36" t="s">
        <v>22</v>
      </c>
      <c r="B339" s="36"/>
      <c r="C339" s="203">
        <v>2016</v>
      </c>
      <c r="D339" s="203">
        <v>2017</v>
      </c>
      <c r="E339" s="204">
        <v>2018</v>
      </c>
      <c r="F339" s="703">
        <v>2019</v>
      </c>
      <c r="G339" s="703">
        <v>2020</v>
      </c>
      <c r="H339" s="703">
        <v>2021</v>
      </c>
      <c r="I339" s="703">
        <v>2022</v>
      </c>
      <c r="J339" s="703">
        <v>2023</v>
      </c>
      <c r="K339" s="703">
        <v>2024</v>
      </c>
      <c r="L339" s="703">
        <v>2025</v>
      </c>
      <c r="M339" s="703">
        <v>2026</v>
      </c>
      <c r="N339" s="703">
        <v>2027</v>
      </c>
    </row>
    <row r="340" spans="1:14" x14ac:dyDescent="0.25">
      <c r="A340" s="36" t="s">
        <v>956</v>
      </c>
      <c r="B340" s="37"/>
      <c r="C340" s="205"/>
      <c r="D340" s="205"/>
      <c r="E340" s="196"/>
      <c r="F340" s="669"/>
      <c r="G340" s="669"/>
      <c r="H340" s="669"/>
      <c r="I340" s="669"/>
      <c r="J340" s="669"/>
      <c r="K340" s="669"/>
      <c r="L340" s="669"/>
      <c r="M340" s="669"/>
      <c r="N340" s="672"/>
    </row>
    <row r="341" spans="1:14" x14ac:dyDescent="0.25">
      <c r="A341" s="85" t="s">
        <v>957</v>
      </c>
      <c r="B341" s="74"/>
      <c r="C341" s="74"/>
      <c r="D341" s="74"/>
      <c r="E341" s="74"/>
      <c r="F341" s="686"/>
      <c r="G341" s="686"/>
      <c r="N341" s="684"/>
    </row>
    <row r="342" spans="1:14" x14ac:dyDescent="0.25">
      <c r="A342" s="85" t="s">
        <v>958</v>
      </c>
      <c r="B342" s="74"/>
      <c r="C342" s="74"/>
      <c r="D342" s="74"/>
      <c r="E342" s="74"/>
      <c r="F342" s="686"/>
      <c r="G342" s="686"/>
      <c r="N342" s="684"/>
    </row>
    <row r="343" spans="1:14" x14ac:dyDescent="0.25">
      <c r="A343" s="85" t="s">
        <v>728</v>
      </c>
      <c r="B343" s="74"/>
      <c r="C343" s="74"/>
      <c r="D343" s="74"/>
      <c r="E343" s="74"/>
      <c r="F343" s="686"/>
      <c r="G343" s="686"/>
      <c r="N343" s="684"/>
    </row>
    <row r="344" spans="1:14" x14ac:dyDescent="0.25">
      <c r="A344" s="64" t="s">
        <v>729</v>
      </c>
      <c r="N344" s="684"/>
    </row>
    <row r="345" spans="1:14" x14ac:dyDescent="0.25">
      <c r="A345" s="64" t="s">
        <v>730</v>
      </c>
      <c r="N345" s="684"/>
    </row>
    <row r="346" spans="1:14" x14ac:dyDescent="0.25">
      <c r="A346" s="64" t="s">
        <v>731</v>
      </c>
      <c r="N346" s="684"/>
    </row>
    <row r="347" spans="1:14" x14ac:dyDescent="0.25">
      <c r="A347" s="64" t="s">
        <v>768</v>
      </c>
      <c r="N347" s="684"/>
    </row>
    <row r="348" spans="1:14" x14ac:dyDescent="0.25">
      <c r="A348" s="64" t="s">
        <v>883</v>
      </c>
      <c r="N348" s="684"/>
    </row>
    <row r="349" spans="1:14" x14ac:dyDescent="0.25">
      <c r="A349" s="64" t="s">
        <v>970</v>
      </c>
      <c r="N349" s="684"/>
    </row>
    <row r="350" spans="1:14" x14ac:dyDescent="0.25">
      <c r="A350" s="64" t="s">
        <v>1227</v>
      </c>
      <c r="N350" s="684"/>
    </row>
    <row r="351" spans="1:14" x14ac:dyDescent="0.25">
      <c r="A351" s="206" t="s">
        <v>1305</v>
      </c>
      <c r="N351" s="684"/>
    </row>
    <row r="352" spans="1:14" x14ac:dyDescent="0.25">
      <c r="A352" s="72" t="s">
        <v>607</v>
      </c>
      <c r="B352" s="73"/>
      <c r="C352" s="73"/>
      <c r="D352" s="73"/>
      <c r="E352" s="73"/>
      <c r="F352" s="685"/>
      <c r="G352" s="685"/>
      <c r="H352" s="685"/>
      <c r="I352" s="685"/>
      <c r="J352" s="685"/>
      <c r="K352" s="685"/>
      <c r="L352" s="685"/>
      <c r="M352" s="685"/>
      <c r="N352" s="675"/>
    </row>
    <row r="355" spans="1:18" x14ac:dyDescent="0.25">
      <c r="A355" s="8" t="s">
        <v>12</v>
      </c>
      <c r="B355" s="9" t="s">
        <v>153</v>
      </c>
      <c r="N355" s="68">
        <f>242*0.25</f>
        <v>60.5</v>
      </c>
    </row>
    <row r="356" spans="1:18" x14ac:dyDescent="0.25">
      <c r="A356" s="207" t="s">
        <v>14</v>
      </c>
      <c r="B356" s="9" t="s">
        <v>624</v>
      </c>
      <c r="C356" s="27" t="s">
        <v>15</v>
      </c>
    </row>
    <row r="357" spans="1:18" x14ac:dyDescent="0.25">
      <c r="A357" s="208" t="s">
        <v>16</v>
      </c>
      <c r="B357" s="209">
        <v>2010</v>
      </c>
      <c r="C357" s="209">
        <v>2011</v>
      </c>
      <c r="D357" s="209">
        <v>2012</v>
      </c>
      <c r="E357" s="209">
        <v>2013</v>
      </c>
      <c r="F357" s="769">
        <v>2014</v>
      </c>
      <c r="G357" s="769">
        <v>2015</v>
      </c>
      <c r="H357" s="769">
        <v>2016</v>
      </c>
      <c r="I357" s="769">
        <v>2017</v>
      </c>
      <c r="J357" s="769">
        <v>2018</v>
      </c>
      <c r="K357" s="769">
        <v>2019</v>
      </c>
      <c r="L357" s="770">
        <v>2020</v>
      </c>
      <c r="M357" s="770">
        <v>2021</v>
      </c>
      <c r="N357" s="770">
        <v>2022</v>
      </c>
      <c r="O357" s="770">
        <v>2023</v>
      </c>
      <c r="P357" s="210">
        <v>2024</v>
      </c>
      <c r="Q357" s="210">
        <v>2025</v>
      </c>
      <c r="R357" s="210">
        <v>2026</v>
      </c>
    </row>
    <row r="358" spans="1:18" x14ac:dyDescent="0.25">
      <c r="A358" s="208" t="s">
        <v>17</v>
      </c>
      <c r="B358" s="211">
        <v>200</v>
      </c>
      <c r="C358" s="211">
        <v>200</v>
      </c>
      <c r="D358" s="211">
        <v>200</v>
      </c>
      <c r="E358" s="211">
        <v>200</v>
      </c>
      <c r="F358" s="771">
        <v>200</v>
      </c>
      <c r="G358" s="771">
        <v>200</v>
      </c>
      <c r="H358" s="252">
        <v>200</v>
      </c>
      <c r="I358" s="771">
        <v>200</v>
      </c>
      <c r="J358" s="771">
        <v>200</v>
      </c>
      <c r="K358" s="771">
        <v>215</v>
      </c>
      <c r="L358" s="47">
        <v>215</v>
      </c>
      <c r="M358" s="47">
        <v>242</v>
      </c>
      <c r="N358" s="47">
        <v>242</v>
      </c>
      <c r="O358" s="47">
        <v>242</v>
      </c>
      <c r="P358" s="30">
        <v>302</v>
      </c>
      <c r="Q358" s="30">
        <v>302</v>
      </c>
      <c r="R358" s="30">
        <v>302</v>
      </c>
    </row>
    <row r="359" spans="1:18" x14ac:dyDescent="0.25">
      <c r="A359" s="208" t="s">
        <v>18</v>
      </c>
      <c r="B359" s="211">
        <v>250</v>
      </c>
      <c r="C359" s="211">
        <v>250</v>
      </c>
      <c r="D359" s="211">
        <v>250</v>
      </c>
      <c r="E359" s="211">
        <v>250</v>
      </c>
      <c r="F359" s="771">
        <v>200</v>
      </c>
      <c r="G359" s="771">
        <v>250</v>
      </c>
      <c r="H359" s="252">
        <v>250</v>
      </c>
      <c r="I359" s="771">
        <v>250</v>
      </c>
      <c r="J359" s="771">
        <v>250</v>
      </c>
      <c r="K359" s="771">
        <v>265</v>
      </c>
      <c r="L359" s="771">
        <v>265</v>
      </c>
      <c r="M359" s="771">
        <f>M358+0.25*K358</f>
        <v>295.75</v>
      </c>
      <c r="N359" s="771">
        <f>N358+0.25*L358</f>
        <v>295.75</v>
      </c>
      <c r="O359" s="771">
        <f>O358+M362</f>
        <v>246.43</v>
      </c>
      <c r="P359" s="211">
        <f>P358+N362</f>
        <v>357.88</v>
      </c>
      <c r="Q359" s="211">
        <f>Q358+O362</f>
        <v>357.93</v>
      </c>
      <c r="R359" s="211">
        <f>R358+0.25*(P358)</f>
        <v>377.5</v>
      </c>
    </row>
    <row r="360" spans="1:18" x14ac:dyDescent="0.25">
      <c r="A360" s="208" t="s">
        <v>19</v>
      </c>
      <c r="B360" s="211"/>
      <c r="C360" s="211"/>
      <c r="D360" s="211"/>
      <c r="E360" s="211"/>
      <c r="F360" s="771"/>
      <c r="G360" s="771"/>
      <c r="H360" s="252"/>
      <c r="I360" s="252"/>
      <c r="J360" s="252"/>
      <c r="K360" s="252"/>
      <c r="L360" s="252"/>
      <c r="M360" s="47"/>
      <c r="N360" s="47"/>
      <c r="O360" s="47"/>
      <c r="P360" s="30"/>
      <c r="Q360" s="30"/>
      <c r="R360" s="30"/>
    </row>
    <row r="361" spans="1:18" x14ac:dyDescent="0.25">
      <c r="A361" s="208" t="s">
        <v>20</v>
      </c>
      <c r="B361" s="211">
        <v>150</v>
      </c>
      <c r="C361" s="211">
        <v>101</v>
      </c>
      <c r="D361" s="211">
        <v>21</v>
      </c>
      <c r="E361" s="211">
        <v>81.085999999999999</v>
      </c>
      <c r="F361" s="771">
        <v>34.866999999999997</v>
      </c>
      <c r="G361" s="771">
        <v>20.963999999999999</v>
      </c>
      <c r="H361" s="252">
        <v>103.196</v>
      </c>
      <c r="I361" s="252">
        <v>123.654</v>
      </c>
      <c r="J361" s="252">
        <v>123.839</v>
      </c>
      <c r="K361" s="252">
        <v>129.16</v>
      </c>
      <c r="L361" s="252">
        <v>207.66</v>
      </c>
      <c r="M361" s="47">
        <v>291.32</v>
      </c>
      <c r="N361" s="47">
        <v>239.87</v>
      </c>
      <c r="O361" s="47">
        <v>190.5</v>
      </c>
      <c r="P361" s="174">
        <v>279.01</v>
      </c>
      <c r="Q361" s="30">
        <v>271.48</v>
      </c>
      <c r="R361" s="30"/>
    </row>
    <row r="362" spans="1:18" x14ac:dyDescent="0.25">
      <c r="A362" s="208" t="s">
        <v>21</v>
      </c>
      <c r="B362" s="211">
        <v>100</v>
      </c>
      <c r="C362" s="211">
        <v>149</v>
      </c>
      <c r="D362" s="211">
        <v>229</v>
      </c>
      <c r="E362" s="211">
        <v>168.91399999999999</v>
      </c>
      <c r="F362" s="771">
        <v>165.13300000000001</v>
      </c>
      <c r="G362" s="771">
        <v>229.036</v>
      </c>
      <c r="H362" s="252">
        <v>146.804</v>
      </c>
      <c r="I362" s="252">
        <v>126.364</v>
      </c>
      <c r="J362" s="252">
        <v>126.161</v>
      </c>
      <c r="K362" s="252">
        <v>135.84</v>
      </c>
      <c r="L362" s="252">
        <f t="shared" ref="L362:Q362" si="21">L359-L361</f>
        <v>57.34</v>
      </c>
      <c r="M362" s="252">
        <f t="shared" si="21"/>
        <v>4.4300000000000068</v>
      </c>
      <c r="N362" s="252">
        <f t="shared" si="21"/>
        <v>55.879999999999995</v>
      </c>
      <c r="O362" s="252">
        <f t="shared" si="21"/>
        <v>55.930000000000007</v>
      </c>
      <c r="P362" s="212">
        <f t="shared" si="21"/>
        <v>78.87</v>
      </c>
      <c r="Q362" s="212">
        <f t="shared" si="21"/>
        <v>86.449999999999989</v>
      </c>
      <c r="R362" s="30">
        <v>357.93</v>
      </c>
    </row>
    <row r="363" spans="1:18" x14ac:dyDescent="0.25">
      <c r="A363" s="213" t="s">
        <v>22</v>
      </c>
      <c r="B363" s="214">
        <v>2012</v>
      </c>
      <c r="C363" s="214">
        <v>2013</v>
      </c>
      <c r="D363" s="214">
        <v>2014</v>
      </c>
      <c r="E363" s="214">
        <v>2015</v>
      </c>
      <c r="F363" s="773">
        <v>2016</v>
      </c>
      <c r="G363" s="773">
        <v>2017</v>
      </c>
      <c r="H363" s="257">
        <v>2018</v>
      </c>
      <c r="I363" s="257">
        <v>2019</v>
      </c>
      <c r="J363" s="257">
        <v>2020</v>
      </c>
      <c r="K363" s="257">
        <v>2021</v>
      </c>
      <c r="L363" s="257">
        <v>2022</v>
      </c>
      <c r="M363" s="257">
        <v>2023</v>
      </c>
      <c r="N363" s="257">
        <v>2024</v>
      </c>
      <c r="O363" s="257">
        <v>2025</v>
      </c>
      <c r="P363" s="215">
        <v>2026</v>
      </c>
      <c r="Q363" s="215">
        <v>2027</v>
      </c>
      <c r="R363" s="215">
        <v>2028</v>
      </c>
    </row>
    <row r="364" spans="1:18" x14ac:dyDescent="0.25">
      <c r="A364" s="216" t="s">
        <v>154</v>
      </c>
      <c r="B364" s="217"/>
      <c r="C364" s="217"/>
      <c r="D364" s="217"/>
      <c r="E364" s="217"/>
      <c r="F364" s="217"/>
      <c r="G364" s="217"/>
      <c r="H364" s="217"/>
      <c r="I364" s="217"/>
      <c r="J364" s="217"/>
      <c r="K364" s="217"/>
      <c r="L364" s="217"/>
      <c r="M364" s="217"/>
      <c r="N364" s="217"/>
      <c r="O364" s="217"/>
      <c r="P364" s="40"/>
      <c r="Q364" s="40"/>
      <c r="R364" s="40"/>
    </row>
    <row r="365" spans="1:18" x14ac:dyDescent="0.25">
      <c r="A365" s="218" t="s">
        <v>328</v>
      </c>
      <c r="B365" s="37"/>
      <c r="C365" s="37"/>
      <c r="D365" s="37"/>
      <c r="E365" s="37"/>
      <c r="F365" s="669"/>
      <c r="G365" s="669"/>
      <c r="H365" s="669"/>
      <c r="I365" s="669"/>
      <c r="J365" s="669"/>
      <c r="K365" s="669"/>
      <c r="L365" s="669"/>
      <c r="M365" s="669"/>
      <c r="N365" s="669"/>
      <c r="O365" s="669"/>
      <c r="P365" s="37"/>
      <c r="Q365" s="37"/>
      <c r="R365" s="40"/>
    </row>
    <row r="366" spans="1:18" x14ac:dyDescent="0.25">
      <c r="A366" s="219" t="s">
        <v>372</v>
      </c>
      <c r="R366" s="66"/>
    </row>
    <row r="367" spans="1:18" x14ac:dyDescent="0.25">
      <c r="A367" s="219" t="s">
        <v>373</v>
      </c>
      <c r="R367" s="66"/>
    </row>
    <row r="368" spans="1:18" x14ac:dyDescent="0.25">
      <c r="A368" s="219" t="s">
        <v>431</v>
      </c>
      <c r="R368" s="66"/>
    </row>
    <row r="369" spans="1:19" x14ac:dyDescent="0.25">
      <c r="A369" s="219" t="s">
        <v>608</v>
      </c>
      <c r="R369" s="66"/>
    </row>
    <row r="370" spans="1:19" x14ac:dyDescent="0.25">
      <c r="A370" s="219" t="s">
        <v>769</v>
      </c>
      <c r="R370" s="66"/>
    </row>
    <row r="371" spans="1:19" x14ac:dyDescent="0.25">
      <c r="A371" s="219" t="s">
        <v>986</v>
      </c>
      <c r="R371" s="66"/>
    </row>
    <row r="372" spans="1:19" x14ac:dyDescent="0.25">
      <c r="A372" s="219" t="s">
        <v>1103</v>
      </c>
      <c r="R372" s="66"/>
    </row>
    <row r="373" spans="1:19" s="73" customFormat="1" x14ac:dyDescent="0.25">
      <c r="A373" s="220" t="s">
        <v>1306</v>
      </c>
      <c r="F373" s="685"/>
      <c r="G373" s="685"/>
      <c r="H373" s="685"/>
      <c r="I373" s="685"/>
      <c r="J373" s="685"/>
      <c r="K373" s="685"/>
      <c r="L373" s="685"/>
      <c r="M373" s="685"/>
      <c r="N373" s="685"/>
      <c r="O373" s="685"/>
      <c r="R373" s="45"/>
    </row>
    <row r="375" spans="1:19" x14ac:dyDescent="0.25">
      <c r="A375" s="27" t="s">
        <v>14</v>
      </c>
      <c r="B375" s="27" t="s">
        <v>638</v>
      </c>
      <c r="C375" s="27" t="s">
        <v>15</v>
      </c>
    </row>
    <row r="376" spans="1:19" x14ac:dyDescent="0.25">
      <c r="A376" s="208" t="s">
        <v>16</v>
      </c>
      <c r="B376" s="209">
        <v>2010</v>
      </c>
      <c r="C376" s="209">
        <v>2011</v>
      </c>
      <c r="D376" s="209">
        <v>2012</v>
      </c>
      <c r="E376" s="209">
        <v>2013</v>
      </c>
      <c r="F376" s="769">
        <v>2014</v>
      </c>
      <c r="G376" s="769">
        <v>2015</v>
      </c>
      <c r="H376" s="769">
        <v>2016</v>
      </c>
      <c r="I376" s="769">
        <v>2017</v>
      </c>
      <c r="J376" s="769">
        <v>2018</v>
      </c>
      <c r="K376" s="769">
        <v>2019</v>
      </c>
      <c r="L376" s="769">
        <v>2020</v>
      </c>
      <c r="M376" s="770">
        <v>2021</v>
      </c>
      <c r="N376" s="770">
        <v>2022</v>
      </c>
      <c r="O376" s="770">
        <v>2023</v>
      </c>
      <c r="P376" s="210">
        <v>2024</v>
      </c>
      <c r="Q376" s="210">
        <v>2025</v>
      </c>
      <c r="R376" s="210">
        <v>2026</v>
      </c>
      <c r="S376" s="210">
        <v>2027</v>
      </c>
    </row>
    <row r="377" spans="1:19" x14ac:dyDescent="0.25">
      <c r="A377" s="208" t="s">
        <v>17</v>
      </c>
      <c r="B377" s="211">
        <v>100</v>
      </c>
      <c r="C377" s="211">
        <v>100</v>
      </c>
      <c r="D377" s="211">
        <v>100</v>
      </c>
      <c r="E377" s="211">
        <v>100</v>
      </c>
      <c r="F377" s="771">
        <v>100</v>
      </c>
      <c r="G377" s="771">
        <v>100</v>
      </c>
      <c r="H377" s="252">
        <v>100</v>
      </c>
      <c r="I377" s="771">
        <v>200</v>
      </c>
      <c r="J377" s="252">
        <v>200</v>
      </c>
      <c r="K377" s="771">
        <v>200</v>
      </c>
      <c r="L377" s="771">
        <v>200</v>
      </c>
      <c r="M377" s="252">
        <v>200</v>
      </c>
      <c r="N377" s="252">
        <v>200</v>
      </c>
      <c r="O377" s="252">
        <v>240</v>
      </c>
      <c r="P377" s="212">
        <v>240</v>
      </c>
      <c r="Q377" s="212">
        <v>240</v>
      </c>
      <c r="R377" s="212">
        <v>240</v>
      </c>
      <c r="S377" s="212">
        <v>240</v>
      </c>
    </row>
    <row r="378" spans="1:19" x14ac:dyDescent="0.25">
      <c r="A378" s="208" t="s">
        <v>18</v>
      </c>
      <c r="B378" s="211">
        <v>100</v>
      </c>
      <c r="C378" s="211">
        <v>100</v>
      </c>
      <c r="D378" s="211">
        <v>100</v>
      </c>
      <c r="E378" s="211">
        <v>100</v>
      </c>
      <c r="F378" s="771">
        <v>100</v>
      </c>
      <c r="G378" s="771">
        <v>125</v>
      </c>
      <c r="H378" s="252">
        <v>125</v>
      </c>
      <c r="I378" s="771">
        <f>200+G381</f>
        <v>204.595</v>
      </c>
      <c r="J378" s="771">
        <v>250</v>
      </c>
      <c r="K378" s="771">
        <f>K377+I381</f>
        <v>220.04499999999999</v>
      </c>
      <c r="L378" s="771">
        <v>250</v>
      </c>
      <c r="M378" s="252">
        <f>M377*1.25</f>
        <v>250</v>
      </c>
      <c r="N378" s="252">
        <f>N377*1.25</f>
        <v>250</v>
      </c>
      <c r="O378" s="252">
        <f>O377+0.25*M377</f>
        <v>290</v>
      </c>
      <c r="P378" s="212">
        <f>P377+2.98</f>
        <v>242.98</v>
      </c>
      <c r="Q378" s="212">
        <f>Q377+O377*0.25</f>
        <v>300</v>
      </c>
      <c r="R378" s="212">
        <f>R377+P377*0.25</f>
        <v>300</v>
      </c>
      <c r="S378" s="212">
        <f>S377+Q377*0.25</f>
        <v>300</v>
      </c>
    </row>
    <row r="379" spans="1:19" x14ac:dyDescent="0.25">
      <c r="A379" s="208" t="s">
        <v>19</v>
      </c>
      <c r="B379" s="221"/>
      <c r="C379" s="221"/>
      <c r="D379" s="221"/>
      <c r="E379" s="221"/>
      <c r="F379" s="774"/>
      <c r="G379" s="774"/>
      <c r="H379" s="47"/>
      <c r="I379" s="47"/>
      <c r="J379" s="47"/>
      <c r="K379" s="47"/>
      <c r="L379" s="47"/>
      <c r="M379" s="47"/>
      <c r="N379" s="47"/>
      <c r="O379" s="47"/>
      <c r="P379" s="30"/>
      <c r="Q379" s="30"/>
      <c r="R379" s="30"/>
      <c r="S379" s="30"/>
    </row>
    <row r="380" spans="1:19" x14ac:dyDescent="0.25">
      <c r="A380" s="208" t="s">
        <v>20</v>
      </c>
      <c r="B380" s="211">
        <v>100</v>
      </c>
      <c r="C380" s="211">
        <v>80.05</v>
      </c>
      <c r="D380" s="211">
        <v>61.02</v>
      </c>
      <c r="E380" s="211">
        <v>65.126999999999995</v>
      </c>
      <c r="F380" s="771">
        <v>33.822000000000003</v>
      </c>
      <c r="G380" s="771">
        <v>120.405</v>
      </c>
      <c r="H380" s="252">
        <v>94.369</v>
      </c>
      <c r="I380" s="252">
        <v>184.55</v>
      </c>
      <c r="J380" s="252">
        <v>116.455</v>
      </c>
      <c r="K380" s="252">
        <v>132.07</v>
      </c>
      <c r="L380" s="252">
        <v>183.94</v>
      </c>
      <c r="M380" s="252">
        <v>9.66</v>
      </c>
      <c r="N380" s="252">
        <v>31.19</v>
      </c>
      <c r="O380" s="252">
        <v>91.44</v>
      </c>
      <c r="P380" s="212">
        <v>116.16</v>
      </c>
      <c r="Q380" s="212">
        <v>96.84</v>
      </c>
      <c r="R380" s="212"/>
      <c r="S380" s="212"/>
    </row>
    <row r="381" spans="1:19" x14ac:dyDescent="0.25">
      <c r="A381" s="208" t="s">
        <v>21</v>
      </c>
      <c r="B381" s="211">
        <f>B378-B380</f>
        <v>0</v>
      </c>
      <c r="C381" s="211">
        <f t="shared" ref="C381:Q381" si="22">C378-C380</f>
        <v>19.950000000000003</v>
      </c>
      <c r="D381" s="211">
        <f t="shared" si="22"/>
        <v>38.979999999999997</v>
      </c>
      <c r="E381" s="211">
        <f t="shared" si="22"/>
        <v>34.873000000000005</v>
      </c>
      <c r="F381" s="771">
        <f t="shared" si="22"/>
        <v>66.177999999999997</v>
      </c>
      <c r="G381" s="771">
        <f t="shared" si="22"/>
        <v>4.5949999999999989</v>
      </c>
      <c r="H381" s="771">
        <f t="shared" si="22"/>
        <v>30.631</v>
      </c>
      <c r="I381" s="771">
        <f t="shared" si="22"/>
        <v>20.044999999999987</v>
      </c>
      <c r="J381" s="771">
        <f t="shared" si="22"/>
        <v>133.54500000000002</v>
      </c>
      <c r="K381" s="771">
        <f t="shared" si="22"/>
        <v>87.974999999999994</v>
      </c>
      <c r="L381" s="771">
        <f t="shared" si="22"/>
        <v>66.06</v>
      </c>
      <c r="M381" s="771">
        <f t="shared" si="22"/>
        <v>240.34</v>
      </c>
      <c r="N381" s="771">
        <f t="shared" si="22"/>
        <v>218.81</v>
      </c>
      <c r="O381" s="771">
        <f t="shared" si="22"/>
        <v>198.56</v>
      </c>
      <c r="P381" s="211">
        <f t="shared" si="22"/>
        <v>126.82</v>
      </c>
      <c r="Q381" s="211">
        <f t="shared" si="22"/>
        <v>203.16</v>
      </c>
      <c r="R381" s="212"/>
      <c r="S381" s="212"/>
    </row>
    <row r="382" spans="1:19" x14ac:dyDescent="0.25">
      <c r="A382" s="213" t="s">
        <v>22</v>
      </c>
      <c r="B382" s="214">
        <v>2012</v>
      </c>
      <c r="C382" s="214">
        <v>2013</v>
      </c>
      <c r="D382" s="214">
        <v>2014</v>
      </c>
      <c r="E382" s="214">
        <v>2015</v>
      </c>
      <c r="F382" s="773">
        <v>2016</v>
      </c>
      <c r="G382" s="773">
        <v>2017</v>
      </c>
      <c r="H382" s="257">
        <v>2018</v>
      </c>
      <c r="I382" s="257">
        <v>2019</v>
      </c>
      <c r="J382" s="257">
        <v>2020</v>
      </c>
      <c r="K382" s="257">
        <v>2021</v>
      </c>
      <c r="L382" s="257">
        <v>2022</v>
      </c>
      <c r="M382" s="257">
        <v>2023</v>
      </c>
      <c r="N382" s="257">
        <v>2024</v>
      </c>
      <c r="O382" s="257">
        <v>2025</v>
      </c>
      <c r="P382" s="215">
        <v>2026</v>
      </c>
      <c r="Q382" s="215">
        <v>2027</v>
      </c>
      <c r="R382" s="215">
        <v>2028</v>
      </c>
      <c r="S382" s="215">
        <v>2029</v>
      </c>
    </row>
    <row r="383" spans="1:19" x14ac:dyDescent="0.25">
      <c r="A383" s="36" t="s">
        <v>154</v>
      </c>
      <c r="B383" s="37"/>
      <c r="C383" s="37"/>
      <c r="D383" s="37"/>
      <c r="E383" s="37"/>
      <c r="F383" s="669"/>
      <c r="G383" s="669"/>
      <c r="H383" s="669"/>
      <c r="I383" s="669"/>
      <c r="J383" s="669"/>
      <c r="K383" s="669"/>
      <c r="L383" s="669"/>
      <c r="M383" s="669"/>
      <c r="N383" s="669"/>
      <c r="O383" s="669"/>
      <c r="P383" s="40"/>
      <c r="Q383" s="40"/>
      <c r="R383" s="40"/>
      <c r="S383" s="101"/>
    </row>
    <row r="384" spans="1:19" x14ac:dyDescent="0.25">
      <c r="A384" s="218" t="s">
        <v>155</v>
      </c>
      <c r="B384" s="37"/>
      <c r="C384" s="37"/>
      <c r="D384" s="37"/>
      <c r="E384" s="37"/>
      <c r="F384" s="669"/>
      <c r="G384" s="669"/>
      <c r="H384" s="669"/>
      <c r="I384" s="669"/>
      <c r="J384" s="669"/>
      <c r="K384" s="669"/>
      <c r="L384" s="669"/>
      <c r="M384" s="669"/>
      <c r="N384" s="669"/>
      <c r="O384" s="669"/>
      <c r="P384" s="37"/>
      <c r="Q384" s="37"/>
      <c r="R384" s="37"/>
      <c r="S384" s="40"/>
    </row>
    <row r="385" spans="1:19" x14ac:dyDescent="0.25">
      <c r="A385" s="219" t="s">
        <v>336</v>
      </c>
      <c r="S385" s="66"/>
    </row>
    <row r="386" spans="1:19" x14ac:dyDescent="0.25">
      <c r="A386" s="219" t="s">
        <v>156</v>
      </c>
      <c r="S386" s="66"/>
    </row>
    <row r="387" spans="1:19" x14ac:dyDescent="0.25">
      <c r="A387" s="219" t="s">
        <v>337</v>
      </c>
      <c r="S387" s="66"/>
    </row>
    <row r="388" spans="1:19" x14ac:dyDescent="0.25">
      <c r="A388" s="219" t="s">
        <v>432</v>
      </c>
      <c r="S388" s="66"/>
    </row>
    <row r="389" spans="1:19" x14ac:dyDescent="0.25">
      <c r="A389" s="219" t="s">
        <v>578</v>
      </c>
      <c r="S389" s="66"/>
    </row>
    <row r="390" spans="1:19" x14ac:dyDescent="0.25">
      <c r="A390" s="219" t="s">
        <v>770</v>
      </c>
      <c r="S390" s="66"/>
    </row>
    <row r="391" spans="1:19" x14ac:dyDescent="0.25">
      <c r="A391" s="219" t="s">
        <v>919</v>
      </c>
      <c r="S391" s="66"/>
    </row>
    <row r="392" spans="1:19" x14ac:dyDescent="0.25">
      <c r="A392" s="222" t="s">
        <v>1100</v>
      </c>
      <c r="S392" s="66"/>
    </row>
    <row r="393" spans="1:19" x14ac:dyDescent="0.25">
      <c r="A393" s="220" t="s">
        <v>1258</v>
      </c>
      <c r="B393" s="73"/>
      <c r="C393" s="73"/>
      <c r="D393" s="73"/>
      <c r="E393" s="73"/>
      <c r="F393" s="685"/>
      <c r="G393" s="685"/>
      <c r="H393" s="685"/>
      <c r="I393" s="685"/>
      <c r="J393" s="685"/>
      <c r="K393" s="685"/>
      <c r="L393" s="685"/>
      <c r="M393" s="685"/>
      <c r="N393" s="685"/>
      <c r="O393" s="685"/>
      <c r="P393" s="73"/>
      <c r="Q393" s="73"/>
      <c r="R393" s="73"/>
      <c r="S393" s="45"/>
    </row>
    <row r="394" spans="1:19" x14ac:dyDescent="0.25">
      <c r="A394" s="223"/>
    </row>
    <row r="395" spans="1:19" ht="13" x14ac:dyDescent="0.3">
      <c r="A395" s="8" t="s">
        <v>12</v>
      </c>
      <c r="B395" s="9"/>
      <c r="C395" s="13"/>
      <c r="F395" s="653"/>
    </row>
    <row r="396" spans="1:19" ht="13" x14ac:dyDescent="0.3">
      <c r="A396" s="8" t="s">
        <v>14</v>
      </c>
      <c r="B396" s="9" t="s">
        <v>642</v>
      </c>
      <c r="C396" s="27" t="s">
        <v>15</v>
      </c>
      <c r="F396" s="653"/>
    </row>
    <row r="397" spans="1:19" x14ac:dyDescent="0.25">
      <c r="A397" s="28" t="s">
        <v>16</v>
      </c>
      <c r="B397" s="29"/>
      <c r="C397" s="29">
        <v>2023</v>
      </c>
      <c r="D397" s="29">
        <v>2024</v>
      </c>
      <c r="E397" s="46">
        <v>2025</v>
      </c>
      <c r="F397" s="46">
        <v>2026</v>
      </c>
    </row>
    <row r="398" spans="1:19" x14ac:dyDescent="0.25">
      <c r="A398" s="28" t="s">
        <v>17</v>
      </c>
      <c r="B398" s="30"/>
      <c r="C398" s="30">
        <v>112</v>
      </c>
      <c r="D398" s="30">
        <v>112</v>
      </c>
      <c r="E398" s="47">
        <v>112</v>
      </c>
      <c r="F398" s="47">
        <v>286.14999999999998</v>
      </c>
    </row>
    <row r="399" spans="1:19" x14ac:dyDescent="0.25">
      <c r="A399" s="28" t="s">
        <v>18</v>
      </c>
      <c r="B399" s="30"/>
      <c r="C399" s="30">
        <v>117.1</v>
      </c>
      <c r="D399" s="30">
        <v>113.3</v>
      </c>
      <c r="E399" s="47">
        <v>112.7</v>
      </c>
      <c r="F399" s="47">
        <v>308.55</v>
      </c>
    </row>
    <row r="400" spans="1:19" x14ac:dyDescent="0.25">
      <c r="A400" s="28" t="s">
        <v>19</v>
      </c>
      <c r="B400" s="31"/>
      <c r="C400" s="32"/>
      <c r="D400" s="32"/>
      <c r="E400" s="48"/>
      <c r="F400" s="224" t="s">
        <v>1293</v>
      </c>
    </row>
    <row r="401" spans="1:18" x14ac:dyDescent="0.25">
      <c r="A401" s="28" t="s">
        <v>20</v>
      </c>
      <c r="B401" s="30"/>
      <c r="C401" s="30">
        <v>115.8</v>
      </c>
      <c r="D401" s="30">
        <v>112.6</v>
      </c>
      <c r="E401" s="47">
        <v>84.99</v>
      </c>
      <c r="F401" s="47"/>
    </row>
    <row r="402" spans="1:18" x14ac:dyDescent="0.25">
      <c r="A402" s="28" t="s">
        <v>21</v>
      </c>
      <c r="B402" s="30"/>
      <c r="C402" s="30">
        <f>C399-C401</f>
        <v>1.2999999999999972</v>
      </c>
      <c r="D402" s="30">
        <f>D399-D401</f>
        <v>0.70000000000000284</v>
      </c>
      <c r="E402" s="30">
        <f>E399-E401</f>
        <v>27.710000000000008</v>
      </c>
      <c r="F402" s="47"/>
    </row>
    <row r="403" spans="1:18" x14ac:dyDescent="0.25">
      <c r="A403" s="34" t="s">
        <v>22</v>
      </c>
      <c r="B403" s="35"/>
      <c r="C403" s="35">
        <v>2024</v>
      </c>
      <c r="D403" s="35">
        <v>2025</v>
      </c>
      <c r="E403" s="49">
        <v>2026</v>
      </c>
      <c r="F403" s="49">
        <v>2027</v>
      </c>
    </row>
    <row r="404" spans="1:18" ht="13" x14ac:dyDescent="0.3">
      <c r="A404" s="50" t="s">
        <v>23</v>
      </c>
      <c r="B404" s="51"/>
      <c r="C404" s="51"/>
      <c r="D404" s="51"/>
      <c r="E404" s="52"/>
      <c r="F404" s="677"/>
    </row>
    <row r="405" spans="1:18" ht="13" x14ac:dyDescent="0.3">
      <c r="A405" s="53"/>
      <c r="B405" s="54"/>
      <c r="C405" s="54"/>
      <c r="D405" s="54"/>
      <c r="E405" s="38"/>
      <c r="F405" s="678"/>
    </row>
    <row r="406" spans="1:18" ht="13" x14ac:dyDescent="0.3">
      <c r="A406" s="55"/>
      <c r="B406" s="56"/>
      <c r="C406" s="56"/>
      <c r="D406" s="56"/>
      <c r="E406" s="43"/>
      <c r="F406" s="679"/>
    </row>
    <row r="408" spans="1:18" x14ac:dyDescent="0.25">
      <c r="A408" s="8" t="s">
        <v>14</v>
      </c>
      <c r="B408" s="9" t="s">
        <v>623</v>
      </c>
      <c r="C408" s="9" t="s">
        <v>15</v>
      </c>
    </row>
    <row r="409" spans="1:18" x14ac:dyDescent="0.25">
      <c r="A409" s="225" t="s">
        <v>16</v>
      </c>
      <c r="B409" s="226">
        <v>2010</v>
      </c>
      <c r="C409" s="209">
        <v>2011</v>
      </c>
      <c r="D409" s="209">
        <v>2012</v>
      </c>
      <c r="E409" s="209">
        <v>2013</v>
      </c>
      <c r="F409" s="769">
        <v>2014</v>
      </c>
      <c r="G409" s="769">
        <v>2015</v>
      </c>
      <c r="H409" s="769">
        <v>2016</v>
      </c>
      <c r="I409" s="769">
        <v>2017</v>
      </c>
      <c r="J409" s="769">
        <v>2018</v>
      </c>
      <c r="K409" s="769">
        <v>2019</v>
      </c>
      <c r="L409" s="769">
        <v>2020</v>
      </c>
      <c r="M409" s="770">
        <v>2021</v>
      </c>
      <c r="N409" s="770">
        <v>2022</v>
      </c>
      <c r="O409" s="770">
        <v>2023</v>
      </c>
      <c r="P409" s="210">
        <v>2024</v>
      </c>
      <c r="Q409" s="173">
        <v>2025</v>
      </c>
      <c r="R409" s="173">
        <v>2026</v>
      </c>
    </row>
    <row r="410" spans="1:18" x14ac:dyDescent="0.25">
      <c r="A410" s="208" t="s">
        <v>17</v>
      </c>
      <c r="B410" s="211">
        <v>75</v>
      </c>
      <c r="C410" s="211">
        <v>75</v>
      </c>
      <c r="D410" s="211">
        <v>75</v>
      </c>
      <c r="E410" s="211">
        <v>75</v>
      </c>
      <c r="F410" s="771">
        <v>75</v>
      </c>
      <c r="G410" s="771">
        <v>75</v>
      </c>
      <c r="H410" s="771">
        <v>75</v>
      </c>
      <c r="I410" s="771">
        <v>75</v>
      </c>
      <c r="J410" s="252">
        <v>100</v>
      </c>
      <c r="K410" s="771">
        <v>100</v>
      </c>
      <c r="L410" s="771">
        <v>100</v>
      </c>
      <c r="M410" s="252">
        <v>100</v>
      </c>
      <c r="N410" s="252">
        <v>100</v>
      </c>
      <c r="O410" s="252">
        <v>100</v>
      </c>
      <c r="P410" s="212">
        <v>100</v>
      </c>
      <c r="Q410" s="101">
        <v>111</v>
      </c>
      <c r="R410" s="101">
        <v>111</v>
      </c>
    </row>
    <row r="411" spans="1:18" x14ac:dyDescent="0.25">
      <c r="A411" s="208" t="s">
        <v>18</v>
      </c>
      <c r="B411" s="211">
        <v>79</v>
      </c>
      <c r="C411" s="211">
        <v>80</v>
      </c>
      <c r="D411" s="211">
        <v>105.3</v>
      </c>
      <c r="E411" s="211">
        <v>100</v>
      </c>
      <c r="F411" s="771">
        <v>100</v>
      </c>
      <c r="G411" s="252">
        <v>104.054</v>
      </c>
      <c r="H411" s="771">
        <v>137.5</v>
      </c>
      <c r="I411" s="771">
        <v>88</v>
      </c>
      <c r="J411" s="252">
        <v>90.442999999999998</v>
      </c>
      <c r="K411" s="771">
        <f>K410-12.726+6.69</f>
        <v>93.963999999999999</v>
      </c>
      <c r="L411" s="771">
        <v>103.95</v>
      </c>
      <c r="M411" s="252">
        <f>M410+K414</f>
        <v>102.404</v>
      </c>
      <c r="N411" s="252">
        <f>N410+L414</f>
        <v>107.78</v>
      </c>
      <c r="O411" s="252">
        <f>O410+0.15*M410</f>
        <v>115</v>
      </c>
      <c r="P411" s="212">
        <f>P410+0.15*N410</f>
        <v>115</v>
      </c>
      <c r="Q411" s="101">
        <v>121</v>
      </c>
      <c r="R411" s="101">
        <v>122.79</v>
      </c>
    </row>
    <row r="412" spans="1:18" x14ac:dyDescent="0.25">
      <c r="A412" s="208" t="s">
        <v>19</v>
      </c>
      <c r="B412" s="211"/>
      <c r="C412" s="211"/>
      <c r="D412" s="211"/>
      <c r="E412" s="211"/>
      <c r="F412" s="771"/>
      <c r="G412" s="252"/>
      <c r="H412" s="252"/>
      <c r="I412" s="252"/>
      <c r="J412" s="775"/>
      <c r="K412" s="252"/>
      <c r="L412" s="252"/>
      <c r="M412" s="252"/>
      <c r="N412" s="252"/>
      <c r="O412" s="252"/>
      <c r="P412" s="212"/>
      <c r="Q412" s="101"/>
      <c r="R412" s="101"/>
    </row>
    <row r="413" spans="1:18" x14ac:dyDescent="0.25">
      <c r="A413" s="208" t="s">
        <v>20</v>
      </c>
      <c r="B413" s="211">
        <v>74</v>
      </c>
      <c r="C413" s="211">
        <v>74.7</v>
      </c>
      <c r="D413" s="211">
        <v>59</v>
      </c>
      <c r="E413" s="211">
        <v>95.945999999999998</v>
      </c>
      <c r="F413" s="771">
        <v>60.292999999999999</v>
      </c>
      <c r="G413" s="252">
        <v>140.78</v>
      </c>
      <c r="H413" s="252">
        <v>135.05699999999999</v>
      </c>
      <c r="I413" s="252">
        <v>81.31</v>
      </c>
      <c r="J413" s="252">
        <v>86.498000000000005</v>
      </c>
      <c r="K413" s="252">
        <v>91.56</v>
      </c>
      <c r="L413" s="252">
        <v>96.17</v>
      </c>
      <c r="M413" s="252">
        <v>58.583999999999996</v>
      </c>
      <c r="N413" s="252">
        <v>37.61</v>
      </c>
      <c r="O413" s="252">
        <v>105</v>
      </c>
      <c r="P413" s="212">
        <v>103.21</v>
      </c>
      <c r="Q413" s="101">
        <v>90.77</v>
      </c>
      <c r="R413" s="101"/>
    </row>
    <row r="414" spans="1:18" x14ac:dyDescent="0.25">
      <c r="A414" s="208" t="s">
        <v>21</v>
      </c>
      <c r="B414" s="211">
        <v>5</v>
      </c>
      <c r="C414" s="211">
        <v>5.3</v>
      </c>
      <c r="D414" s="211">
        <v>46.3</v>
      </c>
      <c r="E414" s="211">
        <v>4.0540000000000003</v>
      </c>
      <c r="F414" s="771">
        <v>39.707000000000001</v>
      </c>
      <c r="G414" s="252">
        <v>-36.725999999999999</v>
      </c>
      <c r="H414" s="252">
        <v>2.4430000000000001</v>
      </c>
      <c r="I414" s="252">
        <v>6.6899999999999977</v>
      </c>
      <c r="J414" s="252">
        <v>3.9449999999999998</v>
      </c>
      <c r="K414" s="252">
        <f t="shared" ref="K414:Q414" si="23">K411-K413</f>
        <v>2.4039999999999964</v>
      </c>
      <c r="L414" s="252">
        <f t="shared" si="23"/>
        <v>7.7800000000000011</v>
      </c>
      <c r="M414" s="252">
        <f t="shared" si="23"/>
        <v>43.82</v>
      </c>
      <c r="N414" s="252">
        <f t="shared" si="23"/>
        <v>70.17</v>
      </c>
      <c r="O414" s="252">
        <f t="shared" si="23"/>
        <v>10</v>
      </c>
      <c r="P414" s="212">
        <f t="shared" si="23"/>
        <v>11.790000000000006</v>
      </c>
      <c r="Q414" s="212">
        <f t="shared" si="23"/>
        <v>30.230000000000004</v>
      </c>
      <c r="R414" s="101"/>
    </row>
    <row r="415" spans="1:18" x14ac:dyDescent="0.25">
      <c r="A415" s="213" t="s">
        <v>22</v>
      </c>
      <c r="B415" s="214">
        <v>2011</v>
      </c>
      <c r="C415" s="214">
        <v>2012</v>
      </c>
      <c r="D415" s="214">
        <v>2014</v>
      </c>
      <c r="E415" s="214">
        <v>2015</v>
      </c>
      <c r="F415" s="773">
        <v>2016</v>
      </c>
      <c r="G415" s="257">
        <v>2017</v>
      </c>
      <c r="H415" s="257">
        <v>2018</v>
      </c>
      <c r="I415" s="257">
        <v>2019</v>
      </c>
      <c r="J415" s="257">
        <v>2020</v>
      </c>
      <c r="K415" s="257">
        <v>2021</v>
      </c>
      <c r="L415" s="257">
        <v>2022</v>
      </c>
      <c r="M415" s="49">
        <v>2023</v>
      </c>
      <c r="N415" s="49">
        <v>2024</v>
      </c>
      <c r="O415" s="49">
        <v>2025</v>
      </c>
      <c r="P415" s="35">
        <v>2026</v>
      </c>
      <c r="Q415" s="101">
        <v>2027</v>
      </c>
      <c r="R415" s="101">
        <v>2028</v>
      </c>
    </row>
    <row r="416" spans="1:18" x14ac:dyDescent="0.25">
      <c r="A416" s="36" t="s">
        <v>154</v>
      </c>
      <c r="B416" s="37"/>
      <c r="C416" s="37"/>
      <c r="D416" s="37"/>
      <c r="E416" s="37"/>
      <c r="F416" s="669"/>
      <c r="G416" s="669"/>
      <c r="H416" s="669"/>
      <c r="I416" s="669"/>
      <c r="J416" s="669"/>
      <c r="K416" s="669"/>
      <c r="L416" s="669"/>
      <c r="M416" s="669"/>
      <c r="N416" s="669"/>
      <c r="O416" s="672"/>
      <c r="P416" s="40"/>
      <c r="Q416" s="90"/>
      <c r="R416" s="90"/>
    </row>
    <row r="417" spans="1:18" x14ac:dyDescent="0.25">
      <c r="A417" s="216" t="s">
        <v>433</v>
      </c>
      <c r="B417" s="217"/>
      <c r="C417" s="217"/>
      <c r="D417" s="217"/>
      <c r="E417" s="217"/>
      <c r="F417" s="217"/>
      <c r="G417" s="217"/>
      <c r="H417" s="217"/>
      <c r="I417" s="217"/>
      <c r="J417" s="217"/>
      <c r="K417" s="217"/>
      <c r="L417" s="217"/>
      <c r="M417" s="217"/>
      <c r="N417" s="669"/>
      <c r="O417" s="669"/>
      <c r="P417" s="37"/>
      <c r="Q417" s="37"/>
      <c r="R417" s="40"/>
    </row>
    <row r="418" spans="1:18" x14ac:dyDescent="0.25">
      <c r="A418" s="218" t="s">
        <v>338</v>
      </c>
      <c r="B418" s="37"/>
      <c r="C418" s="37"/>
      <c r="D418" s="37"/>
      <c r="E418" s="37"/>
      <c r="F418" s="669"/>
      <c r="G418" s="669"/>
      <c r="H418" s="669"/>
      <c r="I418" s="669"/>
      <c r="J418" s="669"/>
      <c r="K418" s="669"/>
      <c r="L418" s="669"/>
      <c r="M418" s="669"/>
      <c r="N418" s="669"/>
      <c r="O418" s="669"/>
      <c r="P418" s="37"/>
      <c r="Q418" s="37"/>
      <c r="R418" s="40"/>
    </row>
    <row r="419" spans="1:18" x14ac:dyDescent="0.25">
      <c r="A419" s="64" t="s">
        <v>157</v>
      </c>
      <c r="R419" s="66"/>
    </row>
    <row r="420" spans="1:18" x14ac:dyDescent="0.25">
      <c r="A420" s="64" t="s">
        <v>434</v>
      </c>
      <c r="R420" s="66"/>
    </row>
    <row r="421" spans="1:18" x14ac:dyDescent="0.25">
      <c r="A421" s="64" t="s">
        <v>435</v>
      </c>
      <c r="R421" s="66"/>
    </row>
    <row r="422" spans="1:18" x14ac:dyDescent="0.25">
      <c r="A422" s="64" t="s">
        <v>609</v>
      </c>
      <c r="R422" s="66"/>
    </row>
    <row r="423" spans="1:18" x14ac:dyDescent="0.25">
      <c r="A423" s="64" t="s">
        <v>771</v>
      </c>
      <c r="R423" s="66"/>
    </row>
    <row r="424" spans="1:18" x14ac:dyDescent="0.25">
      <c r="A424" s="64" t="s">
        <v>987</v>
      </c>
      <c r="R424" s="66"/>
    </row>
    <row r="425" spans="1:18" x14ac:dyDescent="0.25">
      <c r="A425" s="64" t="s">
        <v>1259</v>
      </c>
      <c r="R425" s="66"/>
    </row>
    <row r="426" spans="1:18" s="73" customFormat="1" x14ac:dyDescent="0.25">
      <c r="A426" s="65" t="s">
        <v>1307</v>
      </c>
      <c r="F426" s="685"/>
      <c r="G426" s="685"/>
      <c r="H426" s="685"/>
      <c r="I426" s="685"/>
      <c r="J426" s="685"/>
      <c r="K426" s="685"/>
      <c r="L426" s="685"/>
      <c r="M426" s="685"/>
      <c r="N426" s="685"/>
      <c r="O426" s="685"/>
      <c r="R426" s="45"/>
    </row>
    <row r="428" spans="1:18" x14ac:dyDescent="0.25">
      <c r="A428" s="8" t="s">
        <v>14</v>
      </c>
      <c r="B428" s="9" t="s">
        <v>641</v>
      </c>
      <c r="C428" s="9" t="s">
        <v>15</v>
      </c>
    </row>
    <row r="429" spans="1:18" x14ac:dyDescent="0.25">
      <c r="A429" s="208" t="s">
        <v>16</v>
      </c>
      <c r="B429" s="209">
        <v>2010</v>
      </c>
      <c r="C429" s="209">
        <v>2011</v>
      </c>
      <c r="D429" s="209">
        <v>2012</v>
      </c>
      <c r="E429" s="209">
        <v>2013</v>
      </c>
      <c r="F429" s="769">
        <v>2014</v>
      </c>
      <c r="G429" s="769">
        <v>2015</v>
      </c>
      <c r="H429" s="769">
        <v>2016</v>
      </c>
      <c r="I429" s="769">
        <v>2017</v>
      </c>
      <c r="J429" s="770">
        <v>2018</v>
      </c>
      <c r="K429" s="769">
        <v>2019</v>
      </c>
      <c r="L429" s="769">
        <v>2020</v>
      </c>
      <c r="M429" s="770">
        <v>2021</v>
      </c>
      <c r="N429" s="770">
        <v>2022</v>
      </c>
      <c r="O429" s="770">
        <v>2023</v>
      </c>
      <c r="P429" s="210">
        <v>2024</v>
      </c>
      <c r="Q429" s="210">
        <v>2025</v>
      </c>
      <c r="R429" s="210">
        <v>2026</v>
      </c>
    </row>
    <row r="430" spans="1:18" x14ac:dyDescent="0.25">
      <c r="A430" s="208" t="s">
        <v>17</v>
      </c>
      <c r="B430" s="211">
        <v>263</v>
      </c>
      <c r="C430" s="211">
        <v>263</v>
      </c>
      <c r="D430" s="211">
        <v>263</v>
      </c>
      <c r="E430" s="211">
        <v>263</v>
      </c>
      <c r="F430" s="771">
        <v>263</v>
      </c>
      <c r="G430" s="771">
        <v>263</v>
      </c>
      <c r="H430" s="771">
        <v>263</v>
      </c>
      <c r="I430" s="771">
        <v>313</v>
      </c>
      <c r="J430" s="252">
        <v>313</v>
      </c>
      <c r="K430" s="771">
        <v>313</v>
      </c>
      <c r="L430" s="771">
        <v>313</v>
      </c>
      <c r="M430" s="771">
        <v>313</v>
      </c>
      <c r="N430" s="771">
        <v>313</v>
      </c>
      <c r="O430" s="771">
        <v>313</v>
      </c>
      <c r="P430" s="211">
        <v>313</v>
      </c>
      <c r="Q430" s="101">
        <v>313</v>
      </c>
      <c r="R430" s="101">
        <v>313</v>
      </c>
    </row>
    <row r="431" spans="1:18" x14ac:dyDescent="0.25">
      <c r="A431" s="208" t="s">
        <v>18</v>
      </c>
      <c r="B431" s="211">
        <v>393</v>
      </c>
      <c r="C431" s="211">
        <v>362</v>
      </c>
      <c r="D431" s="211">
        <v>377.49</v>
      </c>
      <c r="E431" s="211">
        <v>263</v>
      </c>
      <c r="F431" s="771">
        <v>324.99</v>
      </c>
      <c r="G431" s="252">
        <v>330.03800000000001</v>
      </c>
      <c r="H431" s="771">
        <v>341.9</v>
      </c>
      <c r="I431" s="771">
        <v>315.34399999999999</v>
      </c>
      <c r="J431" s="252">
        <v>391.9</v>
      </c>
      <c r="K431" s="771">
        <v>326.76</v>
      </c>
      <c r="L431" s="771">
        <v>350.05</v>
      </c>
      <c r="M431" s="47">
        <f>M430+0.2*K430</f>
        <v>375.6</v>
      </c>
      <c r="N431" s="47">
        <f>N430+0.2*L430</f>
        <v>375.6</v>
      </c>
      <c r="O431" s="47">
        <f>O430+0.1*M430</f>
        <v>344.3</v>
      </c>
      <c r="P431" s="30">
        <f>P430+0.1*N430</f>
        <v>344.3</v>
      </c>
      <c r="Q431" s="174">
        <f>Q430+0.1*O430</f>
        <v>344.3</v>
      </c>
      <c r="R431" s="174">
        <f>R430+0.1*P430</f>
        <v>344.3</v>
      </c>
    </row>
    <row r="432" spans="1:18" x14ac:dyDescent="0.25">
      <c r="A432" s="208" t="s">
        <v>19</v>
      </c>
      <c r="B432" s="211"/>
      <c r="C432" s="211"/>
      <c r="D432" s="211"/>
      <c r="E432" s="211"/>
      <c r="F432" s="771"/>
      <c r="G432" s="252"/>
      <c r="H432" s="252"/>
      <c r="I432" s="252"/>
      <c r="J432" s="252"/>
      <c r="K432" s="252"/>
      <c r="L432" s="252"/>
      <c r="M432" s="46"/>
      <c r="N432" s="46"/>
      <c r="O432" s="46"/>
      <c r="P432" s="29"/>
      <c r="Q432" s="101"/>
      <c r="R432" s="101"/>
    </row>
    <row r="433" spans="1:18" x14ac:dyDescent="0.25">
      <c r="A433" s="208" t="s">
        <v>20</v>
      </c>
      <c r="B433" s="211">
        <v>294</v>
      </c>
      <c r="C433" s="211">
        <v>247.51</v>
      </c>
      <c r="D433" s="211">
        <v>315.5</v>
      </c>
      <c r="E433" s="211">
        <v>195.96199999999999</v>
      </c>
      <c r="F433" s="771">
        <v>205.89400000000001</v>
      </c>
      <c r="G433" s="252">
        <v>327.69600000000003</v>
      </c>
      <c r="H433" s="252">
        <v>222.22</v>
      </c>
      <c r="I433" s="252">
        <v>301.58</v>
      </c>
      <c r="J433" s="252">
        <v>354.85</v>
      </c>
      <c r="K433" s="252">
        <v>210.91</v>
      </c>
      <c r="L433" s="252">
        <v>88.54</v>
      </c>
      <c r="M433" s="46">
        <v>36.729999999999997</v>
      </c>
      <c r="N433" s="46">
        <v>187.61</v>
      </c>
      <c r="O433" s="46">
        <v>109.44</v>
      </c>
      <c r="P433" s="29">
        <v>127.83</v>
      </c>
      <c r="Q433" s="101">
        <v>141.1</v>
      </c>
      <c r="R433" s="101"/>
    </row>
    <row r="434" spans="1:18" x14ac:dyDescent="0.25">
      <c r="A434" s="208" t="s">
        <v>21</v>
      </c>
      <c r="B434" s="211">
        <v>99</v>
      </c>
      <c r="C434" s="211">
        <v>114.49</v>
      </c>
      <c r="D434" s="211">
        <v>61.99</v>
      </c>
      <c r="E434" s="211">
        <v>67.037999999999997</v>
      </c>
      <c r="F434" s="771">
        <v>119.096</v>
      </c>
      <c r="G434" s="252">
        <v>2.3439999999999999</v>
      </c>
      <c r="H434" s="252">
        <v>119.68</v>
      </c>
      <c r="I434" s="252">
        <v>13.759999999999991</v>
      </c>
      <c r="J434" s="252">
        <v>37.049999999999997</v>
      </c>
      <c r="K434" s="252">
        <f t="shared" ref="K434:Q434" si="24">K431-K433</f>
        <v>115.85</v>
      </c>
      <c r="L434" s="252">
        <f t="shared" si="24"/>
        <v>261.51</v>
      </c>
      <c r="M434" s="252">
        <f t="shared" si="24"/>
        <v>338.87</v>
      </c>
      <c r="N434" s="252">
        <f t="shared" si="24"/>
        <v>187.99</v>
      </c>
      <c r="O434" s="252">
        <f t="shared" si="24"/>
        <v>234.86</v>
      </c>
      <c r="P434" s="212">
        <f t="shared" si="24"/>
        <v>216.47000000000003</v>
      </c>
      <c r="Q434" s="212">
        <f t="shared" si="24"/>
        <v>203.20000000000002</v>
      </c>
      <c r="R434" s="101"/>
    </row>
    <row r="435" spans="1:18" x14ac:dyDescent="0.25">
      <c r="A435" s="227" t="s">
        <v>22</v>
      </c>
      <c r="B435" s="228">
        <v>2011</v>
      </c>
      <c r="C435" s="228">
        <v>2012</v>
      </c>
      <c r="D435" s="228">
        <v>2014</v>
      </c>
      <c r="E435" s="228">
        <v>2015</v>
      </c>
      <c r="F435" s="776">
        <v>2016</v>
      </c>
      <c r="G435" s="777">
        <v>2017</v>
      </c>
      <c r="H435" s="777">
        <v>2018</v>
      </c>
      <c r="I435" s="777">
        <v>2019</v>
      </c>
      <c r="J435" s="777">
        <v>2020</v>
      </c>
      <c r="K435" s="777">
        <v>2021</v>
      </c>
      <c r="L435" s="777">
        <v>2022</v>
      </c>
      <c r="M435" s="751">
        <v>2023</v>
      </c>
      <c r="N435" s="751">
        <v>2024</v>
      </c>
      <c r="O435" s="751">
        <v>2025</v>
      </c>
      <c r="P435" s="172">
        <v>2026</v>
      </c>
      <c r="Q435" s="172">
        <v>2027</v>
      </c>
      <c r="R435" s="172">
        <v>2028</v>
      </c>
    </row>
    <row r="436" spans="1:18" x14ac:dyDescent="0.25">
      <c r="A436" s="36" t="s">
        <v>154</v>
      </c>
      <c r="B436" s="37"/>
      <c r="C436" s="37"/>
      <c r="D436" s="37"/>
      <c r="E436" s="37"/>
      <c r="F436" s="669"/>
      <c r="G436" s="669"/>
      <c r="H436" s="669"/>
      <c r="I436" s="669"/>
      <c r="J436" s="669"/>
      <c r="K436" s="669"/>
      <c r="L436" s="669"/>
      <c r="M436" s="669"/>
      <c r="N436" s="669"/>
      <c r="O436" s="669"/>
      <c r="P436" s="37"/>
      <c r="Q436" s="37"/>
      <c r="R436" s="40"/>
    </row>
    <row r="437" spans="1:18" x14ac:dyDescent="0.25">
      <c r="A437" s="218" t="s">
        <v>158</v>
      </c>
      <c r="B437" s="37"/>
      <c r="C437" s="37"/>
      <c r="D437" s="37"/>
      <c r="E437" s="37"/>
      <c r="F437" s="669"/>
      <c r="G437" s="669"/>
      <c r="H437" s="669"/>
      <c r="I437" s="669"/>
      <c r="J437" s="669"/>
      <c r="K437" s="669"/>
      <c r="L437" s="669"/>
      <c r="M437" s="669"/>
      <c r="N437" s="669"/>
      <c r="O437" s="669"/>
      <c r="P437" s="37"/>
      <c r="Q437" s="37"/>
      <c r="R437" s="40"/>
    </row>
    <row r="438" spans="1:18" x14ac:dyDescent="0.25">
      <c r="A438" s="219" t="s">
        <v>339</v>
      </c>
      <c r="R438" s="66"/>
    </row>
    <row r="439" spans="1:18" x14ac:dyDescent="0.25">
      <c r="A439" s="219" t="s">
        <v>340</v>
      </c>
      <c r="R439" s="66"/>
    </row>
    <row r="440" spans="1:18" x14ac:dyDescent="0.25">
      <c r="A440" s="219" t="s">
        <v>436</v>
      </c>
      <c r="R440" s="66"/>
    </row>
    <row r="441" spans="1:18" x14ac:dyDescent="0.25">
      <c r="A441" s="219" t="s">
        <v>610</v>
      </c>
      <c r="R441" s="66"/>
    </row>
    <row r="442" spans="1:18" x14ac:dyDescent="0.25">
      <c r="A442" s="219" t="s">
        <v>772</v>
      </c>
      <c r="R442" s="66"/>
    </row>
    <row r="443" spans="1:18" x14ac:dyDescent="0.25">
      <c r="A443" s="6" t="s">
        <v>988</v>
      </c>
      <c r="R443" s="66"/>
    </row>
    <row r="444" spans="1:18" x14ac:dyDescent="0.25">
      <c r="A444" s="68" t="s">
        <v>1131</v>
      </c>
      <c r="R444" s="66"/>
    </row>
    <row r="445" spans="1:18" x14ac:dyDescent="0.25">
      <c r="A445" s="69" t="s">
        <v>1308</v>
      </c>
      <c r="B445" s="73"/>
      <c r="C445" s="73"/>
      <c r="D445" s="73"/>
      <c r="E445" s="73"/>
      <c r="F445" s="685"/>
      <c r="G445" s="685"/>
      <c r="H445" s="685"/>
      <c r="I445" s="685"/>
      <c r="J445" s="685"/>
      <c r="K445" s="685"/>
      <c r="L445" s="685"/>
      <c r="M445" s="685"/>
      <c r="N445" s="685"/>
      <c r="O445" s="685"/>
      <c r="P445" s="73"/>
      <c r="Q445" s="73"/>
      <c r="R445" s="45"/>
    </row>
    <row r="447" spans="1:18" x14ac:dyDescent="0.25">
      <c r="A447" s="8" t="s">
        <v>14</v>
      </c>
      <c r="B447" s="9" t="s">
        <v>66</v>
      </c>
      <c r="C447" s="9" t="s">
        <v>15</v>
      </c>
    </row>
    <row r="448" spans="1:18" x14ac:dyDescent="0.25">
      <c r="A448" s="225" t="s">
        <v>16</v>
      </c>
      <c r="B448" s="226">
        <v>2010</v>
      </c>
      <c r="C448" s="209">
        <v>2011</v>
      </c>
      <c r="D448" s="209">
        <v>2012</v>
      </c>
      <c r="E448" s="209">
        <v>2013</v>
      </c>
      <c r="F448" s="769">
        <v>2014</v>
      </c>
      <c r="G448" s="769">
        <v>2015</v>
      </c>
      <c r="H448" s="769">
        <v>2016</v>
      </c>
      <c r="I448" s="769">
        <v>2017</v>
      </c>
      <c r="J448" s="769">
        <v>2018</v>
      </c>
      <c r="K448" s="770">
        <v>2019</v>
      </c>
      <c r="L448" s="770">
        <v>2020</v>
      </c>
      <c r="M448" s="770">
        <v>2021</v>
      </c>
      <c r="N448" s="770">
        <v>2022</v>
      </c>
      <c r="O448" s="770">
        <v>2023</v>
      </c>
      <c r="P448" s="210">
        <v>2024</v>
      </c>
      <c r="Q448" s="210">
        <v>2025</v>
      </c>
      <c r="R448" s="210">
        <v>2026</v>
      </c>
    </row>
    <row r="449" spans="1:18" x14ac:dyDescent="0.25">
      <c r="A449" s="208" t="s">
        <v>17</v>
      </c>
      <c r="B449" s="211">
        <v>5900</v>
      </c>
      <c r="C449" s="211">
        <v>5572</v>
      </c>
      <c r="D449" s="211">
        <v>5572</v>
      </c>
      <c r="E449" s="211">
        <v>5572</v>
      </c>
      <c r="F449" s="771">
        <v>5572</v>
      </c>
      <c r="G449" s="771">
        <v>5572</v>
      </c>
      <c r="H449" s="771">
        <v>5376</v>
      </c>
      <c r="I449" s="771">
        <v>5376</v>
      </c>
      <c r="J449" s="252">
        <v>5376</v>
      </c>
      <c r="K449" s="252">
        <v>5376</v>
      </c>
      <c r="L449" s="252">
        <v>4462.08</v>
      </c>
      <c r="M449" s="252">
        <v>4390.6867200000006</v>
      </c>
      <c r="N449" s="252">
        <v>4426.38</v>
      </c>
      <c r="O449" s="252">
        <v>4426.38</v>
      </c>
      <c r="P449" s="212">
        <v>4426.38</v>
      </c>
      <c r="Q449" s="101">
        <v>4624.07</v>
      </c>
      <c r="R449" s="101">
        <v>4624.07</v>
      </c>
    </row>
    <row r="450" spans="1:18" x14ac:dyDescent="0.25">
      <c r="A450" s="208" t="s">
        <v>18</v>
      </c>
      <c r="B450" s="211">
        <v>9670</v>
      </c>
      <c r="C450" s="211">
        <v>8572</v>
      </c>
      <c r="D450" s="211">
        <v>10173</v>
      </c>
      <c r="E450" s="211">
        <v>8502</v>
      </c>
      <c r="F450" s="771">
        <v>10173.6</v>
      </c>
      <c r="G450" s="771">
        <v>10173.6</v>
      </c>
      <c r="H450" s="771">
        <v>7182.4</v>
      </c>
      <c r="I450" s="771">
        <v>7182.4</v>
      </c>
      <c r="J450" s="771">
        <v>7182.4</v>
      </c>
      <c r="K450" s="252">
        <v>7182.4</v>
      </c>
      <c r="L450" s="252">
        <f>L449+0.15*J449+600</f>
        <v>5868.48</v>
      </c>
      <c r="M450" s="252">
        <f>M449+0.1*K449+600</f>
        <v>5528.286720000001</v>
      </c>
      <c r="N450" s="252">
        <f>N449+0.1*L449+600</f>
        <v>5472.5879999999997</v>
      </c>
      <c r="O450" s="252">
        <f>O449+0.1*M449+600</f>
        <v>5465.4486720000004</v>
      </c>
      <c r="P450" s="212">
        <f>P449+0.1*N449+600</f>
        <v>5469.018</v>
      </c>
      <c r="Q450" s="101">
        <v>5024.22</v>
      </c>
      <c r="R450" s="101">
        <v>5310.38</v>
      </c>
    </row>
    <row r="451" spans="1:18" x14ac:dyDescent="0.25">
      <c r="A451" s="208" t="s">
        <v>19</v>
      </c>
      <c r="B451" s="208"/>
      <c r="C451" s="208"/>
      <c r="D451" s="208"/>
      <c r="E451" s="208"/>
      <c r="F451" s="768"/>
      <c r="G451" s="46"/>
      <c r="H451" s="46"/>
      <c r="I451" s="46"/>
      <c r="J451" s="778"/>
      <c r="K451" s="46"/>
      <c r="L451" s="46"/>
      <c r="M451" s="46"/>
      <c r="N451" s="46"/>
      <c r="O451" s="46"/>
      <c r="P451" s="29"/>
      <c r="Q451" s="101"/>
      <c r="R451" s="101"/>
    </row>
    <row r="452" spans="1:18" x14ac:dyDescent="0.25">
      <c r="A452" s="208" t="s">
        <v>20</v>
      </c>
      <c r="B452" s="211">
        <v>5489</v>
      </c>
      <c r="C452" s="211">
        <v>3720.78</v>
      </c>
      <c r="D452" s="211">
        <v>3231</v>
      </c>
      <c r="E452" s="211">
        <v>2371.0340000000001</v>
      </c>
      <c r="F452" s="771">
        <v>2231.75</v>
      </c>
      <c r="G452" s="252">
        <v>4941.848</v>
      </c>
      <c r="H452" s="252">
        <v>5852.39</v>
      </c>
      <c r="I452" s="252">
        <v>5514.3580000000002</v>
      </c>
      <c r="J452" s="252">
        <v>4823.0860000000002</v>
      </c>
      <c r="K452" s="252">
        <v>5718.49</v>
      </c>
      <c r="L452" s="252">
        <v>3613.58</v>
      </c>
      <c r="M452" s="252">
        <v>1638.49</v>
      </c>
      <c r="N452" s="252">
        <v>3248.94</v>
      </c>
      <c r="O452" s="252">
        <v>5415.3</v>
      </c>
      <c r="P452" s="212">
        <v>5132.71</v>
      </c>
      <c r="Q452" s="77">
        <v>4622.55</v>
      </c>
      <c r="R452" s="101"/>
    </row>
    <row r="453" spans="1:18" x14ac:dyDescent="0.25">
      <c r="A453" s="208" t="s">
        <v>21</v>
      </c>
      <c r="B453" s="211">
        <v>4181</v>
      </c>
      <c r="C453" s="211">
        <v>4581.22</v>
      </c>
      <c r="D453" s="211">
        <v>6942</v>
      </c>
      <c r="E453" s="211">
        <v>6130.6959999999999</v>
      </c>
      <c r="F453" s="771">
        <v>7941.85</v>
      </c>
      <c r="G453" s="252">
        <v>5232.116</v>
      </c>
      <c r="H453" s="252">
        <v>1330.01</v>
      </c>
      <c r="I453" s="252">
        <v>1449.932</v>
      </c>
      <c r="J453" s="252">
        <v>2359.3139999999999</v>
      </c>
      <c r="K453" s="252">
        <f t="shared" ref="K453:Q453" si="25">K450-K452</f>
        <v>1463.9099999999999</v>
      </c>
      <c r="L453" s="252">
        <f t="shared" si="25"/>
        <v>2254.8999999999996</v>
      </c>
      <c r="M453" s="252">
        <f t="shared" si="25"/>
        <v>3889.7967200000012</v>
      </c>
      <c r="N453" s="252">
        <f t="shared" si="25"/>
        <v>2223.6479999999997</v>
      </c>
      <c r="O453" s="252">
        <f t="shared" si="25"/>
        <v>50.148672000000261</v>
      </c>
      <c r="P453" s="212">
        <f t="shared" si="25"/>
        <v>336.30799999999999</v>
      </c>
      <c r="Q453" s="212">
        <f t="shared" si="25"/>
        <v>401.67000000000007</v>
      </c>
      <c r="R453" s="101"/>
    </row>
    <row r="454" spans="1:18" x14ac:dyDescent="0.25">
      <c r="A454" s="213" t="s">
        <v>22</v>
      </c>
      <c r="B454" s="213">
        <v>2012</v>
      </c>
      <c r="C454" s="213">
        <v>2013</v>
      </c>
      <c r="D454" s="213">
        <v>2014</v>
      </c>
      <c r="E454" s="213">
        <v>2015</v>
      </c>
      <c r="F454" s="772">
        <v>2016</v>
      </c>
      <c r="G454" s="49">
        <v>2017</v>
      </c>
      <c r="H454" s="49">
        <v>2018</v>
      </c>
      <c r="I454" s="49">
        <v>2019</v>
      </c>
      <c r="J454" s="49">
        <v>2020</v>
      </c>
      <c r="K454" s="49">
        <v>2021</v>
      </c>
      <c r="L454" s="49">
        <v>2022</v>
      </c>
      <c r="M454" s="49">
        <v>2023</v>
      </c>
      <c r="N454" s="49">
        <v>2024</v>
      </c>
      <c r="O454" s="49">
        <v>2025</v>
      </c>
      <c r="P454" s="35">
        <v>2026</v>
      </c>
      <c r="Q454" s="230">
        <v>2027</v>
      </c>
      <c r="R454" s="90"/>
    </row>
    <row r="455" spans="1:18" x14ac:dyDescent="0.25">
      <c r="A455" s="36" t="s">
        <v>154</v>
      </c>
      <c r="B455" s="37"/>
      <c r="C455" s="37"/>
      <c r="D455" s="37"/>
      <c r="E455" s="37"/>
      <c r="F455" s="669"/>
      <c r="G455" s="669"/>
      <c r="H455" s="669"/>
      <c r="I455" s="669"/>
      <c r="J455" s="669"/>
      <c r="K455" s="669"/>
      <c r="L455" s="669"/>
      <c r="M455" s="669"/>
      <c r="N455" s="669"/>
      <c r="O455" s="669"/>
      <c r="P455" s="37"/>
      <c r="Q455" s="37"/>
      <c r="R455" s="40"/>
    </row>
    <row r="456" spans="1:18" x14ac:dyDescent="0.25">
      <c r="A456" s="218" t="s">
        <v>159</v>
      </c>
      <c r="B456" s="37"/>
      <c r="C456" s="37"/>
      <c r="D456" s="37"/>
      <c r="E456" s="37"/>
      <c r="F456" s="669"/>
      <c r="G456" s="669"/>
      <c r="H456" s="669"/>
      <c r="I456" s="669"/>
      <c r="J456" s="669"/>
      <c r="K456" s="669"/>
      <c r="L456" s="669"/>
      <c r="M456" s="669"/>
      <c r="N456" s="669"/>
      <c r="O456" s="669"/>
      <c r="P456" s="37"/>
      <c r="Q456" s="37"/>
      <c r="R456" s="40"/>
    </row>
    <row r="457" spans="1:18" x14ac:dyDescent="0.25">
      <c r="A457" s="219" t="s">
        <v>160</v>
      </c>
      <c r="R457" s="66"/>
    </row>
    <row r="458" spans="1:18" x14ac:dyDescent="0.25">
      <c r="A458" s="219" t="s">
        <v>437</v>
      </c>
      <c r="R458" s="66"/>
    </row>
    <row r="459" spans="1:18" x14ac:dyDescent="0.25">
      <c r="A459" s="219" t="s">
        <v>590</v>
      </c>
      <c r="R459" s="66"/>
    </row>
    <row r="460" spans="1:18" x14ac:dyDescent="0.25">
      <c r="A460" s="219" t="s">
        <v>611</v>
      </c>
      <c r="R460" s="66"/>
    </row>
    <row r="461" spans="1:18" x14ac:dyDescent="0.25">
      <c r="A461" s="219" t="s">
        <v>773</v>
      </c>
      <c r="R461" s="66"/>
    </row>
    <row r="462" spans="1:18" x14ac:dyDescent="0.25">
      <c r="A462" s="219" t="s">
        <v>989</v>
      </c>
      <c r="R462" s="66"/>
    </row>
    <row r="463" spans="1:18" x14ac:dyDescent="0.25">
      <c r="A463" s="219" t="s">
        <v>1132</v>
      </c>
      <c r="R463" s="66"/>
    </row>
    <row r="464" spans="1:18" x14ac:dyDescent="0.25">
      <c r="A464" s="220" t="s">
        <v>1309</v>
      </c>
      <c r="B464" s="73"/>
      <c r="C464" s="73"/>
      <c r="D464" s="73"/>
      <c r="E464" s="73"/>
      <c r="F464" s="685"/>
      <c r="G464" s="685"/>
      <c r="H464" s="685"/>
      <c r="I464" s="685"/>
      <c r="J464" s="685"/>
      <c r="K464" s="685"/>
      <c r="L464" s="685"/>
      <c r="M464" s="685"/>
      <c r="N464" s="685"/>
      <c r="O464" s="685"/>
      <c r="P464" s="73"/>
      <c r="Q464" s="73"/>
      <c r="R464" s="45"/>
    </row>
    <row r="466" spans="1:18" x14ac:dyDescent="0.25">
      <c r="A466" s="8" t="s">
        <v>14</v>
      </c>
      <c r="B466" s="9" t="s">
        <v>74</v>
      </c>
      <c r="C466" s="9" t="s">
        <v>15</v>
      </c>
    </row>
    <row r="467" spans="1:18" x14ac:dyDescent="0.25">
      <c r="A467" s="225" t="s">
        <v>16</v>
      </c>
      <c r="B467" s="226">
        <v>2010</v>
      </c>
      <c r="C467" s="209">
        <v>2011</v>
      </c>
      <c r="D467" s="209">
        <v>2012</v>
      </c>
      <c r="E467" s="209">
        <v>2013</v>
      </c>
      <c r="F467" s="769">
        <v>2014</v>
      </c>
      <c r="G467" s="769">
        <v>2015</v>
      </c>
      <c r="H467" s="769">
        <v>2016</v>
      </c>
      <c r="I467" s="769">
        <v>2017</v>
      </c>
      <c r="J467" s="769">
        <v>2018</v>
      </c>
      <c r="K467" s="770">
        <v>2019</v>
      </c>
      <c r="L467" s="770">
        <v>2020</v>
      </c>
      <c r="M467" s="770">
        <v>2021</v>
      </c>
      <c r="N467" s="770">
        <v>2022</v>
      </c>
      <c r="O467" s="770">
        <v>2023</v>
      </c>
      <c r="P467" s="210">
        <v>2024</v>
      </c>
      <c r="Q467" s="210">
        <v>2025</v>
      </c>
      <c r="R467" s="210">
        <v>2026</v>
      </c>
    </row>
    <row r="468" spans="1:18" x14ac:dyDescent="0.25">
      <c r="A468" s="208" t="s">
        <v>17</v>
      </c>
      <c r="B468" s="211">
        <v>100.5</v>
      </c>
      <c r="C468" s="211">
        <v>100.5</v>
      </c>
      <c r="D468" s="211">
        <v>100.5</v>
      </c>
      <c r="E468" s="211">
        <v>45</v>
      </c>
      <c r="F468" s="771">
        <v>45</v>
      </c>
      <c r="G468" s="771">
        <v>45</v>
      </c>
      <c r="H468" s="771">
        <v>45</v>
      </c>
      <c r="I468" s="771">
        <v>45</v>
      </c>
      <c r="J468" s="252">
        <v>45</v>
      </c>
      <c r="K468" s="252">
        <v>45</v>
      </c>
      <c r="L468" s="252">
        <v>37.9</v>
      </c>
      <c r="M468" s="252">
        <v>37.9</v>
      </c>
      <c r="N468" s="252">
        <v>37.9</v>
      </c>
      <c r="O468" s="252">
        <v>37.9</v>
      </c>
      <c r="P468" s="212">
        <v>37.9</v>
      </c>
      <c r="Q468" s="212">
        <v>37.9</v>
      </c>
      <c r="R468" s="212">
        <v>37.9</v>
      </c>
    </row>
    <row r="469" spans="1:18" x14ac:dyDescent="0.25">
      <c r="A469" s="208" t="s">
        <v>18</v>
      </c>
      <c r="B469" s="211">
        <v>100.5</v>
      </c>
      <c r="C469" s="211">
        <v>100.5</v>
      </c>
      <c r="D469" s="211">
        <v>100.5</v>
      </c>
      <c r="E469" s="211">
        <v>45</v>
      </c>
      <c r="F469" s="771">
        <v>45</v>
      </c>
      <c r="G469" s="771">
        <v>45</v>
      </c>
      <c r="H469" s="771">
        <v>50.34</v>
      </c>
      <c r="I469" s="771">
        <v>45.585000000000001</v>
      </c>
      <c r="J469" s="771">
        <v>45.628999999999998</v>
      </c>
      <c r="K469" s="252">
        <v>50.27</v>
      </c>
      <c r="L469" s="252">
        <f>L468+J472</f>
        <v>41.338000000000001</v>
      </c>
      <c r="M469" s="252">
        <f>M468+K472</f>
        <v>41.77</v>
      </c>
      <c r="N469" s="252"/>
      <c r="O469" s="252"/>
      <c r="P469" s="212"/>
      <c r="Q469" s="212"/>
      <c r="R469" s="212"/>
    </row>
    <row r="470" spans="1:18" x14ac:dyDescent="0.25">
      <c r="A470" s="208" t="s">
        <v>19</v>
      </c>
      <c r="B470" s="208"/>
      <c r="C470" s="208"/>
      <c r="D470" s="208"/>
      <c r="E470" s="208"/>
      <c r="F470" s="768"/>
      <c r="G470" s="46"/>
      <c r="H470" s="46"/>
      <c r="I470" s="46"/>
      <c r="J470" s="46"/>
      <c r="K470" s="46"/>
      <c r="L470" s="46"/>
      <c r="M470" s="46"/>
      <c r="N470" s="46"/>
      <c r="O470" s="46"/>
      <c r="P470" s="29"/>
      <c r="Q470" s="29"/>
      <c r="R470" s="29"/>
    </row>
    <row r="471" spans="1:18" x14ac:dyDescent="0.25">
      <c r="A471" s="208" t="s">
        <v>20</v>
      </c>
      <c r="B471" s="211">
        <v>77</v>
      </c>
      <c r="C471" s="211">
        <v>99.5</v>
      </c>
      <c r="D471" s="211">
        <v>35</v>
      </c>
      <c r="E471" s="211">
        <v>44.86</v>
      </c>
      <c r="F471" s="771">
        <v>39.659999999999997</v>
      </c>
      <c r="G471" s="252">
        <v>44.414999999999999</v>
      </c>
      <c r="H471" s="252">
        <v>49.710999999999999</v>
      </c>
      <c r="I471" s="252">
        <v>40.31</v>
      </c>
      <c r="J471" s="252">
        <v>42.191000000000003</v>
      </c>
      <c r="K471" s="252">
        <v>46.4</v>
      </c>
      <c r="L471" s="252">
        <v>37.24</v>
      </c>
      <c r="M471" s="252">
        <v>4.03</v>
      </c>
      <c r="N471" s="252">
        <v>10.41</v>
      </c>
      <c r="O471" s="252">
        <v>35.4</v>
      </c>
      <c r="P471" s="212">
        <v>37.36</v>
      </c>
      <c r="Q471" s="212">
        <v>31.26</v>
      </c>
      <c r="R471" s="212"/>
    </row>
    <row r="472" spans="1:18" x14ac:dyDescent="0.25">
      <c r="A472" s="208" t="s">
        <v>21</v>
      </c>
      <c r="B472" s="211">
        <v>23.5</v>
      </c>
      <c r="C472" s="211">
        <v>1</v>
      </c>
      <c r="D472" s="211">
        <v>65.5</v>
      </c>
      <c r="E472" s="211">
        <v>0.14199999999999999</v>
      </c>
      <c r="F472" s="771">
        <v>5.34</v>
      </c>
      <c r="G472" s="252">
        <v>0.58499999999999996</v>
      </c>
      <c r="H472" s="252">
        <v>0.629</v>
      </c>
      <c r="I472" s="252">
        <v>5.269999999999996</v>
      </c>
      <c r="J472" s="252">
        <v>3.4380000000000002</v>
      </c>
      <c r="K472" s="252">
        <f>K469-K471</f>
        <v>3.8700000000000045</v>
      </c>
      <c r="L472" s="252">
        <f>L469-L471</f>
        <v>4.097999999999999</v>
      </c>
      <c r="M472" s="252">
        <f>M469-M471</f>
        <v>37.74</v>
      </c>
      <c r="N472" s="252">
        <f>N468-N471</f>
        <v>27.49</v>
      </c>
      <c r="O472" s="252">
        <f>O468-O471</f>
        <v>2.5</v>
      </c>
      <c r="P472" s="212">
        <f>P468-P471</f>
        <v>0.53999999999999915</v>
      </c>
      <c r="Q472" s="212">
        <f>Q468-Q471</f>
        <v>6.639999999999997</v>
      </c>
      <c r="R472" s="212"/>
    </row>
    <row r="473" spans="1:18" x14ac:dyDescent="0.25">
      <c r="A473" s="213" t="s">
        <v>22</v>
      </c>
      <c r="B473" s="214" t="s">
        <v>161</v>
      </c>
      <c r="C473" s="214" t="s">
        <v>161</v>
      </c>
      <c r="D473" s="214" t="s">
        <v>161</v>
      </c>
      <c r="E473" s="214">
        <v>2015</v>
      </c>
      <c r="F473" s="773">
        <v>2016</v>
      </c>
      <c r="G473" s="257">
        <v>2017</v>
      </c>
      <c r="H473" s="257">
        <v>2018</v>
      </c>
      <c r="I473" s="257">
        <v>2019</v>
      </c>
      <c r="J473" s="257">
        <v>2020</v>
      </c>
      <c r="K473" s="257">
        <v>2021</v>
      </c>
      <c r="L473" s="773"/>
      <c r="M473" s="773"/>
      <c r="N473" s="773"/>
      <c r="O473" s="773"/>
      <c r="P473" s="214"/>
      <c r="Q473" s="214"/>
      <c r="R473" s="214"/>
    </row>
    <row r="474" spans="1:18" x14ac:dyDescent="0.25">
      <c r="A474" s="90" t="s">
        <v>154</v>
      </c>
      <c r="B474" s="90"/>
      <c r="C474" s="90"/>
      <c r="D474" s="90"/>
      <c r="E474" s="90"/>
      <c r="F474" s="703"/>
      <c r="G474" s="703"/>
      <c r="H474" s="703"/>
      <c r="I474" s="703"/>
      <c r="J474" s="703"/>
      <c r="K474" s="703"/>
      <c r="L474" s="703"/>
      <c r="M474" s="703"/>
      <c r="N474" s="703"/>
      <c r="O474" s="703"/>
      <c r="P474" s="90"/>
      <c r="Q474" s="90"/>
      <c r="R474" s="90"/>
    </row>
    <row r="475" spans="1:18" x14ac:dyDescent="0.25">
      <c r="A475" s="36" t="s">
        <v>612</v>
      </c>
      <c r="B475" s="37"/>
      <c r="C475" s="37"/>
      <c r="D475" s="37"/>
      <c r="E475" s="37"/>
      <c r="F475" s="669"/>
      <c r="G475" s="669"/>
      <c r="H475" s="669"/>
      <c r="I475" s="669"/>
      <c r="J475" s="669"/>
      <c r="K475" s="669"/>
      <c r="L475" s="669"/>
      <c r="M475" s="669"/>
      <c r="N475" s="669"/>
      <c r="O475" s="669"/>
      <c r="P475" s="37"/>
      <c r="Q475" s="37"/>
      <c r="R475" s="40"/>
    </row>
    <row r="476" spans="1:18" x14ac:dyDescent="0.25">
      <c r="A476" s="218" t="s">
        <v>162</v>
      </c>
      <c r="B476" s="37"/>
      <c r="C476" s="37"/>
      <c r="D476" s="37"/>
      <c r="E476" s="37"/>
      <c r="F476" s="669"/>
      <c r="G476" s="669"/>
      <c r="H476" s="669"/>
      <c r="I476" s="669"/>
      <c r="J476" s="669"/>
      <c r="K476" s="669"/>
      <c r="L476" s="669"/>
      <c r="M476" s="669"/>
      <c r="N476" s="669"/>
      <c r="O476" s="669"/>
      <c r="P476" s="37"/>
      <c r="Q476" s="37"/>
      <c r="R476" s="40"/>
    </row>
    <row r="477" spans="1:18" x14ac:dyDescent="0.25">
      <c r="A477" s="219" t="s">
        <v>341</v>
      </c>
      <c r="R477" s="66"/>
    </row>
    <row r="478" spans="1:18" x14ac:dyDescent="0.25">
      <c r="A478" s="64" t="s">
        <v>342</v>
      </c>
      <c r="R478" s="66"/>
    </row>
    <row r="479" spans="1:18" x14ac:dyDescent="0.25">
      <c r="A479" s="64" t="s">
        <v>438</v>
      </c>
      <c r="R479" s="66"/>
    </row>
    <row r="480" spans="1:18" x14ac:dyDescent="0.25">
      <c r="A480" s="72" t="s">
        <v>774</v>
      </c>
      <c r="B480" s="73"/>
      <c r="C480" s="73"/>
      <c r="D480" s="73"/>
      <c r="E480" s="73"/>
      <c r="F480" s="685"/>
      <c r="G480" s="685"/>
      <c r="H480" s="685"/>
      <c r="I480" s="685"/>
      <c r="J480" s="685"/>
      <c r="K480" s="685"/>
      <c r="L480" s="685"/>
      <c r="M480" s="685"/>
      <c r="N480" s="685"/>
      <c r="O480" s="685"/>
      <c r="P480" s="73"/>
      <c r="Q480" s="73"/>
      <c r="R480" s="45"/>
    </row>
    <row r="482" spans="1:18" x14ac:dyDescent="0.25">
      <c r="A482" s="8" t="s">
        <v>14</v>
      </c>
      <c r="B482" s="9" t="s">
        <v>79</v>
      </c>
      <c r="C482" s="9" t="s">
        <v>15</v>
      </c>
    </row>
    <row r="483" spans="1:18" x14ac:dyDescent="0.25">
      <c r="A483" s="225" t="s">
        <v>16</v>
      </c>
      <c r="B483" s="226">
        <v>2010</v>
      </c>
      <c r="C483" s="209">
        <v>2011</v>
      </c>
      <c r="D483" s="209">
        <v>2012</v>
      </c>
      <c r="E483" s="209">
        <v>2013</v>
      </c>
      <c r="F483" s="769">
        <v>2014</v>
      </c>
      <c r="G483" s="769">
        <v>2015</v>
      </c>
      <c r="H483" s="769">
        <v>2016</v>
      </c>
      <c r="I483" s="769">
        <v>2017</v>
      </c>
      <c r="J483" s="769">
        <v>2018</v>
      </c>
      <c r="K483" s="770">
        <v>2019</v>
      </c>
      <c r="L483" s="770">
        <v>2020</v>
      </c>
      <c r="M483" s="770">
        <v>2021</v>
      </c>
      <c r="N483" s="770">
        <v>2022</v>
      </c>
      <c r="O483" s="770">
        <v>2023</v>
      </c>
      <c r="P483" s="210">
        <v>2024</v>
      </c>
      <c r="Q483" s="210">
        <v>2025</v>
      </c>
      <c r="R483" s="210">
        <v>2026</v>
      </c>
    </row>
    <row r="484" spans="1:18" x14ac:dyDescent="0.25">
      <c r="A484" s="208" t="s">
        <v>17</v>
      </c>
      <c r="B484" s="211">
        <v>9.9</v>
      </c>
      <c r="C484" s="211">
        <v>9.9</v>
      </c>
      <c r="D484" s="211">
        <v>9.9</v>
      </c>
      <c r="E484" s="211">
        <v>10</v>
      </c>
      <c r="F484" s="771">
        <v>10</v>
      </c>
      <c r="G484" s="771">
        <v>10</v>
      </c>
      <c r="H484" s="252">
        <v>10</v>
      </c>
      <c r="I484" s="252">
        <v>10</v>
      </c>
      <c r="J484" s="252">
        <v>10</v>
      </c>
      <c r="K484" s="252">
        <v>10</v>
      </c>
      <c r="L484" s="252">
        <v>10</v>
      </c>
      <c r="M484" s="252">
        <v>10</v>
      </c>
      <c r="N484" s="252">
        <v>10</v>
      </c>
      <c r="O484" s="252">
        <v>10</v>
      </c>
      <c r="P484" s="212">
        <v>10</v>
      </c>
      <c r="Q484" s="212">
        <v>10</v>
      </c>
      <c r="R484" s="212">
        <v>10</v>
      </c>
    </row>
    <row r="485" spans="1:18" x14ac:dyDescent="0.25">
      <c r="A485" s="208" t="s">
        <v>18</v>
      </c>
      <c r="B485" s="211">
        <v>9.9</v>
      </c>
      <c r="C485" s="211">
        <v>9.9</v>
      </c>
      <c r="D485" s="211">
        <v>9.9</v>
      </c>
      <c r="E485" s="211">
        <v>10</v>
      </c>
      <c r="F485" s="771">
        <v>10</v>
      </c>
      <c r="G485" s="771">
        <v>12</v>
      </c>
      <c r="H485" s="252">
        <v>12</v>
      </c>
      <c r="I485" s="252">
        <v>12</v>
      </c>
      <c r="J485" s="771">
        <v>12</v>
      </c>
      <c r="K485" s="252">
        <v>12</v>
      </c>
      <c r="L485" s="252">
        <f>L484*1.2</f>
        <v>12</v>
      </c>
      <c r="M485" s="252">
        <f>M484*1.2</f>
        <v>12</v>
      </c>
      <c r="N485" s="252"/>
      <c r="O485" s="252"/>
      <c r="P485" s="212"/>
      <c r="Q485" s="212"/>
      <c r="R485" s="212"/>
    </row>
    <row r="486" spans="1:18" x14ac:dyDescent="0.25">
      <c r="A486" s="208" t="s">
        <v>19</v>
      </c>
      <c r="B486" s="208"/>
      <c r="C486" s="208"/>
      <c r="D486" s="208"/>
      <c r="E486" s="208"/>
      <c r="F486" s="768"/>
      <c r="G486" s="46"/>
      <c r="H486" s="46"/>
      <c r="I486" s="46"/>
      <c r="J486" s="46"/>
      <c r="K486" s="46"/>
      <c r="L486" s="46"/>
      <c r="M486" s="46"/>
      <c r="N486" s="46"/>
      <c r="O486" s="46"/>
      <c r="P486" s="29"/>
      <c r="Q486" s="29"/>
      <c r="R486" s="29"/>
    </row>
    <row r="487" spans="1:18" x14ac:dyDescent="0.25">
      <c r="A487" s="208" t="s">
        <v>20</v>
      </c>
      <c r="B487" s="211">
        <v>8</v>
      </c>
      <c r="C487" s="211">
        <v>0.73</v>
      </c>
      <c r="D487" s="211">
        <v>0.21</v>
      </c>
      <c r="E487" s="211">
        <v>2.1179999999999999</v>
      </c>
      <c r="F487" s="771">
        <v>0</v>
      </c>
      <c r="G487" s="252">
        <v>0.34799999999999998</v>
      </c>
      <c r="H487" s="252">
        <v>0.26300000000000001</v>
      </c>
      <c r="I487" s="252">
        <v>2.5299999999999998</v>
      </c>
      <c r="J487" s="252">
        <v>3.23</v>
      </c>
      <c r="K487" s="252">
        <v>2.88</v>
      </c>
      <c r="L487" s="252">
        <v>1.81</v>
      </c>
      <c r="M487" s="252">
        <v>1.57</v>
      </c>
      <c r="N487" s="252">
        <v>2.13</v>
      </c>
      <c r="O487" s="252">
        <v>1.5</v>
      </c>
      <c r="P487" s="212">
        <v>1.92</v>
      </c>
      <c r="Q487" s="212">
        <v>0.12</v>
      </c>
      <c r="R487" s="212"/>
    </row>
    <row r="488" spans="1:18" x14ac:dyDescent="0.25">
      <c r="A488" s="208" t="s">
        <v>21</v>
      </c>
      <c r="B488" s="211">
        <v>1.9</v>
      </c>
      <c r="C488" s="211">
        <v>9.17</v>
      </c>
      <c r="D488" s="211">
        <v>9.69</v>
      </c>
      <c r="E488" s="211">
        <v>7.8819999999999997</v>
      </c>
      <c r="F488" s="771">
        <v>10</v>
      </c>
      <c r="G488" s="252">
        <v>11.651999999999999</v>
      </c>
      <c r="H488" s="252">
        <v>11.737</v>
      </c>
      <c r="I488" s="252">
        <v>9.4700000000000006</v>
      </c>
      <c r="J488" s="252">
        <v>8.77</v>
      </c>
      <c r="K488" s="252">
        <f>K485-K487</f>
        <v>9.120000000000001</v>
      </c>
      <c r="L488" s="252">
        <f>L485-L487</f>
        <v>10.19</v>
      </c>
      <c r="M488" s="252">
        <f>M485-M487</f>
        <v>10.43</v>
      </c>
      <c r="N488" s="252">
        <f>N484-N487</f>
        <v>7.87</v>
      </c>
      <c r="O488" s="252">
        <f>O484-O487</f>
        <v>8.5</v>
      </c>
      <c r="P488" s="212">
        <f>P484-P487</f>
        <v>8.08</v>
      </c>
      <c r="Q488" s="212">
        <f>Q484-Q487</f>
        <v>9.8800000000000008</v>
      </c>
      <c r="R488" s="212"/>
    </row>
    <row r="489" spans="1:18" x14ac:dyDescent="0.25">
      <c r="A489" s="213" t="s">
        <v>22</v>
      </c>
      <c r="B489" s="214" t="s">
        <v>161</v>
      </c>
      <c r="C489" s="214" t="s">
        <v>161</v>
      </c>
      <c r="D489" s="214" t="s">
        <v>161</v>
      </c>
      <c r="E489" s="214">
        <v>2015</v>
      </c>
      <c r="F489" s="773">
        <v>2016</v>
      </c>
      <c r="G489" s="257">
        <v>2017</v>
      </c>
      <c r="H489" s="257">
        <v>2018</v>
      </c>
      <c r="I489" s="257">
        <v>2019</v>
      </c>
      <c r="J489" s="257">
        <v>2020</v>
      </c>
      <c r="K489" s="257">
        <v>2021</v>
      </c>
      <c r="L489" s="773"/>
      <c r="M489" s="773"/>
      <c r="N489" s="773"/>
      <c r="O489" s="773"/>
      <c r="P489" s="214"/>
      <c r="Q489" s="214"/>
      <c r="R489" s="214"/>
    </row>
    <row r="490" spans="1:18" x14ac:dyDescent="0.25">
      <c r="A490" s="36" t="s">
        <v>154</v>
      </c>
      <c r="B490" s="37"/>
      <c r="C490" s="37"/>
      <c r="D490" s="37"/>
      <c r="E490" s="37"/>
      <c r="F490" s="669"/>
      <c r="G490" s="669"/>
      <c r="H490" s="669"/>
      <c r="I490" s="669"/>
      <c r="J490" s="669"/>
      <c r="K490" s="669"/>
      <c r="L490" s="669"/>
      <c r="M490" s="669"/>
      <c r="N490" s="669"/>
      <c r="O490" s="669"/>
      <c r="P490" s="37"/>
      <c r="Q490" s="37"/>
      <c r="R490" s="40"/>
    </row>
    <row r="491" spans="1:18" x14ac:dyDescent="0.25">
      <c r="A491" s="36" t="s">
        <v>613</v>
      </c>
      <c r="B491" s="37"/>
      <c r="C491" s="37"/>
      <c r="D491" s="37"/>
      <c r="E491" s="37"/>
      <c r="F491" s="669"/>
      <c r="G491" s="669"/>
      <c r="H491" s="669"/>
      <c r="I491" s="669"/>
      <c r="J491" s="669"/>
      <c r="K491" s="669"/>
      <c r="L491" s="669"/>
      <c r="M491" s="669"/>
      <c r="N491" s="669"/>
      <c r="O491" s="669"/>
      <c r="P491" s="37"/>
      <c r="Q491" s="37"/>
      <c r="R491" s="40"/>
    </row>
    <row r="492" spans="1:18" x14ac:dyDescent="0.25">
      <c r="A492" s="64" t="s">
        <v>163</v>
      </c>
      <c r="R492" s="66"/>
    </row>
    <row r="493" spans="1:18" x14ac:dyDescent="0.25">
      <c r="A493" s="64" t="s">
        <v>343</v>
      </c>
      <c r="R493" s="66"/>
    </row>
    <row r="494" spans="1:18" x14ac:dyDescent="0.25">
      <c r="A494" s="64" t="s">
        <v>439</v>
      </c>
      <c r="R494" s="66"/>
    </row>
    <row r="495" spans="1:18" x14ac:dyDescent="0.25">
      <c r="A495" s="72" t="s">
        <v>774</v>
      </c>
      <c r="B495" s="73"/>
      <c r="C495" s="73"/>
      <c r="D495" s="73"/>
      <c r="E495" s="73"/>
      <c r="F495" s="685"/>
      <c r="G495" s="685"/>
      <c r="H495" s="685"/>
      <c r="I495" s="685"/>
      <c r="J495" s="685"/>
      <c r="K495" s="685"/>
      <c r="L495" s="685"/>
      <c r="M495" s="685"/>
      <c r="N495" s="685"/>
      <c r="O495" s="685"/>
      <c r="P495" s="73"/>
      <c r="Q495" s="73"/>
      <c r="R495" s="45"/>
    </row>
    <row r="498" spans="1:13" x14ac:dyDescent="0.25">
      <c r="A498" s="8" t="s">
        <v>12</v>
      </c>
      <c r="B498" s="9" t="s">
        <v>85</v>
      </c>
    </row>
    <row r="499" spans="1:13" x14ac:dyDescent="0.25">
      <c r="A499" s="8" t="s">
        <v>14</v>
      </c>
      <c r="B499" s="9" t="s">
        <v>624</v>
      </c>
      <c r="C499" s="27" t="s">
        <v>15</v>
      </c>
    </row>
    <row r="500" spans="1:13" x14ac:dyDescent="0.25">
      <c r="A500" s="28" t="s">
        <v>16</v>
      </c>
      <c r="B500" s="210">
        <v>2015</v>
      </c>
      <c r="C500" s="231">
        <v>2016</v>
      </c>
      <c r="D500" s="210">
        <v>2017</v>
      </c>
      <c r="E500" s="232">
        <v>2018</v>
      </c>
      <c r="F500" s="780">
        <v>2019</v>
      </c>
      <c r="G500" s="770">
        <v>2020</v>
      </c>
      <c r="H500" s="770">
        <v>2021</v>
      </c>
      <c r="I500" s="770">
        <v>2022</v>
      </c>
      <c r="J500" s="770">
        <v>2023</v>
      </c>
      <c r="K500" s="770">
        <v>2024</v>
      </c>
      <c r="L500" s="770">
        <v>2025</v>
      </c>
      <c r="M500" s="770">
        <v>2026</v>
      </c>
    </row>
    <row r="501" spans="1:13" x14ac:dyDescent="0.25">
      <c r="A501" s="28" t="s">
        <v>17</v>
      </c>
      <c r="B501" s="212">
        <v>3271.7</v>
      </c>
      <c r="C501" s="233">
        <v>3271.7</v>
      </c>
      <c r="D501" s="212">
        <v>3271.7</v>
      </c>
      <c r="E501" s="234">
        <v>3926</v>
      </c>
      <c r="F501" s="781">
        <v>3926</v>
      </c>
      <c r="G501" s="252">
        <v>3926</v>
      </c>
      <c r="H501" s="252">
        <v>4416.8999999999996</v>
      </c>
      <c r="I501" s="252">
        <v>4416.8999999999996</v>
      </c>
      <c r="J501" s="252">
        <v>4416.8999999999996</v>
      </c>
      <c r="K501" s="252">
        <v>5521.1</v>
      </c>
      <c r="L501" s="252">
        <v>5521.1</v>
      </c>
      <c r="M501" s="252">
        <v>5521.1</v>
      </c>
    </row>
    <row r="502" spans="1:13" x14ac:dyDescent="0.25">
      <c r="A502" s="28" t="s">
        <v>18</v>
      </c>
      <c r="B502" s="212">
        <v>3789.62</v>
      </c>
      <c r="C502" s="233">
        <v>3789.62</v>
      </c>
      <c r="D502" s="212">
        <v>3789.62</v>
      </c>
      <c r="E502" s="234">
        <v>4281.62</v>
      </c>
      <c r="F502" s="781">
        <v>4543.9250000000002</v>
      </c>
      <c r="G502" s="781">
        <v>4707.5</v>
      </c>
      <c r="H502" s="781">
        <f t="shared" ref="H502:M502" si="26">H501+0.25*F501-200</f>
        <v>5198.3999999999996</v>
      </c>
      <c r="I502" s="781">
        <f t="shared" si="26"/>
        <v>5198.3999999999996</v>
      </c>
      <c r="J502" s="781">
        <f t="shared" si="26"/>
        <v>5321.125</v>
      </c>
      <c r="K502" s="781">
        <f t="shared" si="26"/>
        <v>6425.3250000000007</v>
      </c>
      <c r="L502" s="781">
        <f t="shared" si="26"/>
        <v>6425.3250000000007</v>
      </c>
      <c r="M502" s="781">
        <f t="shared" si="26"/>
        <v>6701.375</v>
      </c>
    </row>
    <row r="503" spans="1:13" ht="25" x14ac:dyDescent="0.25">
      <c r="A503" s="28" t="s">
        <v>19</v>
      </c>
      <c r="B503" s="235" t="s">
        <v>86</v>
      </c>
      <c r="C503" s="235" t="s">
        <v>86</v>
      </c>
      <c r="D503" s="235" t="s">
        <v>86</v>
      </c>
      <c r="E503" s="236" t="s">
        <v>87</v>
      </c>
      <c r="F503" s="782" t="s">
        <v>391</v>
      </c>
      <c r="G503" s="782" t="s">
        <v>392</v>
      </c>
      <c r="H503" s="782" t="s">
        <v>442</v>
      </c>
      <c r="I503" s="782" t="s">
        <v>442</v>
      </c>
      <c r="J503" s="782" t="s">
        <v>776</v>
      </c>
      <c r="K503" s="782" t="s">
        <v>960</v>
      </c>
      <c r="L503" s="782" t="s">
        <v>960</v>
      </c>
      <c r="M503" s="783" t="s">
        <v>1313</v>
      </c>
    </row>
    <row r="504" spans="1:13" x14ac:dyDescent="0.25">
      <c r="A504" s="28" t="s">
        <v>20</v>
      </c>
      <c r="B504" s="212">
        <v>2857</v>
      </c>
      <c r="C504" s="233">
        <v>3134</v>
      </c>
      <c r="D504" s="212">
        <v>2385</v>
      </c>
      <c r="E504" s="212">
        <v>2926</v>
      </c>
      <c r="F504" s="781">
        <v>2770</v>
      </c>
      <c r="G504" s="252">
        <v>3549</v>
      </c>
      <c r="H504" s="252">
        <v>2896</v>
      </c>
      <c r="I504" s="252">
        <v>2806</v>
      </c>
      <c r="J504" s="252">
        <v>2782</v>
      </c>
      <c r="K504" s="252">
        <v>2446</v>
      </c>
      <c r="L504" s="252">
        <v>1153</v>
      </c>
      <c r="M504" s="252"/>
    </row>
    <row r="505" spans="1:13" x14ac:dyDescent="0.25">
      <c r="A505" s="28" t="s">
        <v>21</v>
      </c>
      <c r="B505" s="212">
        <v>932.62</v>
      </c>
      <c r="C505" s="233">
        <v>655.62</v>
      </c>
      <c r="D505" s="212">
        <v>1404.62</v>
      </c>
      <c r="E505" s="212">
        <v>1355.62</v>
      </c>
      <c r="F505" s="781">
        <v>1773.9250000000002</v>
      </c>
      <c r="G505" s="781">
        <f t="shared" ref="G505:L505" si="27">G502-G504</f>
        <v>1158.5</v>
      </c>
      <c r="H505" s="781">
        <f t="shared" si="27"/>
        <v>2302.3999999999996</v>
      </c>
      <c r="I505" s="781">
        <f t="shared" si="27"/>
        <v>2392.3999999999996</v>
      </c>
      <c r="J505" s="252">
        <f t="shared" si="27"/>
        <v>2539.125</v>
      </c>
      <c r="K505" s="252">
        <f t="shared" si="27"/>
        <v>3979.3250000000007</v>
      </c>
      <c r="L505" s="252">
        <f t="shared" si="27"/>
        <v>5272.3250000000007</v>
      </c>
      <c r="M505" s="252"/>
    </row>
    <row r="506" spans="1:13" x14ac:dyDescent="0.25">
      <c r="A506" s="36" t="s">
        <v>22</v>
      </c>
      <c r="B506" s="237">
        <v>2017</v>
      </c>
      <c r="C506" s="238">
        <v>2018</v>
      </c>
      <c r="D506" s="237">
        <v>2019</v>
      </c>
      <c r="E506" s="239">
        <v>2020</v>
      </c>
      <c r="F506" s="785">
        <v>2021</v>
      </c>
      <c r="G506" s="498">
        <v>2022</v>
      </c>
      <c r="H506" s="498">
        <v>2023</v>
      </c>
      <c r="I506" s="498">
        <v>2024</v>
      </c>
      <c r="J506" s="498">
        <v>2025</v>
      </c>
      <c r="K506" s="498">
        <v>2026</v>
      </c>
      <c r="L506" s="498">
        <v>2027</v>
      </c>
      <c r="M506" s="498">
        <v>2028</v>
      </c>
    </row>
    <row r="507" spans="1:13" x14ac:dyDescent="0.25">
      <c r="A507" s="50" t="s">
        <v>23</v>
      </c>
      <c r="B507" s="51"/>
      <c r="C507" s="51"/>
      <c r="D507" s="51"/>
      <c r="E507" s="51"/>
      <c r="F507" s="676"/>
      <c r="G507" s="676"/>
      <c r="H507" s="676"/>
      <c r="I507" s="676"/>
      <c r="J507" s="676"/>
      <c r="K507" s="676"/>
      <c r="L507" s="676"/>
      <c r="M507" s="717"/>
    </row>
    <row r="508" spans="1:13" x14ac:dyDescent="0.25">
      <c r="A508" s="64" t="s">
        <v>88</v>
      </c>
      <c r="M508" s="684"/>
    </row>
    <row r="509" spans="1:13" x14ac:dyDescent="0.25">
      <c r="A509" s="240" t="s">
        <v>393</v>
      </c>
      <c r="B509" s="241"/>
      <c r="C509" s="241"/>
      <c r="D509" s="241"/>
      <c r="E509" s="241"/>
      <c r="F509" s="241"/>
      <c r="G509" s="241"/>
      <c r="M509" s="684"/>
    </row>
    <row r="510" spans="1:13" x14ac:dyDescent="0.25">
      <c r="A510" s="64" t="s">
        <v>344</v>
      </c>
      <c r="M510" s="684"/>
    </row>
    <row r="511" spans="1:13" x14ac:dyDescent="0.25">
      <c r="A511" s="64" t="s">
        <v>394</v>
      </c>
      <c r="M511" s="684"/>
    </row>
    <row r="512" spans="1:13" x14ac:dyDescent="0.25">
      <c r="A512" s="64" t="s">
        <v>440</v>
      </c>
      <c r="M512" s="684"/>
    </row>
    <row r="513" spans="1:14" x14ac:dyDescent="0.25">
      <c r="A513" s="64" t="s">
        <v>441</v>
      </c>
      <c r="M513" s="684"/>
    </row>
    <row r="514" spans="1:14" x14ac:dyDescent="0.25">
      <c r="A514" s="64" t="s">
        <v>585</v>
      </c>
      <c r="M514" s="684"/>
    </row>
    <row r="515" spans="1:14" x14ac:dyDescent="0.25">
      <c r="A515" s="240" t="s">
        <v>775</v>
      </c>
      <c r="B515" s="241"/>
      <c r="C515" s="241"/>
      <c r="D515" s="241"/>
      <c r="E515" s="241"/>
      <c r="F515" s="241"/>
      <c r="G515" s="241"/>
      <c r="M515" s="684"/>
    </row>
    <row r="516" spans="1:14" x14ac:dyDescent="0.25">
      <c r="A516" s="219" t="s">
        <v>959</v>
      </c>
      <c r="B516" s="169"/>
      <c r="C516" s="169"/>
      <c r="D516" s="169"/>
      <c r="E516" s="169"/>
      <c r="F516" s="749"/>
      <c r="G516" s="749"/>
      <c r="M516" s="684"/>
    </row>
    <row r="517" spans="1:14" x14ac:dyDescent="0.25">
      <c r="A517" s="219" t="s">
        <v>1104</v>
      </c>
      <c r="B517" s="169"/>
      <c r="C517" s="169"/>
      <c r="D517" s="169"/>
      <c r="E517" s="169"/>
      <c r="F517" s="749"/>
      <c r="G517" s="749"/>
      <c r="M517" s="684"/>
    </row>
    <row r="518" spans="1:14" x14ac:dyDescent="0.25">
      <c r="A518" s="220" t="s">
        <v>1314</v>
      </c>
      <c r="B518" s="242"/>
      <c r="C518" s="242"/>
      <c r="D518" s="242"/>
      <c r="E518" s="242"/>
      <c r="F518" s="786"/>
      <c r="G518" s="786"/>
      <c r="H518" s="685"/>
      <c r="I518" s="685"/>
      <c r="J518" s="685"/>
      <c r="K518" s="685"/>
      <c r="L518" s="685"/>
      <c r="M518" s="675"/>
    </row>
    <row r="520" spans="1:14" x14ac:dyDescent="0.25">
      <c r="A520" s="8" t="s">
        <v>14</v>
      </c>
      <c r="B520" s="9" t="s">
        <v>638</v>
      </c>
      <c r="C520" s="27" t="s">
        <v>15</v>
      </c>
    </row>
    <row r="521" spans="1:14" x14ac:dyDescent="0.25">
      <c r="A521" s="28" t="s">
        <v>16</v>
      </c>
      <c r="B521" s="210">
        <v>2015</v>
      </c>
      <c r="C521" s="231">
        <v>2016</v>
      </c>
      <c r="D521" s="210">
        <v>2017</v>
      </c>
      <c r="E521" s="232">
        <v>2018</v>
      </c>
      <c r="F521" s="780">
        <v>2019</v>
      </c>
      <c r="G521" s="770">
        <v>2020</v>
      </c>
      <c r="H521" s="770">
        <v>2021</v>
      </c>
      <c r="I521" s="770">
        <v>2022</v>
      </c>
      <c r="J521" s="770">
        <v>2023</v>
      </c>
      <c r="K521" s="770">
        <v>2024</v>
      </c>
      <c r="L521" s="770">
        <v>2025</v>
      </c>
      <c r="M521" s="770">
        <v>2026</v>
      </c>
      <c r="N521" s="770">
        <v>2027</v>
      </c>
    </row>
    <row r="522" spans="1:14" x14ac:dyDescent="0.25">
      <c r="A522" s="28" t="s">
        <v>17</v>
      </c>
      <c r="B522" s="212">
        <v>9400</v>
      </c>
      <c r="C522" s="233">
        <v>9400</v>
      </c>
      <c r="D522" s="212">
        <v>9400</v>
      </c>
      <c r="E522" s="234">
        <v>9400</v>
      </c>
      <c r="F522" s="781">
        <v>9400</v>
      </c>
      <c r="G522" s="252">
        <v>9400</v>
      </c>
      <c r="H522" s="252">
        <v>9400</v>
      </c>
      <c r="I522" s="252">
        <v>9400</v>
      </c>
      <c r="J522" s="252">
        <v>10340</v>
      </c>
      <c r="K522" s="252">
        <v>10340</v>
      </c>
      <c r="L522" s="252">
        <v>10340</v>
      </c>
      <c r="M522" s="252">
        <v>10340</v>
      </c>
      <c r="N522" s="252">
        <v>10340</v>
      </c>
    </row>
    <row r="523" spans="1:14" x14ac:dyDescent="0.25">
      <c r="A523" s="28" t="s">
        <v>18</v>
      </c>
      <c r="B523" s="212">
        <v>11506.75</v>
      </c>
      <c r="C523" s="233">
        <v>11750</v>
      </c>
      <c r="D523" s="212">
        <v>11750</v>
      </c>
      <c r="E523" s="234">
        <v>11750</v>
      </c>
      <c r="F523" s="781">
        <f>F522*1.25</f>
        <v>11750</v>
      </c>
      <c r="G523" s="252">
        <f>G522*1.25-200</f>
        <v>11550</v>
      </c>
      <c r="H523" s="252">
        <f>H522+F526</f>
        <v>11524</v>
      </c>
      <c r="I523" s="252">
        <f>I522+G526+85</f>
        <v>11184</v>
      </c>
      <c r="J523" s="252">
        <f>J522+H526</f>
        <v>11345</v>
      </c>
      <c r="K523" s="252">
        <f>K522+139.98</f>
        <v>10479.98</v>
      </c>
      <c r="L523" s="252">
        <f>L522+J526+2135-1425.02</f>
        <v>11499.98</v>
      </c>
      <c r="M523" s="252">
        <v>10340</v>
      </c>
      <c r="N523" s="252"/>
    </row>
    <row r="524" spans="1:14" ht="25" x14ac:dyDescent="0.25">
      <c r="A524" s="28" t="s">
        <v>19</v>
      </c>
      <c r="B524" s="235" t="s">
        <v>89</v>
      </c>
      <c r="C524" s="235" t="s">
        <v>90</v>
      </c>
      <c r="D524" s="235" t="s">
        <v>90</v>
      </c>
      <c r="E524" s="236" t="s">
        <v>90</v>
      </c>
      <c r="F524" s="782" t="s">
        <v>90</v>
      </c>
      <c r="G524" s="787" t="s">
        <v>346</v>
      </c>
      <c r="H524" s="787" t="s">
        <v>444</v>
      </c>
      <c r="I524" s="787" t="s">
        <v>712</v>
      </c>
      <c r="J524" s="787" t="s">
        <v>869</v>
      </c>
      <c r="K524" s="787" t="s">
        <v>920</v>
      </c>
      <c r="L524" s="256" t="s">
        <v>1124</v>
      </c>
      <c r="M524" s="787"/>
      <c r="N524" s="787"/>
    </row>
    <row r="525" spans="1:14" x14ac:dyDescent="0.25">
      <c r="A525" s="28" t="s">
        <v>20</v>
      </c>
      <c r="B525" s="212">
        <v>7157</v>
      </c>
      <c r="C525" s="233">
        <v>8907</v>
      </c>
      <c r="D525" s="212">
        <v>9090</v>
      </c>
      <c r="E525" s="212">
        <v>9227</v>
      </c>
      <c r="F525" s="781">
        <v>9626</v>
      </c>
      <c r="G525" s="252">
        <v>9851</v>
      </c>
      <c r="H525" s="252">
        <v>10519</v>
      </c>
      <c r="I525" s="252">
        <v>8894</v>
      </c>
      <c r="J525" s="252">
        <v>10895</v>
      </c>
      <c r="K525" s="252">
        <v>11905</v>
      </c>
      <c r="L525" s="252">
        <v>10553</v>
      </c>
      <c r="M525" s="252"/>
      <c r="N525" s="252"/>
    </row>
    <row r="526" spans="1:14" x14ac:dyDescent="0.25">
      <c r="A526" s="28" t="s">
        <v>21</v>
      </c>
      <c r="B526" s="212">
        <v>4349.75</v>
      </c>
      <c r="C526" s="233">
        <v>2843</v>
      </c>
      <c r="D526" s="212">
        <v>2660</v>
      </c>
      <c r="E526" s="212">
        <v>2523</v>
      </c>
      <c r="F526" s="781">
        <f>F523-F525</f>
        <v>2124</v>
      </c>
      <c r="G526" s="252">
        <f>G523-G525</f>
        <v>1699</v>
      </c>
      <c r="H526" s="252">
        <v>1005</v>
      </c>
      <c r="I526" s="252">
        <f>I523-I525</f>
        <v>2290</v>
      </c>
      <c r="J526" s="252">
        <f>J523-J525</f>
        <v>450</v>
      </c>
      <c r="K526" s="252">
        <f>K523-K525</f>
        <v>-1425.0200000000004</v>
      </c>
      <c r="L526" s="252">
        <f>L523-L525</f>
        <v>946.97999999999956</v>
      </c>
      <c r="M526" s="252"/>
      <c r="N526" s="252"/>
    </row>
    <row r="527" spans="1:14" ht="37.5" x14ac:dyDescent="0.25">
      <c r="A527" s="34" t="s">
        <v>22</v>
      </c>
      <c r="B527" s="215">
        <v>2017</v>
      </c>
      <c r="C527" s="243">
        <v>2018</v>
      </c>
      <c r="D527" s="215">
        <v>2019</v>
      </c>
      <c r="E527" s="244">
        <v>2020</v>
      </c>
      <c r="F527" s="789">
        <v>2021</v>
      </c>
      <c r="G527" s="789">
        <v>2022</v>
      </c>
      <c r="H527" s="789">
        <v>2023</v>
      </c>
      <c r="I527" s="789">
        <v>2024</v>
      </c>
      <c r="J527" s="789">
        <v>2025</v>
      </c>
      <c r="K527" s="789">
        <v>2026</v>
      </c>
      <c r="L527" s="790" t="s">
        <v>1135</v>
      </c>
      <c r="M527" s="789">
        <v>2028</v>
      </c>
      <c r="N527" s="789">
        <v>2029</v>
      </c>
    </row>
    <row r="528" spans="1:14" x14ac:dyDescent="0.25">
      <c r="A528" s="36" t="s">
        <v>23</v>
      </c>
      <c r="B528" s="245"/>
      <c r="C528" s="245"/>
      <c r="D528" s="245"/>
      <c r="E528" s="245"/>
      <c r="F528" s="245"/>
      <c r="G528" s="245"/>
      <c r="H528" s="245"/>
      <c r="I528" s="245"/>
      <c r="J528" s="245"/>
      <c r="K528" s="245"/>
      <c r="L528" s="245"/>
      <c r="M528" s="245"/>
      <c r="N528" s="672"/>
    </row>
    <row r="529" spans="1:14" x14ac:dyDescent="0.25">
      <c r="A529" s="53" t="s">
        <v>91</v>
      </c>
      <c r="B529" s="54"/>
      <c r="C529" s="54"/>
      <c r="D529" s="54"/>
      <c r="E529" s="54"/>
      <c r="F529" s="54"/>
      <c r="G529" s="669"/>
      <c r="H529" s="669"/>
      <c r="I529" s="669"/>
      <c r="J529" s="669"/>
      <c r="K529" s="669"/>
      <c r="L529" s="669"/>
      <c r="M529" s="669"/>
      <c r="N529" s="672"/>
    </row>
    <row r="530" spans="1:14" x14ac:dyDescent="0.25">
      <c r="A530" s="219" t="s">
        <v>345</v>
      </c>
      <c r="B530" s="246"/>
      <c r="C530" s="246"/>
      <c r="D530" s="246"/>
      <c r="E530" s="246"/>
      <c r="F530" s="377"/>
      <c r="N530" s="684"/>
    </row>
    <row r="531" spans="1:14" x14ac:dyDescent="0.25">
      <c r="A531" s="219" t="s">
        <v>443</v>
      </c>
      <c r="B531" s="246"/>
      <c r="C531" s="246"/>
      <c r="D531" s="246"/>
      <c r="E531" s="246"/>
      <c r="F531" s="377"/>
      <c r="N531" s="684"/>
    </row>
    <row r="532" spans="1:14" x14ac:dyDescent="0.25">
      <c r="A532" s="219" t="s">
        <v>713</v>
      </c>
      <c r="B532" s="246"/>
      <c r="C532" s="246"/>
      <c r="D532" s="246"/>
      <c r="E532" s="246"/>
      <c r="F532" s="377"/>
      <c r="N532" s="684"/>
    </row>
    <row r="533" spans="1:14" x14ac:dyDescent="0.25">
      <c r="A533" s="219" t="s">
        <v>870</v>
      </c>
      <c r="B533" s="246"/>
      <c r="C533" s="246"/>
      <c r="D533" s="246"/>
      <c r="E533" s="246"/>
      <c r="F533" s="377"/>
      <c r="N533" s="684"/>
    </row>
    <row r="534" spans="1:14" x14ac:dyDescent="0.25">
      <c r="A534" s="219" t="s">
        <v>985</v>
      </c>
      <c r="B534" s="246"/>
      <c r="C534" s="246"/>
      <c r="D534" s="246"/>
      <c r="E534" s="246"/>
      <c r="F534" s="377"/>
      <c r="N534" s="684"/>
    </row>
    <row r="535" spans="1:14" x14ac:dyDescent="0.25">
      <c r="A535" s="222" t="s">
        <v>1125</v>
      </c>
      <c r="B535" s="246"/>
      <c r="C535" s="246"/>
      <c r="D535" s="246"/>
      <c r="E535" s="246"/>
      <c r="F535" s="377"/>
      <c r="N535" s="684"/>
    </row>
    <row r="536" spans="1:14" x14ac:dyDescent="0.25">
      <c r="A536" s="220" t="s">
        <v>1315</v>
      </c>
      <c r="B536" s="247"/>
      <c r="C536" s="247"/>
      <c r="D536" s="247"/>
      <c r="E536" s="247"/>
      <c r="F536" s="791"/>
      <c r="G536" s="685"/>
      <c r="H536" s="685"/>
      <c r="I536" s="685"/>
      <c r="J536" s="685"/>
      <c r="K536" s="685"/>
      <c r="L536" s="685"/>
      <c r="M536" s="685"/>
      <c r="N536" s="675"/>
    </row>
    <row r="538" spans="1:14" x14ac:dyDescent="0.25">
      <c r="A538" s="8" t="s">
        <v>14</v>
      </c>
      <c r="B538" s="9" t="s">
        <v>623</v>
      </c>
      <c r="C538" s="27" t="s">
        <v>15</v>
      </c>
    </row>
    <row r="539" spans="1:14" x14ac:dyDescent="0.25">
      <c r="A539" s="28" t="s">
        <v>16</v>
      </c>
      <c r="B539" s="210">
        <v>2015</v>
      </c>
      <c r="C539" s="231">
        <v>2016</v>
      </c>
      <c r="D539" s="210">
        <v>2017</v>
      </c>
      <c r="E539" s="232">
        <v>2018</v>
      </c>
      <c r="F539" s="780">
        <v>2019</v>
      </c>
      <c r="G539" s="770">
        <v>2020</v>
      </c>
      <c r="H539" s="770">
        <v>2021</v>
      </c>
      <c r="I539" s="770">
        <v>2022</v>
      </c>
      <c r="J539" s="770">
        <v>2023</v>
      </c>
      <c r="K539" s="770">
        <v>2024</v>
      </c>
      <c r="L539" s="770">
        <v>2025</v>
      </c>
      <c r="M539" s="501">
        <v>2026</v>
      </c>
    </row>
    <row r="540" spans="1:14" x14ac:dyDescent="0.25">
      <c r="A540" s="28" t="s">
        <v>17</v>
      </c>
      <c r="B540" s="212">
        <v>270</v>
      </c>
      <c r="C540" s="233">
        <v>270</v>
      </c>
      <c r="D540" s="212">
        <v>270</v>
      </c>
      <c r="E540" s="234">
        <v>270</v>
      </c>
      <c r="F540" s="781">
        <v>270</v>
      </c>
      <c r="G540" s="252">
        <v>270</v>
      </c>
      <c r="H540" s="252">
        <v>270</v>
      </c>
      <c r="I540" s="252">
        <v>270</v>
      </c>
      <c r="J540" s="252">
        <v>270</v>
      </c>
      <c r="K540" s="252">
        <v>270</v>
      </c>
      <c r="L540" s="252">
        <v>270</v>
      </c>
      <c r="M540" s="792">
        <v>270</v>
      </c>
    </row>
    <row r="541" spans="1:14" x14ac:dyDescent="0.25">
      <c r="A541" s="28" t="s">
        <v>18</v>
      </c>
      <c r="B541" s="212">
        <v>370</v>
      </c>
      <c r="C541" s="233">
        <v>370</v>
      </c>
      <c r="D541" s="212">
        <v>370</v>
      </c>
      <c r="E541" s="234">
        <v>343</v>
      </c>
      <c r="F541" s="781">
        <v>343</v>
      </c>
      <c r="G541" s="252">
        <f>G540*1.4-35-20</f>
        <v>323</v>
      </c>
      <c r="H541" s="252">
        <f>H540*1.4-35-20</f>
        <v>323</v>
      </c>
      <c r="I541" s="252">
        <f>I540*1.4-35-20</f>
        <v>323</v>
      </c>
      <c r="J541" s="252">
        <v>323</v>
      </c>
      <c r="K541" s="252">
        <f>K540+0.4*I540-35-20</f>
        <v>323</v>
      </c>
      <c r="L541" s="252">
        <v>378</v>
      </c>
      <c r="M541" s="252">
        <v>378</v>
      </c>
    </row>
    <row r="542" spans="1:14" x14ac:dyDescent="0.25">
      <c r="A542" s="28" t="s">
        <v>19</v>
      </c>
      <c r="B542" s="235" t="s">
        <v>92</v>
      </c>
      <c r="C542" s="235" t="s">
        <v>92</v>
      </c>
      <c r="D542" s="235" t="s">
        <v>92</v>
      </c>
      <c r="E542" s="236" t="s">
        <v>93</v>
      </c>
      <c r="F542" s="782" t="s">
        <v>93</v>
      </c>
      <c r="G542" s="787" t="s">
        <v>351</v>
      </c>
      <c r="H542" s="787" t="s">
        <v>351</v>
      </c>
      <c r="I542" s="787" t="s">
        <v>351</v>
      </c>
      <c r="J542" s="787" t="s">
        <v>351</v>
      </c>
      <c r="K542" s="787" t="s">
        <v>351</v>
      </c>
      <c r="L542" s="252" t="s">
        <v>1133</v>
      </c>
      <c r="M542" s="792" t="s">
        <v>1133</v>
      </c>
    </row>
    <row r="543" spans="1:14" x14ac:dyDescent="0.25">
      <c r="A543" s="28" t="s">
        <v>20</v>
      </c>
      <c r="B543" s="212">
        <v>115</v>
      </c>
      <c r="C543" s="212">
        <v>151.72</v>
      </c>
      <c r="D543" s="212">
        <v>95.51</v>
      </c>
      <c r="E543" s="212">
        <v>169.22</v>
      </c>
      <c r="F543" s="781">
        <v>122.25</v>
      </c>
      <c r="G543" s="252">
        <v>157.75</v>
      </c>
      <c r="H543" s="252">
        <v>68</v>
      </c>
      <c r="I543" s="252">
        <v>150</v>
      </c>
      <c r="J543" s="252">
        <v>183</v>
      </c>
      <c r="K543" s="252">
        <v>199</v>
      </c>
      <c r="L543" s="793">
        <v>140.11000000000001</v>
      </c>
      <c r="M543" s="792"/>
    </row>
    <row r="544" spans="1:14" x14ac:dyDescent="0.25">
      <c r="A544" s="28" t="s">
        <v>21</v>
      </c>
      <c r="B544" s="212">
        <v>255</v>
      </c>
      <c r="C544" s="212">
        <f>C541-C543</f>
        <v>218.28</v>
      </c>
      <c r="D544" s="212">
        <f>D541-D543</f>
        <v>274.49</v>
      </c>
      <c r="E544" s="212">
        <v>173.78</v>
      </c>
      <c r="F544" s="781">
        <f t="shared" ref="F544:L544" si="28">F541-F543</f>
        <v>220.75</v>
      </c>
      <c r="G544" s="252">
        <f t="shared" si="28"/>
        <v>165.25</v>
      </c>
      <c r="H544" s="252">
        <f t="shared" si="28"/>
        <v>255</v>
      </c>
      <c r="I544" s="252">
        <f t="shared" si="28"/>
        <v>173</v>
      </c>
      <c r="J544" s="252">
        <f t="shared" si="28"/>
        <v>140</v>
      </c>
      <c r="K544" s="252">
        <f t="shared" si="28"/>
        <v>124</v>
      </c>
      <c r="L544" s="252">
        <f t="shared" si="28"/>
        <v>237.89</v>
      </c>
      <c r="M544" s="792"/>
    </row>
    <row r="545" spans="1:13" x14ac:dyDescent="0.25">
      <c r="A545" s="34" t="s">
        <v>22</v>
      </c>
      <c r="B545" s="215">
        <v>2017</v>
      </c>
      <c r="C545" s="243">
        <v>2018</v>
      </c>
      <c r="D545" s="215">
        <v>2019</v>
      </c>
      <c r="E545" s="244">
        <v>2020</v>
      </c>
      <c r="F545" s="789">
        <v>2021</v>
      </c>
      <c r="G545" s="789">
        <v>2022</v>
      </c>
      <c r="H545" s="789">
        <v>2023</v>
      </c>
      <c r="I545" s="789">
        <v>2024</v>
      </c>
      <c r="J545" s="789">
        <v>2025</v>
      </c>
      <c r="K545" s="789">
        <v>2026</v>
      </c>
      <c r="L545" s="789">
        <v>2027</v>
      </c>
      <c r="M545" s="498">
        <v>2028</v>
      </c>
    </row>
    <row r="546" spans="1:13" x14ac:dyDescent="0.25">
      <c r="A546" s="36" t="s">
        <v>23</v>
      </c>
      <c r="B546" s="36"/>
      <c r="C546" s="37"/>
      <c r="D546" s="37"/>
      <c r="E546" s="37"/>
      <c r="F546" s="669"/>
      <c r="G546" s="669"/>
      <c r="H546" s="669"/>
      <c r="I546" s="669"/>
      <c r="J546" s="672"/>
      <c r="K546" s="672"/>
      <c r="L546" s="794"/>
      <c r="M546" s="794"/>
    </row>
    <row r="547" spans="1:13" x14ac:dyDescent="0.25">
      <c r="A547" s="53" t="s">
        <v>94</v>
      </c>
      <c r="B547" s="54"/>
      <c r="C547" s="54"/>
      <c r="D547" s="54"/>
      <c r="E547" s="54"/>
      <c r="F547" s="54"/>
      <c r="G547" s="669"/>
      <c r="H547" s="669"/>
      <c r="I547" s="669"/>
      <c r="J547" s="669"/>
      <c r="K547" s="669"/>
      <c r="L547" s="669"/>
      <c r="M547" s="672"/>
    </row>
    <row r="548" spans="1:13" x14ac:dyDescent="0.25">
      <c r="A548" s="219" t="s">
        <v>348</v>
      </c>
      <c r="B548" s="246"/>
      <c r="C548" s="246"/>
      <c r="D548" s="246"/>
      <c r="E548" s="246"/>
      <c r="F548" s="377"/>
      <c r="M548" s="684"/>
    </row>
    <row r="549" spans="1:13" x14ac:dyDescent="0.25">
      <c r="A549" s="219" t="s">
        <v>349</v>
      </c>
      <c r="B549" s="246"/>
      <c r="C549" s="246"/>
      <c r="D549" s="246"/>
      <c r="E549" s="246"/>
      <c r="F549" s="377"/>
      <c r="M549" s="684"/>
    </row>
    <row r="550" spans="1:13" ht="13.4" customHeight="1" x14ac:dyDescent="0.25">
      <c r="A550" s="64" t="s">
        <v>350</v>
      </c>
      <c r="M550" s="684"/>
    </row>
    <row r="551" spans="1:13" x14ac:dyDescent="0.25">
      <c r="A551" s="219" t="s">
        <v>445</v>
      </c>
      <c r="B551" s="246"/>
      <c r="C551" s="246"/>
      <c r="D551" s="246"/>
      <c r="E551" s="246"/>
      <c r="F551" s="377"/>
      <c r="M551" s="684"/>
    </row>
    <row r="552" spans="1:13" x14ac:dyDescent="0.25">
      <c r="A552" s="219" t="s">
        <v>446</v>
      </c>
      <c r="B552" s="246"/>
      <c r="C552" s="246"/>
      <c r="D552" s="246"/>
      <c r="E552" s="246"/>
      <c r="F552" s="377"/>
      <c r="M552" s="684"/>
    </row>
    <row r="553" spans="1:13" x14ac:dyDescent="0.25">
      <c r="A553" s="64" t="s">
        <v>655</v>
      </c>
      <c r="B553" s="246"/>
      <c r="C553" s="246"/>
      <c r="D553" s="246"/>
      <c r="E553" s="246"/>
      <c r="F553" s="377"/>
      <c r="M553" s="684"/>
    </row>
    <row r="554" spans="1:13" x14ac:dyDescent="0.25">
      <c r="A554" s="64" t="s">
        <v>777</v>
      </c>
      <c r="M554" s="684"/>
    </row>
    <row r="555" spans="1:13" x14ac:dyDescent="0.25">
      <c r="A555" s="64" t="s">
        <v>961</v>
      </c>
      <c r="M555" s="684"/>
    </row>
    <row r="556" spans="1:13" x14ac:dyDescent="0.25">
      <c r="A556" s="64" t="s">
        <v>1134</v>
      </c>
      <c r="M556" s="684"/>
    </row>
    <row r="557" spans="1:13" x14ac:dyDescent="0.25">
      <c r="A557" s="69" t="s">
        <v>1316</v>
      </c>
      <c r="B557" s="73"/>
      <c r="C557" s="73"/>
      <c r="D557" s="73"/>
      <c r="E557" s="73"/>
      <c r="F557" s="685"/>
      <c r="G557" s="685"/>
      <c r="H557" s="685"/>
      <c r="I557" s="685"/>
      <c r="J557" s="685"/>
      <c r="K557" s="685"/>
      <c r="L557" s="685"/>
      <c r="M557" s="675"/>
    </row>
    <row r="559" spans="1:13" x14ac:dyDescent="0.25">
      <c r="A559" s="8" t="s">
        <v>14</v>
      </c>
      <c r="B559" s="9" t="s">
        <v>641</v>
      </c>
      <c r="C559" s="27" t="s">
        <v>15</v>
      </c>
    </row>
    <row r="560" spans="1:13" x14ac:dyDescent="0.25">
      <c r="A560" s="28" t="s">
        <v>16</v>
      </c>
      <c r="B560" s="210">
        <v>2015</v>
      </c>
      <c r="C560" s="231">
        <v>2016</v>
      </c>
      <c r="D560" s="210">
        <v>2017</v>
      </c>
      <c r="E560" s="232">
        <v>2018</v>
      </c>
      <c r="F560" s="780">
        <v>2019</v>
      </c>
      <c r="G560" s="770">
        <v>2020</v>
      </c>
      <c r="H560" s="770">
        <v>2021</v>
      </c>
      <c r="I560" s="770">
        <v>2022</v>
      </c>
      <c r="J560" s="770">
        <v>2023</v>
      </c>
      <c r="K560" s="770">
        <v>2024</v>
      </c>
      <c r="L560" s="752">
        <v>2025</v>
      </c>
      <c r="M560" s="752">
        <v>2026</v>
      </c>
    </row>
    <row r="561" spans="1:13" x14ac:dyDescent="0.25">
      <c r="A561" s="28" t="s">
        <v>17</v>
      </c>
      <c r="B561" s="212">
        <v>459</v>
      </c>
      <c r="C561" s="233">
        <v>459</v>
      </c>
      <c r="D561" s="212">
        <v>459</v>
      </c>
      <c r="E561" s="234">
        <v>459</v>
      </c>
      <c r="F561" s="781">
        <v>459</v>
      </c>
      <c r="G561" s="252">
        <v>459</v>
      </c>
      <c r="H561" s="252">
        <v>459</v>
      </c>
      <c r="I561" s="252">
        <v>459</v>
      </c>
      <c r="J561" s="252">
        <v>459</v>
      </c>
      <c r="K561" s="252">
        <v>459</v>
      </c>
      <c r="L561" s="709">
        <v>459</v>
      </c>
      <c r="M561" s="709">
        <v>459</v>
      </c>
    </row>
    <row r="562" spans="1:13" x14ac:dyDescent="0.25">
      <c r="A562" s="28" t="s">
        <v>18</v>
      </c>
      <c r="B562" s="212">
        <v>587.9</v>
      </c>
      <c r="C562" s="233">
        <v>535.9</v>
      </c>
      <c r="D562" s="212">
        <v>516.9</v>
      </c>
      <c r="E562" s="234">
        <v>559.9</v>
      </c>
      <c r="F562" s="781">
        <v>546.79999999999995</v>
      </c>
      <c r="G562" s="252">
        <v>550.79999999999995</v>
      </c>
      <c r="H562" s="252">
        <v>550.79999999999995</v>
      </c>
      <c r="I562" s="252">
        <f>I561+H565</f>
        <v>477.79999999999995</v>
      </c>
      <c r="J562" s="252">
        <f>J561+0.1*I561</f>
        <v>504.9</v>
      </c>
      <c r="K562" s="252">
        <f>K561+0.1*J561</f>
        <v>504.9</v>
      </c>
      <c r="L562" s="709">
        <v>504.9</v>
      </c>
      <c r="M562" s="690">
        <v>504.9</v>
      </c>
    </row>
    <row r="563" spans="1:13" x14ac:dyDescent="0.25">
      <c r="A563" s="28" t="s">
        <v>19</v>
      </c>
      <c r="B563" s="235" t="s">
        <v>95</v>
      </c>
      <c r="C563" s="235" t="s">
        <v>96</v>
      </c>
      <c r="D563" s="235" t="s">
        <v>97</v>
      </c>
      <c r="E563" s="236" t="s">
        <v>376</v>
      </c>
      <c r="F563" s="782" t="s">
        <v>377</v>
      </c>
      <c r="G563" s="46" t="s">
        <v>352</v>
      </c>
      <c r="H563" s="46" t="s">
        <v>352</v>
      </c>
      <c r="I563" s="46" t="str">
        <f>"=459+18.8"</f>
        <v>=459+18.8</v>
      </c>
      <c r="J563" s="46" t="s">
        <v>778</v>
      </c>
      <c r="K563" s="46" t="s">
        <v>778</v>
      </c>
      <c r="L563" s="709" t="s">
        <v>778</v>
      </c>
      <c r="M563" s="690" t="s">
        <v>778</v>
      </c>
    </row>
    <row r="564" spans="1:13" x14ac:dyDescent="0.25">
      <c r="A564" s="28" t="s">
        <v>20</v>
      </c>
      <c r="B564" s="212">
        <v>511</v>
      </c>
      <c r="C564" s="233">
        <v>478</v>
      </c>
      <c r="D564" s="212">
        <v>416</v>
      </c>
      <c r="E564" s="212">
        <v>472.1</v>
      </c>
      <c r="F564" s="781">
        <v>395.31</v>
      </c>
      <c r="G564" s="252">
        <v>353.05</v>
      </c>
      <c r="H564" s="252">
        <v>532</v>
      </c>
      <c r="I564" s="252">
        <v>420</v>
      </c>
      <c r="J564" s="252">
        <v>379</v>
      </c>
      <c r="K564" s="252">
        <v>458</v>
      </c>
      <c r="L564" s="709">
        <v>328.58</v>
      </c>
      <c r="M564" s="709"/>
    </row>
    <row r="565" spans="1:13" x14ac:dyDescent="0.25">
      <c r="A565" s="28" t="s">
        <v>21</v>
      </c>
      <c r="B565" s="212">
        <v>76.900000000000006</v>
      </c>
      <c r="C565" s="233">
        <v>57.9</v>
      </c>
      <c r="D565" s="212">
        <v>100.9</v>
      </c>
      <c r="E565" s="212">
        <v>87.799999999999955</v>
      </c>
      <c r="F565" s="781">
        <v>151.48999999999995</v>
      </c>
      <c r="G565" s="252">
        <f t="shared" ref="G565:L565" si="29">G562-G564</f>
        <v>197.74999999999994</v>
      </c>
      <c r="H565" s="252">
        <f t="shared" si="29"/>
        <v>18.799999999999955</v>
      </c>
      <c r="I565" s="252">
        <f t="shared" si="29"/>
        <v>57.799999999999955</v>
      </c>
      <c r="J565" s="252">
        <f t="shared" si="29"/>
        <v>125.89999999999998</v>
      </c>
      <c r="K565" s="252">
        <f t="shared" si="29"/>
        <v>46.899999999999977</v>
      </c>
      <c r="L565" s="252">
        <f t="shared" si="29"/>
        <v>176.32</v>
      </c>
      <c r="M565" s="709"/>
    </row>
    <row r="566" spans="1:13" x14ac:dyDescent="0.25">
      <c r="A566" s="36" t="s">
        <v>22</v>
      </c>
      <c r="B566" s="237">
        <v>2016</v>
      </c>
      <c r="C566" s="238">
        <v>2017</v>
      </c>
      <c r="D566" s="237">
        <v>2018</v>
      </c>
      <c r="E566" s="239">
        <v>2019</v>
      </c>
      <c r="F566" s="785">
        <v>2020</v>
      </c>
      <c r="G566" s="785">
        <v>2021</v>
      </c>
      <c r="H566" s="785">
        <v>2022</v>
      </c>
      <c r="I566" s="785">
        <v>2023</v>
      </c>
      <c r="J566" s="785">
        <v>2024</v>
      </c>
      <c r="K566" s="785">
        <v>2025</v>
      </c>
      <c r="L566" s="703">
        <v>2026</v>
      </c>
      <c r="M566" s="703">
        <v>2027</v>
      </c>
    </row>
    <row r="567" spans="1:13" x14ac:dyDescent="0.25">
      <c r="A567" s="36" t="s">
        <v>23</v>
      </c>
      <c r="B567" s="37"/>
      <c r="C567" s="37"/>
      <c r="D567" s="37"/>
      <c r="E567" s="37"/>
      <c r="F567" s="669"/>
      <c r="G567" s="669"/>
      <c r="H567" s="669"/>
      <c r="I567" s="669"/>
      <c r="J567" s="669"/>
      <c r="K567" s="669"/>
      <c r="L567" s="669"/>
      <c r="M567" s="672"/>
    </row>
    <row r="568" spans="1:13" ht="13.4" customHeight="1" x14ac:dyDescent="0.25">
      <c r="A568" s="36" t="s">
        <v>98</v>
      </c>
      <c r="B568" s="37"/>
      <c r="C568" s="37"/>
      <c r="D568" s="37"/>
      <c r="E568" s="37"/>
      <c r="F568" s="669"/>
      <c r="G568" s="669"/>
      <c r="H568" s="669"/>
      <c r="I568" s="669"/>
      <c r="J568" s="669"/>
      <c r="K568" s="669"/>
      <c r="L568" s="669"/>
      <c r="M568" s="672"/>
    </row>
    <row r="569" spans="1:13" ht="13.4" customHeight="1" x14ac:dyDescent="0.25">
      <c r="A569" s="240" t="s">
        <v>378</v>
      </c>
      <c r="B569" s="241"/>
      <c r="C569" s="241"/>
      <c r="D569" s="241"/>
      <c r="E569" s="241"/>
      <c r="F569" s="241"/>
      <c r="M569" s="684"/>
    </row>
    <row r="570" spans="1:13" x14ac:dyDescent="0.25">
      <c r="A570" s="219" t="s">
        <v>353</v>
      </c>
      <c r="B570" s="246"/>
      <c r="C570" s="246"/>
      <c r="D570" s="246"/>
      <c r="E570" s="246"/>
      <c r="F570" s="377"/>
      <c r="M570" s="684"/>
    </row>
    <row r="571" spans="1:13" x14ac:dyDescent="0.25">
      <c r="A571" s="219" t="s">
        <v>354</v>
      </c>
      <c r="B571" s="246"/>
      <c r="C571" s="246"/>
      <c r="D571" s="246"/>
      <c r="E571" s="246"/>
      <c r="F571" s="377"/>
      <c r="M571" s="684"/>
    </row>
    <row r="572" spans="1:13" ht="13.4" customHeight="1" x14ac:dyDescent="0.25">
      <c r="A572" s="219" t="s">
        <v>447</v>
      </c>
      <c r="B572" s="246"/>
      <c r="C572" s="246"/>
      <c r="D572" s="246"/>
      <c r="E572" s="246"/>
      <c r="F572" s="377"/>
      <c r="M572" s="684"/>
    </row>
    <row r="573" spans="1:13" ht="13.4" customHeight="1" x14ac:dyDescent="0.25">
      <c r="A573" s="219" t="s">
        <v>448</v>
      </c>
      <c r="B573" s="246"/>
      <c r="C573" s="246"/>
      <c r="D573" s="246"/>
      <c r="E573" s="246"/>
      <c r="F573" s="377"/>
      <c r="M573" s="684"/>
    </row>
    <row r="574" spans="1:13" ht="13.4" customHeight="1" x14ac:dyDescent="0.25">
      <c r="A574" s="219" t="s">
        <v>656</v>
      </c>
      <c r="B574" s="246"/>
      <c r="C574" s="246"/>
      <c r="D574" s="246"/>
      <c r="E574" s="246"/>
      <c r="F574" s="377"/>
      <c r="M574" s="684"/>
    </row>
    <row r="575" spans="1:13" ht="12.75" customHeight="1" x14ac:dyDescent="0.25">
      <c r="A575" s="219" t="s">
        <v>779</v>
      </c>
      <c r="B575" s="246"/>
      <c r="C575" s="246"/>
      <c r="D575" s="246"/>
      <c r="E575" s="246"/>
      <c r="F575" s="377"/>
      <c r="M575" s="684"/>
    </row>
    <row r="576" spans="1:13" ht="12.75" customHeight="1" x14ac:dyDescent="0.25">
      <c r="A576" s="219" t="s">
        <v>1136</v>
      </c>
      <c r="B576" s="246"/>
      <c r="C576" s="246"/>
      <c r="D576" s="246"/>
      <c r="E576" s="246"/>
      <c r="F576" s="377"/>
      <c r="M576" s="684"/>
    </row>
    <row r="577" spans="1:13" ht="12.75" customHeight="1" x14ac:dyDescent="0.25">
      <c r="A577" s="219" t="s">
        <v>1137</v>
      </c>
      <c r="B577" s="246"/>
      <c r="C577" s="246"/>
      <c r="D577" s="246"/>
      <c r="E577" s="246"/>
      <c r="F577" s="377"/>
      <c r="M577" s="684"/>
    </row>
    <row r="578" spans="1:13" ht="12.75" customHeight="1" x14ac:dyDescent="0.25">
      <c r="A578" s="220" t="s">
        <v>1317</v>
      </c>
      <c r="B578" s="247"/>
      <c r="C578" s="247"/>
      <c r="D578" s="247"/>
      <c r="E578" s="247"/>
      <c r="F578" s="791"/>
      <c r="G578" s="685"/>
      <c r="H578" s="685"/>
      <c r="I578" s="685"/>
      <c r="J578" s="685"/>
      <c r="K578" s="685"/>
      <c r="L578" s="685"/>
      <c r="M578" s="675"/>
    </row>
    <row r="580" spans="1:13" x14ac:dyDescent="0.25">
      <c r="A580" s="8" t="s">
        <v>14</v>
      </c>
      <c r="B580" s="9" t="s">
        <v>642</v>
      </c>
      <c r="C580" s="27" t="s">
        <v>15</v>
      </c>
    </row>
    <row r="581" spans="1:13" x14ac:dyDescent="0.25">
      <c r="A581" s="28" t="s">
        <v>16</v>
      </c>
      <c r="B581" s="210">
        <v>2015</v>
      </c>
      <c r="C581" s="231">
        <v>2016</v>
      </c>
      <c r="D581" s="210">
        <v>2017</v>
      </c>
      <c r="E581" s="232">
        <v>2018</v>
      </c>
      <c r="F581" s="780">
        <v>2019</v>
      </c>
      <c r="G581" s="770">
        <v>2020</v>
      </c>
      <c r="H581" s="770">
        <v>2021</v>
      </c>
      <c r="I581" s="770">
        <v>2022</v>
      </c>
      <c r="J581" s="770">
        <v>2023</v>
      </c>
      <c r="K581" s="770">
        <v>2024</v>
      </c>
      <c r="L581" s="770">
        <v>2025</v>
      </c>
      <c r="M581" s="770">
        <v>2026</v>
      </c>
    </row>
    <row r="582" spans="1:13" x14ac:dyDescent="0.25">
      <c r="A582" s="28" t="s">
        <v>17</v>
      </c>
      <c r="B582" s="30">
        <v>48.76</v>
      </c>
      <c r="C582" s="250">
        <v>58.28</v>
      </c>
      <c r="D582" s="30">
        <v>69.97</v>
      </c>
      <c r="E582" s="251">
        <v>79</v>
      </c>
      <c r="F582" s="795">
        <v>84</v>
      </c>
      <c r="G582" s="47">
        <v>90</v>
      </c>
      <c r="H582" s="47">
        <v>90</v>
      </c>
      <c r="I582" s="47">
        <v>90</v>
      </c>
      <c r="J582" s="47">
        <v>101</v>
      </c>
      <c r="K582" s="252">
        <v>101</v>
      </c>
      <c r="L582" s="252">
        <v>101</v>
      </c>
      <c r="M582" s="252">
        <v>101</v>
      </c>
    </row>
    <row r="583" spans="1:13" x14ac:dyDescent="0.25">
      <c r="A583" s="28" t="s">
        <v>18</v>
      </c>
      <c r="B583" s="30">
        <v>38.76</v>
      </c>
      <c r="C583" s="250">
        <v>48.28</v>
      </c>
      <c r="D583" s="30">
        <v>59.97</v>
      </c>
      <c r="E583" s="251">
        <v>29</v>
      </c>
      <c r="F583" s="795">
        <v>34</v>
      </c>
      <c r="G583" s="47">
        <f>G582-50</f>
        <v>40</v>
      </c>
      <c r="H583" s="47">
        <f>H582-50</f>
        <v>40</v>
      </c>
      <c r="I583" s="47">
        <f>I582-50</f>
        <v>40</v>
      </c>
      <c r="J583" s="47">
        <v>51</v>
      </c>
      <c r="K583" s="252">
        <v>51</v>
      </c>
      <c r="L583" s="252">
        <v>51</v>
      </c>
      <c r="M583" s="252">
        <v>71.2</v>
      </c>
    </row>
    <row r="584" spans="1:13" x14ac:dyDescent="0.25">
      <c r="A584" s="28" t="s">
        <v>19</v>
      </c>
      <c r="B584" s="253" t="s">
        <v>99</v>
      </c>
      <c r="C584" s="253" t="s">
        <v>100</v>
      </c>
      <c r="D584" s="253" t="s">
        <v>101</v>
      </c>
      <c r="E584" s="254" t="s">
        <v>102</v>
      </c>
      <c r="F584" s="796" t="s">
        <v>103</v>
      </c>
      <c r="G584" s="787" t="s">
        <v>355</v>
      </c>
      <c r="H584" s="787" t="s">
        <v>355</v>
      </c>
      <c r="I584" s="787" t="s">
        <v>355</v>
      </c>
      <c r="J584" s="787" t="s">
        <v>780</v>
      </c>
      <c r="K584" s="255" t="s">
        <v>1138</v>
      </c>
      <c r="L584" s="256" t="s">
        <v>1138</v>
      </c>
      <c r="M584" s="256" t="s">
        <v>1261</v>
      </c>
    </row>
    <row r="585" spans="1:13" x14ac:dyDescent="0.25">
      <c r="A585" s="28" t="s">
        <v>20</v>
      </c>
      <c r="B585" s="30">
        <v>0</v>
      </c>
      <c r="C585" s="250">
        <v>0</v>
      </c>
      <c r="D585" s="30">
        <v>0</v>
      </c>
      <c r="E585" s="30">
        <v>0</v>
      </c>
      <c r="F585" s="795">
        <v>0</v>
      </c>
      <c r="G585" s="47">
        <v>0</v>
      </c>
      <c r="H585" s="47">
        <v>0</v>
      </c>
      <c r="I585" s="47">
        <v>0</v>
      </c>
      <c r="J585" s="47">
        <v>0</v>
      </c>
      <c r="K585" s="252">
        <v>0</v>
      </c>
      <c r="L585" s="252">
        <v>0</v>
      </c>
      <c r="M585" s="252"/>
    </row>
    <row r="586" spans="1:13" x14ac:dyDescent="0.25">
      <c r="A586" s="28" t="s">
        <v>21</v>
      </c>
      <c r="B586" s="30">
        <v>38.76</v>
      </c>
      <c r="C586" s="250">
        <v>48.28</v>
      </c>
      <c r="D586" s="30">
        <v>59.97</v>
      </c>
      <c r="E586" s="30">
        <v>29</v>
      </c>
      <c r="F586" s="795">
        <f t="shared" ref="F586:L586" si="30">F583-F585</f>
        <v>34</v>
      </c>
      <c r="G586" s="47">
        <f t="shared" si="30"/>
        <v>40</v>
      </c>
      <c r="H586" s="47">
        <f t="shared" si="30"/>
        <v>40</v>
      </c>
      <c r="I586" s="47">
        <f t="shared" si="30"/>
        <v>40</v>
      </c>
      <c r="J586" s="47">
        <f t="shared" si="30"/>
        <v>51</v>
      </c>
      <c r="K586" s="47">
        <f t="shared" si="30"/>
        <v>51</v>
      </c>
      <c r="L586" s="47">
        <f t="shared" si="30"/>
        <v>51</v>
      </c>
      <c r="M586" s="252"/>
    </row>
    <row r="587" spans="1:13" x14ac:dyDescent="0.25">
      <c r="A587" s="34" t="s">
        <v>22</v>
      </c>
      <c r="B587" s="215">
        <v>2016</v>
      </c>
      <c r="C587" s="215">
        <v>2017</v>
      </c>
      <c r="D587" s="215">
        <v>2018</v>
      </c>
      <c r="E587" s="215">
        <v>2019</v>
      </c>
      <c r="F587" s="257">
        <v>2020</v>
      </c>
      <c r="G587" s="257">
        <v>2021</v>
      </c>
      <c r="H587" s="257">
        <v>2022</v>
      </c>
      <c r="I587" s="257">
        <v>2023</v>
      </c>
      <c r="J587" s="257">
        <v>2024</v>
      </c>
      <c r="K587" s="257">
        <v>2025</v>
      </c>
      <c r="L587" s="258">
        <v>2026</v>
      </c>
      <c r="M587" s="258">
        <v>2027</v>
      </c>
    </row>
    <row r="588" spans="1:13" x14ac:dyDescent="0.25">
      <c r="A588" s="36" t="s">
        <v>23</v>
      </c>
      <c r="B588" s="37"/>
      <c r="C588" s="37"/>
      <c r="D588" s="37"/>
      <c r="E588" s="37"/>
      <c r="F588" s="669"/>
      <c r="G588" s="669"/>
      <c r="H588" s="669"/>
      <c r="I588" s="669"/>
      <c r="J588" s="672"/>
      <c r="K588" s="672"/>
      <c r="L588" s="703"/>
      <c r="M588" s="703"/>
    </row>
    <row r="589" spans="1:13" x14ac:dyDescent="0.25">
      <c r="A589" s="36" t="s">
        <v>104</v>
      </c>
      <c r="B589" s="37"/>
      <c r="C589" s="37"/>
      <c r="D589" s="37"/>
      <c r="E589" s="37"/>
      <c r="F589" s="669"/>
      <c r="G589" s="669"/>
      <c r="H589" s="669"/>
      <c r="I589" s="669"/>
      <c r="J589" s="669"/>
      <c r="K589" s="669"/>
      <c r="L589" s="669"/>
      <c r="M589" s="672"/>
    </row>
    <row r="590" spans="1:13" x14ac:dyDescent="0.25">
      <c r="A590" s="64" t="s">
        <v>356</v>
      </c>
      <c r="M590" s="684"/>
    </row>
    <row r="591" spans="1:13" x14ac:dyDescent="0.25">
      <c r="A591" s="64" t="s">
        <v>449</v>
      </c>
      <c r="M591" s="684"/>
    </row>
    <row r="592" spans="1:13" x14ac:dyDescent="0.25">
      <c r="A592" s="64" t="s">
        <v>657</v>
      </c>
      <c r="M592" s="684"/>
    </row>
    <row r="593" spans="1:13" x14ac:dyDescent="0.25">
      <c r="A593" s="64" t="s">
        <v>781</v>
      </c>
      <c r="M593" s="684"/>
    </row>
    <row r="594" spans="1:13" x14ac:dyDescent="0.25">
      <c r="A594" s="64" t="s">
        <v>951</v>
      </c>
      <c r="M594" s="684"/>
    </row>
    <row r="595" spans="1:13" x14ac:dyDescent="0.25">
      <c r="A595" s="64" t="s">
        <v>1139</v>
      </c>
      <c r="M595" s="684"/>
    </row>
    <row r="596" spans="1:13" x14ac:dyDescent="0.25">
      <c r="A596" s="220" t="s">
        <v>1260</v>
      </c>
      <c r="B596" s="247"/>
      <c r="C596" s="247"/>
      <c r="D596" s="247"/>
      <c r="E596" s="247"/>
      <c r="F596" s="791"/>
      <c r="G596" s="685"/>
      <c r="H596" s="685"/>
      <c r="I596" s="685"/>
      <c r="J596" s="685"/>
      <c r="K596" s="685"/>
      <c r="L596" s="685"/>
      <c r="M596" s="675"/>
    </row>
    <row r="597" spans="1:13" x14ac:dyDescent="0.25">
      <c r="A597" s="72"/>
      <c r="B597" s="73"/>
    </row>
    <row r="598" spans="1:13" x14ac:dyDescent="0.25">
      <c r="A598" s="8" t="s">
        <v>14</v>
      </c>
      <c r="B598" s="9" t="s">
        <v>66</v>
      </c>
      <c r="C598" s="27" t="s">
        <v>15</v>
      </c>
    </row>
    <row r="599" spans="1:13" x14ac:dyDescent="0.25">
      <c r="A599" s="28" t="s">
        <v>16</v>
      </c>
      <c r="B599" s="210">
        <v>2015</v>
      </c>
      <c r="C599" s="231">
        <v>2016</v>
      </c>
      <c r="D599" s="210">
        <v>2017</v>
      </c>
      <c r="E599" s="232">
        <v>2018</v>
      </c>
      <c r="F599" s="780">
        <v>2019</v>
      </c>
      <c r="G599" s="770">
        <v>2020</v>
      </c>
      <c r="H599" s="770">
        <v>2021</v>
      </c>
      <c r="I599" s="770">
        <v>2022</v>
      </c>
      <c r="J599" s="770">
        <v>2023</v>
      </c>
      <c r="K599" s="770">
        <v>2024</v>
      </c>
      <c r="L599" s="770">
        <v>2025</v>
      </c>
      <c r="M599" s="770">
        <v>2026</v>
      </c>
    </row>
    <row r="600" spans="1:13" x14ac:dyDescent="0.25">
      <c r="A600" s="28" t="s">
        <v>17</v>
      </c>
      <c r="B600" s="212">
        <v>15583</v>
      </c>
      <c r="C600" s="233">
        <v>11679</v>
      </c>
      <c r="D600" s="212">
        <v>11679</v>
      </c>
      <c r="E600" s="234">
        <v>11679</v>
      </c>
      <c r="F600" s="781">
        <v>11679</v>
      </c>
      <c r="G600" s="252">
        <v>9226.41</v>
      </c>
      <c r="H600" s="252">
        <v>9226.41</v>
      </c>
      <c r="I600" s="252">
        <v>9226.41</v>
      </c>
      <c r="J600" s="252">
        <v>9226.41</v>
      </c>
      <c r="K600" s="252">
        <v>9226.41</v>
      </c>
      <c r="L600" s="252">
        <v>9151.19</v>
      </c>
      <c r="M600" s="252">
        <v>9151.19</v>
      </c>
    </row>
    <row r="601" spans="1:13" x14ac:dyDescent="0.25">
      <c r="A601" s="28" t="s">
        <v>18</v>
      </c>
      <c r="B601" s="212">
        <v>20187.900000000001</v>
      </c>
      <c r="C601" s="233">
        <v>16353.9</v>
      </c>
      <c r="D601" s="212">
        <f>14016.45</f>
        <v>14016.45</v>
      </c>
      <c r="E601" s="234">
        <v>13653.85</v>
      </c>
      <c r="F601" s="781">
        <v>13653.85</v>
      </c>
      <c r="G601" s="252">
        <f>G600+E600*0.15+223</f>
        <v>11201.26</v>
      </c>
      <c r="H601" s="252">
        <v>10617.31</v>
      </c>
      <c r="I601" s="252">
        <v>10372.050999999999</v>
      </c>
      <c r="J601" s="252">
        <v>10372.050999999999</v>
      </c>
      <c r="K601" s="252">
        <v>10372.050999999999</v>
      </c>
      <c r="L601" s="252">
        <v>9472.24</v>
      </c>
      <c r="M601" s="793">
        <v>9602.24</v>
      </c>
    </row>
    <row r="602" spans="1:13" ht="25" x14ac:dyDescent="0.25">
      <c r="A602" s="28" t="s">
        <v>19</v>
      </c>
      <c r="B602" s="235" t="s">
        <v>105</v>
      </c>
      <c r="C602" s="235" t="s">
        <v>106</v>
      </c>
      <c r="D602" s="235" t="s">
        <v>107</v>
      </c>
      <c r="E602" s="236" t="s">
        <v>108</v>
      </c>
      <c r="F602" s="782" t="s">
        <v>108</v>
      </c>
      <c r="G602" s="797" t="s">
        <v>450</v>
      </c>
      <c r="H602" s="797" t="s">
        <v>1140</v>
      </c>
      <c r="I602" s="797" t="s">
        <v>1141</v>
      </c>
      <c r="J602" s="797" t="s">
        <v>1141</v>
      </c>
      <c r="K602" s="256" t="s">
        <v>1141</v>
      </c>
      <c r="L602" s="260" t="s">
        <v>1318</v>
      </c>
      <c r="M602" s="260" t="s">
        <v>1319</v>
      </c>
    </row>
    <row r="603" spans="1:13" x14ac:dyDescent="0.25">
      <c r="A603" s="28" t="s">
        <v>20</v>
      </c>
      <c r="B603" s="212">
        <v>16453</v>
      </c>
      <c r="C603" s="233">
        <v>13115</v>
      </c>
      <c r="D603" s="212">
        <v>11845</v>
      </c>
      <c r="E603" s="212">
        <v>11630</v>
      </c>
      <c r="F603" s="781">
        <v>11288</v>
      </c>
      <c r="G603" s="252">
        <v>9226</v>
      </c>
      <c r="H603" s="252">
        <v>4092.6</v>
      </c>
      <c r="I603" s="252">
        <v>8181</v>
      </c>
      <c r="J603" s="252">
        <v>10274</v>
      </c>
      <c r="K603" s="252">
        <v>10144</v>
      </c>
      <c r="L603" s="252">
        <v>7362</v>
      </c>
      <c r="M603" s="252"/>
    </row>
    <row r="604" spans="1:13" x14ac:dyDescent="0.25">
      <c r="A604" s="28" t="s">
        <v>21</v>
      </c>
      <c r="B604" s="212">
        <v>3734.9</v>
      </c>
      <c r="C604" s="233">
        <v>3238.9</v>
      </c>
      <c r="D604" s="212">
        <v>2171.4499999999998</v>
      </c>
      <c r="E604" s="212">
        <v>2023.85</v>
      </c>
      <c r="F604" s="781">
        <f t="shared" ref="F604:L604" si="31">F601-F603</f>
        <v>2365.8500000000004</v>
      </c>
      <c r="G604" s="252">
        <f t="shared" si="31"/>
        <v>1975.2600000000002</v>
      </c>
      <c r="H604" s="252">
        <f t="shared" si="31"/>
        <v>6524.7099999999991</v>
      </c>
      <c r="I604" s="252">
        <f t="shared" si="31"/>
        <v>2191.0509999999995</v>
      </c>
      <c r="J604" s="252">
        <f t="shared" si="31"/>
        <v>98.050999999999476</v>
      </c>
      <c r="K604" s="252">
        <f t="shared" si="31"/>
        <v>228.05099999999948</v>
      </c>
      <c r="L604" s="252">
        <f t="shared" si="31"/>
        <v>2110.2399999999998</v>
      </c>
      <c r="M604" s="252"/>
    </row>
    <row r="605" spans="1:13" x14ac:dyDescent="0.25">
      <c r="A605" s="34" t="s">
        <v>22</v>
      </c>
      <c r="B605" s="215">
        <v>2017</v>
      </c>
      <c r="C605" s="243">
        <v>2018</v>
      </c>
      <c r="D605" s="215">
        <v>2019</v>
      </c>
      <c r="E605" s="215">
        <v>2020</v>
      </c>
      <c r="F605" s="789">
        <v>2021</v>
      </c>
      <c r="G605" s="257">
        <v>2022</v>
      </c>
      <c r="H605" s="257">
        <v>2023</v>
      </c>
      <c r="I605" s="257">
        <v>2024</v>
      </c>
      <c r="J605" s="257">
        <v>2025</v>
      </c>
      <c r="K605" s="257">
        <v>2026</v>
      </c>
      <c r="L605" s="257">
        <v>2027</v>
      </c>
      <c r="M605" s="257">
        <v>2028</v>
      </c>
    </row>
    <row r="606" spans="1:13" x14ac:dyDescent="0.25">
      <c r="A606" s="36" t="s">
        <v>23</v>
      </c>
      <c r="B606" s="37"/>
      <c r="C606" s="37"/>
      <c r="D606" s="37"/>
      <c r="E606" s="37"/>
      <c r="F606" s="669"/>
      <c r="G606" s="669"/>
      <c r="H606" s="669"/>
      <c r="I606" s="669"/>
      <c r="J606" s="669"/>
      <c r="K606" s="669"/>
      <c r="L606" s="669"/>
      <c r="M606" s="672"/>
    </row>
    <row r="607" spans="1:13" x14ac:dyDescent="0.25">
      <c r="A607" s="36" t="s">
        <v>109</v>
      </c>
      <c r="B607" s="37"/>
      <c r="C607" s="37"/>
      <c r="D607" s="37"/>
      <c r="E607" s="37"/>
      <c r="F607" s="669"/>
      <c r="G607" s="669"/>
      <c r="H607" s="669"/>
      <c r="I607" s="669"/>
      <c r="J607" s="669"/>
      <c r="K607" s="669"/>
      <c r="L607" s="669"/>
      <c r="M607" s="672"/>
    </row>
    <row r="608" spans="1:13" x14ac:dyDescent="0.25">
      <c r="A608" s="64" t="s">
        <v>357</v>
      </c>
      <c r="M608" s="684"/>
    </row>
    <row r="609" spans="1:13" x14ac:dyDescent="0.25">
      <c r="A609" s="64" t="s">
        <v>357</v>
      </c>
      <c r="M609" s="684"/>
    </row>
    <row r="610" spans="1:13" x14ac:dyDescent="0.25">
      <c r="A610" s="67" t="s">
        <v>1142</v>
      </c>
      <c r="M610" s="684"/>
    </row>
    <row r="611" spans="1:13" x14ac:dyDescent="0.25">
      <c r="A611" s="67" t="s">
        <v>1143</v>
      </c>
      <c r="M611" s="684"/>
    </row>
    <row r="612" spans="1:13" x14ac:dyDescent="0.25">
      <c r="A612" s="222" t="s">
        <v>1144</v>
      </c>
      <c r="B612" s="246"/>
      <c r="C612" s="246"/>
      <c r="D612" s="246"/>
      <c r="E612" s="246"/>
      <c r="F612" s="377"/>
      <c r="M612" s="684"/>
    </row>
    <row r="613" spans="1:13" x14ac:dyDescent="0.25">
      <c r="A613" s="222" t="s">
        <v>1145</v>
      </c>
      <c r="B613" s="246"/>
      <c r="C613" s="246"/>
      <c r="D613" s="246"/>
      <c r="E613" s="246"/>
      <c r="F613" s="377"/>
      <c r="M613" s="684"/>
    </row>
    <row r="614" spans="1:13" x14ac:dyDescent="0.25">
      <c r="A614" s="261" t="s">
        <v>1320</v>
      </c>
      <c r="B614" s="246"/>
      <c r="C614" s="246"/>
      <c r="D614" s="246"/>
      <c r="E614" s="246"/>
      <c r="F614" s="377"/>
      <c r="M614" s="684"/>
    </row>
    <row r="615" spans="1:13" x14ac:dyDescent="0.25">
      <c r="A615" s="220" t="s">
        <v>1321</v>
      </c>
      <c r="B615" s="247"/>
      <c r="C615" s="247"/>
      <c r="D615" s="247"/>
      <c r="E615" s="247"/>
      <c r="F615" s="791"/>
      <c r="G615" s="685"/>
      <c r="H615" s="685"/>
      <c r="I615" s="685"/>
      <c r="J615" s="685"/>
      <c r="K615" s="685"/>
      <c r="L615" s="685"/>
      <c r="M615" s="675"/>
    </row>
    <row r="617" spans="1:13" x14ac:dyDescent="0.25">
      <c r="A617" s="8" t="s">
        <v>14</v>
      </c>
      <c r="B617" s="9" t="s">
        <v>74</v>
      </c>
      <c r="C617" s="27" t="s">
        <v>15</v>
      </c>
    </row>
    <row r="618" spans="1:13" x14ac:dyDescent="0.25">
      <c r="A618" s="28" t="s">
        <v>16</v>
      </c>
      <c r="B618" s="210">
        <v>2015</v>
      </c>
      <c r="C618" s="231">
        <v>2016</v>
      </c>
      <c r="D618" s="210">
        <v>2017</v>
      </c>
      <c r="E618" s="232">
        <v>2018</v>
      </c>
      <c r="F618" s="780">
        <v>2019</v>
      </c>
      <c r="G618" s="770">
        <v>2020</v>
      </c>
      <c r="H618" s="770">
        <v>2021</v>
      </c>
      <c r="I618" s="770">
        <v>2022</v>
      </c>
      <c r="J618" s="770">
        <v>2023</v>
      </c>
      <c r="K618" s="770">
        <v>2024</v>
      </c>
      <c r="L618" s="770">
        <v>2025</v>
      </c>
      <c r="M618" s="770">
        <v>2026</v>
      </c>
    </row>
    <row r="619" spans="1:13" x14ac:dyDescent="0.25">
      <c r="A619" s="28" t="s">
        <v>17</v>
      </c>
      <c r="B619" s="30">
        <v>150</v>
      </c>
      <c r="C619" s="250">
        <v>150</v>
      </c>
      <c r="D619" s="30">
        <v>150</v>
      </c>
      <c r="E619" s="251">
        <v>150</v>
      </c>
      <c r="F619" s="795">
        <v>150</v>
      </c>
      <c r="G619" s="47">
        <v>126.2</v>
      </c>
      <c r="H619" s="47">
        <v>126.2</v>
      </c>
      <c r="I619" s="47">
        <v>126.2</v>
      </c>
      <c r="J619" s="47">
        <v>126.2</v>
      </c>
      <c r="K619" s="47">
        <v>126.2</v>
      </c>
      <c r="L619" s="47">
        <v>126.2</v>
      </c>
      <c r="M619" s="47">
        <v>126.2</v>
      </c>
    </row>
    <row r="620" spans="1:13" x14ac:dyDescent="0.25">
      <c r="A620" s="28" t="s">
        <v>18</v>
      </c>
      <c r="B620" s="30">
        <v>165</v>
      </c>
      <c r="C620" s="250">
        <v>165</v>
      </c>
      <c r="D620" s="30">
        <v>165</v>
      </c>
      <c r="E620" s="251">
        <v>165</v>
      </c>
      <c r="F620" s="795">
        <v>165</v>
      </c>
      <c r="G620" s="47">
        <f>G619+0.1*E619</f>
        <v>141.19999999999999</v>
      </c>
      <c r="H620" s="47">
        <f>H619+0.1*F619</f>
        <v>141.19999999999999</v>
      </c>
      <c r="I620" s="47"/>
      <c r="J620" s="47"/>
      <c r="K620" s="47"/>
      <c r="L620" s="47"/>
      <c r="M620" s="47"/>
    </row>
    <row r="621" spans="1:13" x14ac:dyDescent="0.25">
      <c r="A621" s="28" t="s">
        <v>19</v>
      </c>
      <c r="B621" s="253" t="s">
        <v>110</v>
      </c>
      <c r="C621" s="253" t="s">
        <v>110</v>
      </c>
      <c r="D621" s="253" t="s">
        <v>110</v>
      </c>
      <c r="E621" s="254" t="s">
        <v>110</v>
      </c>
      <c r="F621" s="796" t="s">
        <v>110</v>
      </c>
      <c r="G621" s="796" t="s">
        <v>358</v>
      </c>
      <c r="H621" s="796" t="s">
        <v>358</v>
      </c>
      <c r="I621" s="796"/>
      <c r="J621" s="796"/>
      <c r="K621" s="796"/>
      <c r="L621" s="796"/>
      <c r="M621" s="796"/>
    </row>
    <row r="622" spans="1:13" x14ac:dyDescent="0.25">
      <c r="A622" s="28" t="s">
        <v>20</v>
      </c>
      <c r="B622" s="30">
        <v>61</v>
      </c>
      <c r="C622" s="250">
        <v>75</v>
      </c>
      <c r="D622" s="30">
        <v>73</v>
      </c>
      <c r="E622" s="30">
        <v>74</v>
      </c>
      <c r="F622" s="795">
        <v>40</v>
      </c>
      <c r="G622" s="47">
        <v>91.4</v>
      </c>
      <c r="H622" s="47">
        <v>96.1</v>
      </c>
      <c r="I622" s="47">
        <v>58</v>
      </c>
      <c r="J622" s="47">
        <v>71</v>
      </c>
      <c r="K622" s="47">
        <v>125</v>
      </c>
      <c r="L622" s="47">
        <v>90.363</v>
      </c>
      <c r="M622" s="47"/>
    </row>
    <row r="623" spans="1:13" x14ac:dyDescent="0.25">
      <c r="A623" s="28" t="s">
        <v>21</v>
      </c>
      <c r="B623" s="30">
        <v>104</v>
      </c>
      <c r="C623" s="250">
        <v>90</v>
      </c>
      <c r="D623" s="30">
        <v>92</v>
      </c>
      <c r="E623" s="30">
        <v>91</v>
      </c>
      <c r="F623" s="795">
        <f>F620-F622</f>
        <v>125</v>
      </c>
      <c r="G623" s="47">
        <f>G620-G622</f>
        <v>49.799999999999983</v>
      </c>
      <c r="H623" s="47">
        <f>H620-H622</f>
        <v>45.099999999999994</v>
      </c>
      <c r="I623" s="47">
        <f>I619-I622</f>
        <v>68.2</v>
      </c>
      <c r="J623" s="47">
        <f>J619-J622</f>
        <v>55.2</v>
      </c>
      <c r="K623" s="47">
        <f>K619-K622</f>
        <v>1.2000000000000028</v>
      </c>
      <c r="L623" s="47">
        <f>L619-L622</f>
        <v>35.837000000000003</v>
      </c>
      <c r="M623" s="47"/>
    </row>
    <row r="624" spans="1:13" x14ac:dyDescent="0.25">
      <c r="A624" s="34" t="s">
        <v>22</v>
      </c>
      <c r="B624" s="215">
        <v>2017</v>
      </c>
      <c r="C624" s="243">
        <v>2018</v>
      </c>
      <c r="D624" s="215">
        <v>2019</v>
      </c>
      <c r="E624" s="215">
        <v>2020</v>
      </c>
      <c r="F624" s="789">
        <v>2021</v>
      </c>
      <c r="G624" s="257" t="s">
        <v>161</v>
      </c>
      <c r="H624" s="257" t="s">
        <v>161</v>
      </c>
      <c r="I624" s="257" t="s">
        <v>161</v>
      </c>
      <c r="J624" s="257" t="s">
        <v>161</v>
      </c>
      <c r="K624" s="257" t="s">
        <v>161</v>
      </c>
      <c r="L624" s="257" t="s">
        <v>161</v>
      </c>
      <c r="M624" s="257" t="s">
        <v>161</v>
      </c>
    </row>
    <row r="625" spans="1:13" x14ac:dyDescent="0.25">
      <c r="A625" s="36" t="s">
        <v>23</v>
      </c>
      <c r="B625" s="37"/>
      <c r="C625" s="37"/>
      <c r="D625" s="37"/>
      <c r="E625" s="37"/>
      <c r="F625" s="669"/>
      <c r="G625" s="669"/>
      <c r="H625" s="669"/>
      <c r="I625" s="669"/>
      <c r="J625" s="669"/>
      <c r="K625" s="669"/>
      <c r="L625" s="669"/>
      <c r="M625" s="672"/>
    </row>
    <row r="626" spans="1:13" x14ac:dyDescent="0.25">
      <c r="A626" s="53" t="s">
        <v>111</v>
      </c>
      <c r="B626" s="54"/>
      <c r="C626" s="54"/>
      <c r="D626" s="54"/>
      <c r="E626" s="54"/>
      <c r="F626" s="54"/>
      <c r="G626" s="669"/>
      <c r="H626" s="669"/>
      <c r="I626" s="669"/>
      <c r="J626" s="669"/>
      <c r="K626" s="669"/>
      <c r="L626" s="669"/>
      <c r="M626" s="672"/>
    </row>
    <row r="627" spans="1:13" x14ac:dyDescent="0.25">
      <c r="A627" s="219" t="s">
        <v>359</v>
      </c>
      <c r="B627" s="246"/>
      <c r="C627" s="246"/>
      <c r="D627" s="246"/>
      <c r="E627" s="246"/>
      <c r="F627" s="377"/>
      <c r="M627" s="684"/>
    </row>
    <row r="628" spans="1:13" x14ac:dyDescent="0.25">
      <c r="A628" s="219" t="s">
        <v>451</v>
      </c>
      <c r="B628" s="246"/>
      <c r="C628" s="246"/>
      <c r="D628" s="246"/>
      <c r="E628" s="246"/>
      <c r="F628" s="377"/>
      <c r="M628" s="684"/>
    </row>
    <row r="629" spans="1:13" x14ac:dyDescent="0.25">
      <c r="A629" s="219" t="s">
        <v>658</v>
      </c>
      <c r="B629" s="246"/>
      <c r="C629" s="246"/>
      <c r="D629" s="246"/>
      <c r="E629" s="246"/>
      <c r="F629" s="377"/>
      <c r="M629" s="684"/>
    </row>
    <row r="630" spans="1:13" x14ac:dyDescent="0.25">
      <c r="A630" s="72" t="s">
        <v>774</v>
      </c>
      <c r="B630" s="73"/>
      <c r="C630" s="73"/>
      <c r="D630" s="73"/>
      <c r="E630" s="73"/>
      <c r="F630" s="685"/>
      <c r="G630" s="685"/>
      <c r="H630" s="685"/>
      <c r="I630" s="685"/>
      <c r="J630" s="685"/>
      <c r="K630" s="685"/>
      <c r="L630" s="685"/>
      <c r="M630" s="675"/>
    </row>
    <row r="632" spans="1:13" x14ac:dyDescent="0.25">
      <c r="A632" s="8" t="s">
        <v>14</v>
      </c>
      <c r="B632" s="9" t="s">
        <v>79</v>
      </c>
      <c r="C632" s="27" t="s">
        <v>15</v>
      </c>
    </row>
    <row r="633" spans="1:13" x14ac:dyDescent="0.25">
      <c r="A633" s="28" t="s">
        <v>16</v>
      </c>
      <c r="B633" s="210">
        <v>2015</v>
      </c>
      <c r="C633" s="231">
        <v>2016</v>
      </c>
      <c r="D633" s="210">
        <v>2017</v>
      </c>
      <c r="E633" s="232">
        <v>2018</v>
      </c>
      <c r="F633" s="780">
        <v>2019</v>
      </c>
      <c r="G633" s="770">
        <v>2020</v>
      </c>
      <c r="H633" s="770">
        <v>2021</v>
      </c>
      <c r="I633" s="770">
        <v>2022</v>
      </c>
      <c r="J633" s="770">
        <v>2023</v>
      </c>
      <c r="K633" s="770">
        <v>2024</v>
      </c>
      <c r="L633" s="770">
        <v>2025</v>
      </c>
      <c r="M633" s="770">
        <v>2026</v>
      </c>
    </row>
    <row r="634" spans="1:13" x14ac:dyDescent="0.25">
      <c r="A634" s="28" t="s">
        <v>17</v>
      </c>
      <c r="B634" s="30">
        <v>50</v>
      </c>
      <c r="C634" s="250">
        <v>50</v>
      </c>
      <c r="D634" s="30">
        <v>50</v>
      </c>
      <c r="E634" s="251">
        <v>50</v>
      </c>
      <c r="F634" s="795">
        <v>50</v>
      </c>
      <c r="G634" s="47">
        <v>50</v>
      </c>
      <c r="H634" s="47">
        <v>50</v>
      </c>
      <c r="I634" s="47">
        <v>50</v>
      </c>
      <c r="J634" s="47">
        <v>50</v>
      </c>
      <c r="K634" s="47">
        <v>50</v>
      </c>
      <c r="L634" s="47">
        <v>50</v>
      </c>
      <c r="M634" s="47">
        <v>50</v>
      </c>
    </row>
    <row r="635" spans="1:13" x14ac:dyDescent="0.25">
      <c r="A635" s="28" t="s">
        <v>18</v>
      </c>
      <c r="B635" s="30">
        <v>55</v>
      </c>
      <c r="C635" s="250">
        <v>55</v>
      </c>
      <c r="D635" s="30">
        <v>55</v>
      </c>
      <c r="E635" s="251">
        <v>55</v>
      </c>
      <c r="F635" s="795">
        <v>55</v>
      </c>
      <c r="G635" s="47">
        <f>G634*1.1</f>
        <v>55.000000000000007</v>
      </c>
      <c r="H635" s="47">
        <f>H634*1.1</f>
        <v>55.000000000000007</v>
      </c>
      <c r="I635" s="47"/>
      <c r="J635" s="47"/>
      <c r="K635" s="47"/>
      <c r="L635" s="47"/>
      <c r="M635" s="47"/>
    </row>
    <row r="636" spans="1:13" x14ac:dyDescent="0.25">
      <c r="A636" s="28" t="s">
        <v>19</v>
      </c>
      <c r="B636" s="253" t="s">
        <v>112</v>
      </c>
      <c r="C636" s="253" t="s">
        <v>112</v>
      </c>
      <c r="D636" s="253" t="s">
        <v>112</v>
      </c>
      <c r="E636" s="254" t="s">
        <v>112</v>
      </c>
      <c r="F636" s="796" t="s">
        <v>112</v>
      </c>
      <c r="G636" s="796" t="s">
        <v>112</v>
      </c>
      <c r="H636" s="796" t="s">
        <v>112</v>
      </c>
      <c r="I636" s="796"/>
      <c r="J636" s="796"/>
      <c r="K636" s="796"/>
      <c r="L636" s="796"/>
      <c r="M636" s="796"/>
    </row>
    <row r="637" spans="1:13" x14ac:dyDescent="0.25">
      <c r="A637" s="28" t="s">
        <v>20</v>
      </c>
      <c r="B637" s="30">
        <v>12</v>
      </c>
      <c r="C637" s="30">
        <v>10</v>
      </c>
      <c r="D637" s="30">
        <v>5</v>
      </c>
      <c r="E637" s="30">
        <v>6</v>
      </c>
      <c r="F637" s="47">
        <v>2</v>
      </c>
      <c r="G637" s="47">
        <v>5.4</v>
      </c>
      <c r="H637" s="47">
        <v>5.2</v>
      </c>
      <c r="I637" s="47">
        <v>2</v>
      </c>
      <c r="J637" s="47">
        <v>1.3</v>
      </c>
      <c r="K637" s="47">
        <v>1.8480000000000001</v>
      </c>
      <c r="L637" s="47">
        <v>3.448</v>
      </c>
      <c r="M637" s="47"/>
    </row>
    <row r="638" spans="1:13" x14ac:dyDescent="0.25">
      <c r="A638" s="28" t="s">
        <v>21</v>
      </c>
      <c r="B638" s="30">
        <v>43</v>
      </c>
      <c r="C638" s="30">
        <f t="shared" ref="C638:H638" si="32">C635-C637</f>
        <v>45</v>
      </c>
      <c r="D638" s="30">
        <f t="shared" si="32"/>
        <v>50</v>
      </c>
      <c r="E638" s="30">
        <f t="shared" si="32"/>
        <v>49</v>
      </c>
      <c r="F638" s="47">
        <f t="shared" si="32"/>
        <v>53</v>
      </c>
      <c r="G638" s="47">
        <f t="shared" si="32"/>
        <v>49.600000000000009</v>
      </c>
      <c r="H638" s="47">
        <f t="shared" si="32"/>
        <v>49.800000000000004</v>
      </c>
      <c r="I638" s="47">
        <f>I634-I637</f>
        <v>48</v>
      </c>
      <c r="J638" s="47">
        <f>J634-J637</f>
        <v>48.7</v>
      </c>
      <c r="K638" s="47">
        <f>K634-K637</f>
        <v>48.152000000000001</v>
      </c>
      <c r="L638" s="47">
        <f>L634-L637</f>
        <v>46.552</v>
      </c>
      <c r="M638" s="47"/>
    </row>
    <row r="639" spans="1:13" x14ac:dyDescent="0.25">
      <c r="A639" s="36" t="s">
        <v>22</v>
      </c>
      <c r="B639" s="237">
        <v>2017</v>
      </c>
      <c r="C639" s="237">
        <v>2018</v>
      </c>
      <c r="D639" s="237">
        <v>2019</v>
      </c>
      <c r="E639" s="237">
        <v>2020</v>
      </c>
      <c r="F639" s="498">
        <v>2021</v>
      </c>
      <c r="G639" s="498" t="s">
        <v>161</v>
      </c>
      <c r="H639" s="498" t="s">
        <v>161</v>
      </c>
      <c r="I639" s="498" t="s">
        <v>161</v>
      </c>
      <c r="J639" s="498" t="s">
        <v>161</v>
      </c>
      <c r="K639" s="498" t="s">
        <v>161</v>
      </c>
      <c r="L639" s="498" t="s">
        <v>161</v>
      </c>
      <c r="M639" s="498" t="s">
        <v>161</v>
      </c>
    </row>
    <row r="640" spans="1:13" x14ac:dyDescent="0.25">
      <c r="A640" s="36" t="s">
        <v>23</v>
      </c>
      <c r="B640" s="37"/>
      <c r="C640" s="37"/>
      <c r="D640" s="37"/>
      <c r="E640" s="37"/>
      <c r="F640" s="669"/>
      <c r="G640" s="669"/>
      <c r="H640" s="669"/>
      <c r="I640" s="669"/>
      <c r="J640" s="669"/>
      <c r="K640" s="669"/>
      <c r="L640" s="669"/>
      <c r="M640" s="672"/>
    </row>
    <row r="641" spans="1:15" x14ac:dyDescent="0.25">
      <c r="A641" s="53" t="s">
        <v>113</v>
      </c>
      <c r="B641" s="54"/>
      <c r="C641" s="54"/>
      <c r="D641" s="54"/>
      <c r="E641" s="54"/>
      <c r="F641" s="54"/>
      <c r="G641" s="669"/>
      <c r="H641" s="669"/>
      <c r="I641" s="669"/>
      <c r="J641" s="669"/>
      <c r="K641" s="669"/>
      <c r="L641" s="669"/>
      <c r="M641" s="672"/>
    </row>
    <row r="642" spans="1:15" x14ac:dyDescent="0.25">
      <c r="A642" s="219" t="s">
        <v>360</v>
      </c>
      <c r="B642" s="246"/>
      <c r="C642" s="246"/>
      <c r="D642" s="246"/>
      <c r="E642" s="246"/>
      <c r="F642" s="377"/>
      <c r="M642" s="684"/>
    </row>
    <row r="643" spans="1:15" x14ac:dyDescent="0.25">
      <c r="A643" s="219" t="s">
        <v>452</v>
      </c>
      <c r="B643" s="246"/>
      <c r="C643" s="246"/>
      <c r="D643" s="246"/>
      <c r="E643" s="246"/>
      <c r="F643" s="377"/>
      <c r="M643" s="684"/>
    </row>
    <row r="644" spans="1:15" x14ac:dyDescent="0.25">
      <c r="A644" s="219" t="s">
        <v>659</v>
      </c>
      <c r="B644" s="246"/>
      <c r="C644" s="246"/>
      <c r="D644" s="246"/>
      <c r="E644" s="246"/>
      <c r="F644" s="377"/>
      <c r="M644" s="684"/>
    </row>
    <row r="645" spans="1:15" x14ac:dyDescent="0.25">
      <c r="A645" s="72" t="s">
        <v>774</v>
      </c>
      <c r="B645" s="73"/>
      <c r="C645" s="73"/>
      <c r="D645" s="73"/>
      <c r="E645" s="73"/>
      <c r="F645" s="685"/>
      <c r="G645" s="685"/>
      <c r="H645" s="685"/>
      <c r="I645" s="685"/>
      <c r="J645" s="685"/>
      <c r="K645" s="685"/>
      <c r="L645" s="685"/>
      <c r="M645" s="675"/>
    </row>
    <row r="648" spans="1:15" x14ac:dyDescent="0.25">
      <c r="A648" s="8" t="s">
        <v>12</v>
      </c>
      <c r="B648" s="232" t="s">
        <v>614</v>
      </c>
    </row>
    <row r="649" spans="1:15" x14ac:dyDescent="0.25">
      <c r="A649" s="138" t="s">
        <v>14</v>
      </c>
      <c r="B649" s="139" t="s">
        <v>624</v>
      </c>
      <c r="C649" s="11" t="s">
        <v>152</v>
      </c>
      <c r="D649" s="13"/>
      <c r="E649" s="13"/>
      <c r="F649" s="657"/>
      <c r="G649" s="657"/>
    </row>
    <row r="650" spans="1:15" s="265" customFormat="1" ht="13" x14ac:dyDescent="0.3">
      <c r="A650" s="262" t="s">
        <v>27</v>
      </c>
      <c r="B650" s="263">
        <v>2016</v>
      </c>
      <c r="C650" s="263">
        <v>2017</v>
      </c>
      <c r="D650" s="264">
        <v>2018</v>
      </c>
      <c r="E650" s="263">
        <v>2019</v>
      </c>
      <c r="F650" s="798">
        <v>2020</v>
      </c>
      <c r="G650" s="798">
        <v>2021</v>
      </c>
      <c r="H650" s="798">
        <v>2022</v>
      </c>
      <c r="I650" s="798">
        <v>2023</v>
      </c>
      <c r="J650" s="798">
        <v>2024</v>
      </c>
      <c r="K650" s="798">
        <v>2025</v>
      </c>
      <c r="L650" s="280"/>
      <c r="M650" s="280"/>
      <c r="N650" s="280"/>
      <c r="O650" s="280"/>
    </row>
    <row r="651" spans="1:15" s="265" customFormat="1" ht="13" x14ac:dyDescent="0.3">
      <c r="A651" s="262" t="s">
        <v>28</v>
      </c>
      <c r="B651" s="266">
        <v>200</v>
      </c>
      <c r="C651" s="266">
        <v>200</v>
      </c>
      <c r="D651" s="266">
        <v>200</v>
      </c>
      <c r="E651" s="266">
        <v>215</v>
      </c>
      <c r="F651" s="800">
        <v>215</v>
      </c>
      <c r="G651" s="800">
        <v>242</v>
      </c>
      <c r="H651" s="799">
        <v>242</v>
      </c>
      <c r="I651" s="799">
        <v>242</v>
      </c>
      <c r="J651" s="799">
        <v>302</v>
      </c>
      <c r="K651" s="799">
        <v>302</v>
      </c>
      <c r="L651" s="280"/>
      <c r="M651" s="280"/>
      <c r="N651" s="280"/>
      <c r="O651" s="280"/>
    </row>
    <row r="652" spans="1:15" s="265" customFormat="1" ht="13" x14ac:dyDescent="0.3">
      <c r="A652" s="262" t="s">
        <v>29</v>
      </c>
      <c r="B652" s="268">
        <f>(B651+0.25*200)</f>
        <v>250</v>
      </c>
      <c r="C652" s="268">
        <f>(C651+0.25*B651)</f>
        <v>250</v>
      </c>
      <c r="D652" s="268">
        <f t="shared" ref="D652:I652" si="33">(D651+0.25*C651)</f>
        <v>250</v>
      </c>
      <c r="E652" s="268">
        <f t="shared" si="33"/>
        <v>265</v>
      </c>
      <c r="F652" s="801">
        <f t="shared" si="33"/>
        <v>268.75</v>
      </c>
      <c r="G652" s="801">
        <f t="shared" si="33"/>
        <v>295.75</v>
      </c>
      <c r="H652" s="285">
        <f t="shared" si="33"/>
        <v>302.5</v>
      </c>
      <c r="I652" s="285">
        <f t="shared" si="33"/>
        <v>302.5</v>
      </c>
      <c r="J652" s="285">
        <f>(J651+0.25*I651)</f>
        <v>362.5</v>
      </c>
      <c r="K652" s="285">
        <f>(K651+0.25*J651)</f>
        <v>377.5</v>
      </c>
      <c r="L652" s="280"/>
      <c r="M652" s="280"/>
      <c r="N652" s="280"/>
      <c r="O652" s="280"/>
    </row>
    <row r="653" spans="1:15" s="265" customFormat="1" ht="13" x14ac:dyDescent="0.3">
      <c r="A653" s="262" t="s">
        <v>30</v>
      </c>
      <c r="B653" s="268"/>
      <c r="C653" s="268"/>
      <c r="D653" s="270"/>
      <c r="E653" s="268"/>
      <c r="F653" s="802"/>
      <c r="G653" s="802"/>
      <c r="H653" s="802"/>
      <c r="I653" s="802"/>
      <c r="J653" s="802"/>
      <c r="K653" s="802"/>
      <c r="L653" s="280"/>
      <c r="M653" s="280"/>
      <c r="N653" s="280"/>
      <c r="O653" s="280"/>
    </row>
    <row r="654" spans="1:15" s="265" customFormat="1" ht="13" x14ac:dyDescent="0.3">
      <c r="A654" s="262" t="s">
        <v>31</v>
      </c>
      <c r="B654" s="266">
        <v>4.6470000000000002</v>
      </c>
      <c r="C654" s="266">
        <v>11.226000000000001</v>
      </c>
      <c r="D654" s="266">
        <v>4.8979999999999997</v>
      </c>
      <c r="E654" s="267">
        <v>1.35</v>
      </c>
      <c r="F654" s="800">
        <v>0.64</v>
      </c>
      <c r="G654" s="800">
        <v>2.34</v>
      </c>
      <c r="H654" s="802">
        <v>1.49</v>
      </c>
      <c r="I654" s="802">
        <v>0.66</v>
      </c>
      <c r="J654" s="802">
        <v>1.0329999999999999</v>
      </c>
      <c r="K654" s="802">
        <v>0.05</v>
      </c>
      <c r="L654" s="280"/>
      <c r="M654" s="280"/>
      <c r="N654" s="280"/>
      <c r="O654" s="280"/>
    </row>
    <row r="655" spans="1:15" s="265" customFormat="1" ht="13" x14ac:dyDescent="0.3">
      <c r="A655" s="262" t="s">
        <v>32</v>
      </c>
      <c r="B655" s="269">
        <f t="shared" ref="B655:K655" si="34">B652-B654</f>
        <v>245.35300000000001</v>
      </c>
      <c r="C655" s="269">
        <f t="shared" si="34"/>
        <v>238.774</v>
      </c>
      <c r="D655" s="269">
        <f t="shared" si="34"/>
        <v>245.102</v>
      </c>
      <c r="E655" s="269">
        <f t="shared" si="34"/>
        <v>263.64999999999998</v>
      </c>
      <c r="F655" s="285">
        <f t="shared" si="34"/>
        <v>268.11</v>
      </c>
      <c r="G655" s="285">
        <f t="shared" si="34"/>
        <v>293.41000000000003</v>
      </c>
      <c r="H655" s="285">
        <f t="shared" si="34"/>
        <v>301.01</v>
      </c>
      <c r="I655" s="285">
        <f t="shared" si="34"/>
        <v>301.83999999999997</v>
      </c>
      <c r="J655" s="285">
        <f t="shared" si="34"/>
        <v>361.46699999999998</v>
      </c>
      <c r="K655" s="285">
        <f t="shared" si="34"/>
        <v>377.45</v>
      </c>
      <c r="L655" s="280"/>
      <c r="M655" s="280"/>
      <c r="N655" s="280"/>
      <c r="O655" s="280"/>
    </row>
    <row r="656" spans="1:15" s="265" customFormat="1" ht="13" x14ac:dyDescent="0.3">
      <c r="A656" s="272" t="s">
        <v>33</v>
      </c>
      <c r="B656" s="273">
        <v>2017</v>
      </c>
      <c r="C656" s="273">
        <v>2018</v>
      </c>
      <c r="D656" s="274">
        <v>2019</v>
      </c>
      <c r="E656" s="273">
        <v>2020</v>
      </c>
      <c r="F656" s="803">
        <v>2021</v>
      </c>
      <c r="G656" s="803">
        <v>2022</v>
      </c>
      <c r="H656" s="803">
        <v>2023</v>
      </c>
      <c r="I656" s="803">
        <v>2024</v>
      </c>
      <c r="J656" s="803">
        <v>2025</v>
      </c>
      <c r="K656" s="803">
        <v>2026</v>
      </c>
      <c r="L656" s="280"/>
      <c r="M656" s="280"/>
      <c r="N656" s="280"/>
      <c r="O656" s="280"/>
    </row>
    <row r="657" spans="1:15" s="265" customFormat="1" ht="13" x14ac:dyDescent="0.3">
      <c r="A657" s="275" t="s">
        <v>34</v>
      </c>
      <c r="B657" s="276"/>
      <c r="C657" s="276"/>
      <c r="D657" s="276"/>
      <c r="E657" s="276"/>
      <c r="F657" s="804"/>
      <c r="G657" s="804"/>
      <c r="H657" s="804"/>
      <c r="I657" s="804"/>
      <c r="J657" s="804"/>
      <c r="K657" s="805"/>
      <c r="L657" s="280"/>
      <c r="M657" s="280"/>
      <c r="N657" s="280"/>
      <c r="O657" s="280"/>
    </row>
    <row r="658" spans="1:15" s="265" customFormat="1" ht="13" x14ac:dyDescent="0.3">
      <c r="A658" s="275" t="s">
        <v>615</v>
      </c>
      <c r="B658" s="276"/>
      <c r="C658" s="276"/>
      <c r="D658" s="276"/>
      <c r="E658" s="276"/>
      <c r="F658" s="804"/>
      <c r="G658" s="804"/>
      <c r="H658" s="804"/>
      <c r="I658" s="804"/>
      <c r="J658" s="804"/>
      <c r="K658" s="806"/>
      <c r="L658" s="280"/>
      <c r="M658" s="280"/>
      <c r="N658" s="280"/>
      <c r="O658" s="280"/>
    </row>
    <row r="659" spans="1:15" s="265" customFormat="1" ht="13" x14ac:dyDescent="0.3">
      <c r="A659" s="114" t="s">
        <v>616</v>
      </c>
      <c r="B659" s="116"/>
      <c r="C659" s="116"/>
      <c r="D659" s="116"/>
      <c r="E659" s="116"/>
      <c r="F659" s="715"/>
      <c r="G659" s="715"/>
      <c r="H659" s="715"/>
      <c r="I659" s="715"/>
      <c r="J659" s="715"/>
      <c r="K659" s="807"/>
      <c r="L659" s="280"/>
      <c r="M659" s="280"/>
      <c r="N659" s="280"/>
      <c r="O659" s="280"/>
    </row>
    <row r="660" spans="1:15" s="265" customFormat="1" ht="13" x14ac:dyDescent="0.3">
      <c r="A660" s="114" t="s">
        <v>617</v>
      </c>
      <c r="B660" s="116"/>
      <c r="C660" s="116"/>
      <c r="D660" s="116"/>
      <c r="E660" s="116"/>
      <c r="F660" s="715"/>
      <c r="G660" s="715"/>
      <c r="H660" s="715"/>
      <c r="I660" s="715"/>
      <c r="J660" s="715"/>
      <c r="K660" s="807"/>
      <c r="L660" s="280"/>
      <c r="M660" s="280"/>
      <c r="N660" s="280"/>
      <c r="O660" s="280"/>
    </row>
    <row r="661" spans="1:15" s="265" customFormat="1" ht="13" x14ac:dyDescent="0.3">
      <c r="A661" s="114" t="s">
        <v>618</v>
      </c>
      <c r="B661" s="116"/>
      <c r="C661" s="116"/>
      <c r="D661" s="116"/>
      <c r="E661" s="116"/>
      <c r="F661" s="715"/>
      <c r="G661" s="715"/>
      <c r="H661" s="715"/>
      <c r="I661" s="715"/>
      <c r="J661" s="715"/>
      <c r="K661" s="807"/>
      <c r="L661" s="280"/>
      <c r="M661" s="280"/>
      <c r="N661" s="280"/>
      <c r="O661" s="280"/>
    </row>
    <row r="662" spans="1:15" s="265" customFormat="1" ht="13" x14ac:dyDescent="0.3">
      <c r="A662" s="114" t="s">
        <v>619</v>
      </c>
      <c r="B662" s="116"/>
      <c r="C662" s="116"/>
      <c r="D662" s="116"/>
      <c r="E662" s="116"/>
      <c r="F662" s="715"/>
      <c r="G662" s="715"/>
      <c r="H662" s="715"/>
      <c r="I662" s="715"/>
      <c r="J662" s="715"/>
      <c r="K662" s="807"/>
      <c r="L662" s="280"/>
      <c r="M662" s="280"/>
      <c r="N662" s="280"/>
      <c r="O662" s="280"/>
    </row>
    <row r="663" spans="1:15" s="265" customFormat="1" ht="13" x14ac:dyDescent="0.3">
      <c r="A663" s="114" t="s">
        <v>620</v>
      </c>
      <c r="B663" s="116"/>
      <c r="C663" s="116"/>
      <c r="D663" s="116"/>
      <c r="E663" s="116"/>
      <c r="F663" s="715"/>
      <c r="G663" s="715"/>
      <c r="H663" s="715"/>
      <c r="I663" s="715"/>
      <c r="J663" s="715"/>
      <c r="K663" s="807"/>
      <c r="L663" s="280"/>
      <c r="M663" s="280"/>
      <c r="N663" s="280"/>
      <c r="O663" s="280"/>
    </row>
    <row r="664" spans="1:15" s="265" customFormat="1" ht="13" x14ac:dyDescent="0.3">
      <c r="A664" s="114" t="s">
        <v>621</v>
      </c>
      <c r="B664" s="116"/>
      <c r="C664" s="116"/>
      <c r="D664" s="116"/>
      <c r="E664" s="116"/>
      <c r="F664" s="715"/>
      <c r="G664" s="715"/>
      <c r="H664" s="715"/>
      <c r="I664" s="715"/>
      <c r="J664" s="715"/>
      <c r="K664" s="807"/>
      <c r="L664" s="280"/>
      <c r="M664" s="280"/>
      <c r="N664" s="280"/>
      <c r="O664" s="280"/>
    </row>
    <row r="665" spans="1:15" s="265" customFormat="1" ht="13" x14ac:dyDescent="0.3">
      <c r="A665" s="114" t="s">
        <v>622</v>
      </c>
      <c r="B665" s="116"/>
      <c r="C665" s="116"/>
      <c r="D665" s="116"/>
      <c r="E665" s="116"/>
      <c r="F665" s="715"/>
      <c r="G665" s="715"/>
      <c r="H665" s="715"/>
      <c r="I665" s="715"/>
      <c r="J665" s="715"/>
      <c r="K665" s="807"/>
      <c r="L665" s="280"/>
      <c r="M665" s="280"/>
      <c r="N665" s="280"/>
      <c r="O665" s="280"/>
    </row>
    <row r="666" spans="1:15" s="265" customFormat="1" ht="13" x14ac:dyDescent="0.3">
      <c r="A666" s="114" t="s">
        <v>782</v>
      </c>
      <c r="B666" s="116"/>
      <c r="C666" s="116"/>
      <c r="D666" s="116"/>
      <c r="E666" s="116"/>
      <c r="F666" s="715"/>
      <c r="G666" s="715"/>
      <c r="H666" s="715"/>
      <c r="I666" s="715"/>
      <c r="J666" s="715"/>
      <c r="K666" s="807"/>
      <c r="L666" s="280"/>
      <c r="M666" s="280"/>
      <c r="N666" s="280"/>
      <c r="O666" s="280"/>
    </row>
    <row r="667" spans="1:15" s="265" customFormat="1" ht="13" x14ac:dyDescent="0.3">
      <c r="A667" s="114" t="s">
        <v>990</v>
      </c>
      <c r="B667" s="116"/>
      <c r="C667" s="116"/>
      <c r="D667" s="116"/>
      <c r="E667" s="116"/>
      <c r="F667" s="715"/>
      <c r="G667" s="715"/>
      <c r="H667" s="715"/>
      <c r="I667" s="715"/>
      <c r="J667" s="715"/>
      <c r="K667" s="807"/>
      <c r="L667" s="280"/>
      <c r="M667" s="280"/>
      <c r="N667" s="280"/>
      <c r="O667" s="280"/>
    </row>
    <row r="668" spans="1:15" s="280" customFormat="1" ht="13" x14ac:dyDescent="0.3">
      <c r="A668" s="277" t="s">
        <v>1262</v>
      </c>
      <c r="B668" s="278"/>
      <c r="C668" s="278"/>
      <c r="D668" s="278"/>
      <c r="E668" s="278"/>
      <c r="F668" s="278"/>
      <c r="G668" s="278"/>
      <c r="H668" s="278"/>
      <c r="I668" s="278"/>
      <c r="J668" s="278"/>
      <c r="K668" s="279"/>
    </row>
    <row r="669" spans="1:15" s="265" customFormat="1" ht="13" x14ac:dyDescent="0.3">
      <c r="A669" s="116"/>
      <c r="B669" s="116"/>
      <c r="C669" s="116"/>
      <c r="D669" s="116"/>
      <c r="E669" s="116"/>
      <c r="F669" s="715"/>
      <c r="G669" s="715"/>
      <c r="H669" s="715"/>
      <c r="I669" s="715"/>
      <c r="J669" s="280"/>
      <c r="K669" s="280"/>
      <c r="L669" s="280"/>
      <c r="M669" s="280"/>
      <c r="N669" s="280"/>
      <c r="O669" s="280"/>
    </row>
    <row r="670" spans="1:15" x14ac:dyDescent="0.25">
      <c r="A670" s="10" t="s">
        <v>14</v>
      </c>
      <c r="B670" s="11" t="s">
        <v>623</v>
      </c>
      <c r="C670" s="11" t="s">
        <v>152</v>
      </c>
      <c r="D670" s="183"/>
      <c r="E670" s="183"/>
      <c r="F670" s="761"/>
      <c r="G670" s="761"/>
    </row>
    <row r="671" spans="1:15" s="265" customFormat="1" ht="13" x14ac:dyDescent="0.3">
      <c r="A671" s="262" t="s">
        <v>27</v>
      </c>
      <c r="B671" s="263">
        <v>2016</v>
      </c>
      <c r="C671" s="263">
        <v>2017</v>
      </c>
      <c r="D671" s="264">
        <v>2018</v>
      </c>
      <c r="E671" s="263">
        <v>2019</v>
      </c>
      <c r="F671" s="798">
        <v>2020</v>
      </c>
      <c r="G671" s="798">
        <v>2021</v>
      </c>
      <c r="H671" s="798">
        <v>2022</v>
      </c>
      <c r="I671" s="798">
        <v>2023</v>
      </c>
      <c r="J671" s="798">
        <v>2024</v>
      </c>
      <c r="K671" s="798">
        <v>2025</v>
      </c>
      <c r="L671" s="798">
        <v>2026</v>
      </c>
      <c r="M671" s="280"/>
      <c r="N671" s="280"/>
      <c r="O671" s="280"/>
    </row>
    <row r="672" spans="1:15" s="265" customFormat="1" ht="13" x14ac:dyDescent="0.3">
      <c r="A672" s="262" t="s">
        <v>28</v>
      </c>
      <c r="B672" s="281">
        <v>0</v>
      </c>
      <c r="C672" s="281">
        <v>0</v>
      </c>
      <c r="D672" s="281">
        <v>0</v>
      </c>
      <c r="E672" s="281">
        <v>0</v>
      </c>
      <c r="F672" s="809">
        <v>0</v>
      </c>
      <c r="G672" s="809">
        <v>0</v>
      </c>
      <c r="H672" s="808">
        <v>0</v>
      </c>
      <c r="I672" s="808">
        <v>0</v>
      </c>
      <c r="J672" s="808">
        <v>0</v>
      </c>
      <c r="K672" s="810">
        <v>75</v>
      </c>
      <c r="L672" s="810">
        <v>75</v>
      </c>
      <c r="M672" s="280"/>
      <c r="N672" s="280"/>
      <c r="O672" s="280"/>
    </row>
    <row r="673" spans="1:15" s="265" customFormat="1" ht="13" x14ac:dyDescent="0.3">
      <c r="A673" s="262" t="s">
        <v>29</v>
      </c>
      <c r="B673" s="283">
        <v>-19.86</v>
      </c>
      <c r="C673" s="284">
        <f t="shared" ref="C673:J673" si="35">B676</f>
        <v>-48.64</v>
      </c>
      <c r="D673" s="284">
        <f t="shared" si="35"/>
        <v>-96.69</v>
      </c>
      <c r="E673" s="284">
        <f t="shared" si="35"/>
        <v>-149.34</v>
      </c>
      <c r="F673" s="811">
        <f t="shared" si="35"/>
        <v>-172.85</v>
      </c>
      <c r="G673" s="811">
        <f t="shared" si="35"/>
        <v>-196.03</v>
      </c>
      <c r="H673" s="811">
        <f t="shared" si="35"/>
        <v>-246.64</v>
      </c>
      <c r="I673" s="811">
        <f t="shared" si="35"/>
        <v>-272.18</v>
      </c>
      <c r="J673" s="811">
        <f t="shared" si="35"/>
        <v>-299.51600000000002</v>
      </c>
      <c r="K673" s="812">
        <f>K672+J676+300</f>
        <v>36.924999999999955</v>
      </c>
      <c r="L673" s="812"/>
      <c r="M673" s="280"/>
      <c r="N673" s="280"/>
      <c r="O673" s="280"/>
    </row>
    <row r="674" spans="1:15" s="265" customFormat="1" ht="13" x14ac:dyDescent="0.3">
      <c r="A674" s="262" t="s">
        <v>30</v>
      </c>
      <c r="B674" s="268" t="s">
        <v>399</v>
      </c>
      <c r="C674" s="270" t="s">
        <v>400</v>
      </c>
      <c r="D674" s="268" t="s">
        <v>401</v>
      </c>
      <c r="E674" s="271" t="s">
        <v>402</v>
      </c>
      <c r="F674" s="802" t="s">
        <v>566</v>
      </c>
      <c r="G674" s="802" t="s">
        <v>604</v>
      </c>
      <c r="H674" s="802" t="s">
        <v>625</v>
      </c>
      <c r="I674" s="802" t="s">
        <v>783</v>
      </c>
      <c r="J674" s="802" t="s">
        <v>991</v>
      </c>
      <c r="K674" s="737" t="s">
        <v>1146</v>
      </c>
      <c r="L674" s="737" t="s">
        <v>1263</v>
      </c>
      <c r="M674" s="280"/>
      <c r="N674" s="280"/>
      <c r="O674" s="280"/>
    </row>
    <row r="675" spans="1:15" s="265" customFormat="1" ht="13" x14ac:dyDescent="0.3">
      <c r="A675" s="262" t="s">
        <v>31</v>
      </c>
      <c r="B675" s="281">
        <v>28.78</v>
      </c>
      <c r="C675" s="281">
        <v>48.05</v>
      </c>
      <c r="D675" s="281">
        <v>52.65</v>
      </c>
      <c r="E675" s="282">
        <v>23.51</v>
      </c>
      <c r="F675" s="809">
        <v>23.18</v>
      </c>
      <c r="G675" s="809">
        <v>50.61</v>
      </c>
      <c r="H675" s="813">
        <v>25.54</v>
      </c>
      <c r="I675" s="813">
        <v>27.335999999999999</v>
      </c>
      <c r="J675" s="813">
        <v>38.558999999999997</v>
      </c>
      <c r="K675" s="813">
        <v>11.605</v>
      </c>
      <c r="L675" s="810"/>
      <c r="M675" s="280"/>
      <c r="N675" s="280"/>
      <c r="O675" s="280"/>
    </row>
    <row r="676" spans="1:15" s="265" customFormat="1" ht="13" x14ac:dyDescent="0.3">
      <c r="A676" s="262" t="s">
        <v>32</v>
      </c>
      <c r="B676" s="269">
        <f t="shared" ref="B676:I676" si="36">B673-B675</f>
        <v>-48.64</v>
      </c>
      <c r="C676" s="269">
        <f t="shared" si="36"/>
        <v>-96.69</v>
      </c>
      <c r="D676" s="269">
        <f t="shared" si="36"/>
        <v>-149.34</v>
      </c>
      <c r="E676" s="269">
        <f t="shared" si="36"/>
        <v>-172.85</v>
      </c>
      <c r="F676" s="285">
        <f t="shared" si="36"/>
        <v>-196.03</v>
      </c>
      <c r="G676" s="285">
        <f t="shared" si="36"/>
        <v>-246.64</v>
      </c>
      <c r="H676" s="285">
        <f t="shared" si="36"/>
        <v>-272.18</v>
      </c>
      <c r="I676" s="285">
        <f t="shared" si="36"/>
        <v>-299.51600000000002</v>
      </c>
      <c r="J676" s="285">
        <f>J673-J675</f>
        <v>-338.07500000000005</v>
      </c>
      <c r="K676" s="285">
        <f>K673-K675</f>
        <v>25.319999999999954</v>
      </c>
      <c r="L676" s="810"/>
      <c r="M676" s="280"/>
      <c r="N676" s="280"/>
      <c r="O676" s="280"/>
    </row>
    <row r="677" spans="1:15" s="265" customFormat="1" ht="13" x14ac:dyDescent="0.3">
      <c r="A677" s="275" t="s">
        <v>33</v>
      </c>
      <c r="B677" s="154">
        <v>2017</v>
      </c>
      <c r="C677" s="154">
        <v>2018</v>
      </c>
      <c r="D677" s="276">
        <v>2019</v>
      </c>
      <c r="E677" s="154">
        <v>2020</v>
      </c>
      <c r="F677" s="805">
        <v>2021</v>
      </c>
      <c r="G677" s="805">
        <v>2022</v>
      </c>
      <c r="H677" s="805">
        <v>2023</v>
      </c>
      <c r="I677" s="805">
        <v>2024</v>
      </c>
      <c r="J677" s="805">
        <v>2025</v>
      </c>
      <c r="K677" s="805">
        <v>2026</v>
      </c>
      <c r="L677" s="814">
        <v>2027</v>
      </c>
      <c r="M677" s="280"/>
      <c r="N677" s="280"/>
      <c r="O677" s="280"/>
    </row>
    <row r="678" spans="1:15" s="265" customFormat="1" ht="13" x14ac:dyDescent="0.3">
      <c r="A678" s="275" t="s">
        <v>34</v>
      </c>
      <c r="B678" s="276"/>
      <c r="C678" s="276"/>
      <c r="D678" s="276"/>
      <c r="E678" s="276"/>
      <c r="F678" s="804"/>
      <c r="G678" s="804"/>
      <c r="H678" s="804"/>
      <c r="I678" s="804"/>
      <c r="J678" s="804"/>
      <c r="K678" s="815"/>
      <c r="L678" s="806"/>
      <c r="M678" s="280"/>
      <c r="N678" s="280"/>
      <c r="O678" s="280"/>
    </row>
    <row r="679" spans="1:15" s="265" customFormat="1" ht="13" x14ac:dyDescent="0.3">
      <c r="A679" s="286" t="s">
        <v>626</v>
      </c>
      <c r="B679" s="276"/>
      <c r="C679" s="276"/>
      <c r="D679" s="276"/>
      <c r="E679" s="276"/>
      <c r="F679" s="804"/>
      <c r="G679" s="804"/>
      <c r="H679" s="804"/>
      <c r="I679" s="804"/>
      <c r="J679" s="804"/>
      <c r="K679" s="815"/>
      <c r="L679" s="806"/>
      <c r="M679" s="280"/>
      <c r="N679" s="280"/>
      <c r="O679" s="280"/>
    </row>
    <row r="680" spans="1:15" s="265" customFormat="1" ht="13" x14ac:dyDescent="0.3">
      <c r="A680" s="287" t="s">
        <v>627</v>
      </c>
      <c r="B680" s="116"/>
      <c r="C680" s="116"/>
      <c r="D680" s="116"/>
      <c r="E680" s="116"/>
      <c r="F680" s="715"/>
      <c r="G680" s="715"/>
      <c r="H680" s="715"/>
      <c r="I680" s="715"/>
      <c r="J680" s="715"/>
      <c r="K680" s="280"/>
      <c r="L680" s="807"/>
      <c r="M680" s="280"/>
      <c r="N680" s="280"/>
      <c r="O680" s="280"/>
    </row>
    <row r="681" spans="1:15" s="265" customFormat="1" ht="13" x14ac:dyDescent="0.3">
      <c r="A681" s="287" t="s">
        <v>628</v>
      </c>
      <c r="B681" s="116"/>
      <c r="C681" s="116"/>
      <c r="D681" s="116"/>
      <c r="E681" s="116"/>
      <c r="F681" s="715"/>
      <c r="G681" s="715"/>
      <c r="H681" s="715"/>
      <c r="I681" s="715"/>
      <c r="J681" s="715"/>
      <c r="K681" s="280"/>
      <c r="L681" s="807"/>
      <c r="M681" s="280"/>
      <c r="N681" s="280"/>
      <c r="O681" s="280"/>
    </row>
    <row r="682" spans="1:15" s="265" customFormat="1" ht="13" x14ac:dyDescent="0.3">
      <c r="A682" s="287" t="s">
        <v>629</v>
      </c>
      <c r="B682" s="116"/>
      <c r="C682" s="116"/>
      <c r="D682" s="116"/>
      <c r="E682" s="116"/>
      <c r="F682" s="715"/>
      <c r="G682" s="715"/>
      <c r="H682" s="715"/>
      <c r="I682" s="715"/>
      <c r="J682" s="715"/>
      <c r="K682" s="280"/>
      <c r="L682" s="807"/>
      <c r="M682" s="280"/>
      <c r="N682" s="280"/>
      <c r="O682" s="280"/>
    </row>
    <row r="683" spans="1:15" s="265" customFormat="1" ht="13" x14ac:dyDescent="0.3">
      <c r="A683" s="287" t="s">
        <v>630</v>
      </c>
      <c r="B683" s="116"/>
      <c r="C683" s="116"/>
      <c r="D683" s="116"/>
      <c r="E683" s="116"/>
      <c r="F683" s="715"/>
      <c r="G683" s="715"/>
      <c r="H683" s="715"/>
      <c r="I683" s="715"/>
      <c r="J683" s="715"/>
      <c r="K683" s="280"/>
      <c r="L683" s="807"/>
      <c r="M683" s="280"/>
      <c r="N683" s="280"/>
      <c r="O683" s="280"/>
    </row>
    <row r="684" spans="1:15" s="265" customFormat="1" ht="13" x14ac:dyDescent="0.3">
      <c r="A684" s="287" t="s">
        <v>631</v>
      </c>
      <c r="B684" s="116"/>
      <c r="C684" s="116"/>
      <c r="D684" s="116"/>
      <c r="E684" s="116"/>
      <c r="F684" s="715"/>
      <c r="G684" s="715"/>
      <c r="H684" s="715"/>
      <c r="I684" s="715"/>
      <c r="J684" s="715"/>
      <c r="K684" s="280"/>
      <c r="L684" s="807"/>
      <c r="M684" s="280"/>
      <c r="N684" s="280"/>
      <c r="O684" s="280"/>
    </row>
    <row r="685" spans="1:15" s="265" customFormat="1" ht="13" x14ac:dyDescent="0.3">
      <c r="A685" s="287" t="s">
        <v>632</v>
      </c>
      <c r="B685" s="116"/>
      <c r="C685" s="116"/>
      <c r="D685" s="116"/>
      <c r="E685" s="116"/>
      <c r="F685" s="715"/>
      <c r="G685" s="715"/>
      <c r="H685" s="715"/>
      <c r="I685" s="715"/>
      <c r="J685" s="715"/>
      <c r="K685" s="280"/>
      <c r="L685" s="807"/>
      <c r="M685" s="280"/>
      <c r="N685" s="280"/>
      <c r="O685" s="280"/>
    </row>
    <row r="686" spans="1:15" s="265" customFormat="1" ht="13" x14ac:dyDescent="0.3">
      <c r="A686" s="287" t="s">
        <v>784</v>
      </c>
      <c r="B686" s="116"/>
      <c r="C686" s="116"/>
      <c r="D686" s="116"/>
      <c r="E686" s="116"/>
      <c r="F686" s="715"/>
      <c r="G686" s="715"/>
      <c r="H686" s="715"/>
      <c r="I686" s="715"/>
      <c r="J686" s="715"/>
      <c r="K686" s="280"/>
      <c r="L686" s="807"/>
      <c r="M686" s="280"/>
      <c r="N686" s="280"/>
      <c r="O686" s="280"/>
    </row>
    <row r="687" spans="1:15" s="265" customFormat="1" ht="13" x14ac:dyDescent="0.3">
      <c r="A687" s="287" t="s">
        <v>992</v>
      </c>
      <c r="B687" s="116"/>
      <c r="C687" s="116"/>
      <c r="D687" s="116"/>
      <c r="E687" s="116"/>
      <c r="F687" s="715"/>
      <c r="G687" s="715"/>
      <c r="H687" s="715"/>
      <c r="I687" s="715"/>
      <c r="J687" s="715"/>
      <c r="K687" s="280"/>
      <c r="L687" s="807"/>
      <c r="M687" s="280"/>
      <c r="N687" s="280"/>
      <c r="O687" s="280"/>
    </row>
    <row r="688" spans="1:15" s="265" customFormat="1" ht="13" x14ac:dyDescent="0.3">
      <c r="A688" s="288" t="s">
        <v>1147</v>
      </c>
      <c r="B688" s="118"/>
      <c r="C688" s="118"/>
      <c r="D688" s="118"/>
      <c r="E688" s="118"/>
      <c r="F688" s="278"/>
      <c r="G688" s="278"/>
      <c r="H688" s="278"/>
      <c r="I688" s="278"/>
      <c r="J688" s="278"/>
      <c r="K688" s="816"/>
      <c r="L688" s="279"/>
      <c r="M688" s="280"/>
      <c r="N688" s="280"/>
      <c r="O688" s="280"/>
    </row>
    <row r="689" spans="1:15" s="265" customFormat="1" ht="13" x14ac:dyDescent="0.3">
      <c r="A689" s="116"/>
      <c r="B689" s="116"/>
      <c r="C689" s="116"/>
      <c r="D689" s="116"/>
      <c r="E689" s="116"/>
      <c r="F689" s="715"/>
      <c r="G689" s="715"/>
      <c r="H689" s="715"/>
      <c r="I689" s="715"/>
      <c r="J689" s="280"/>
      <c r="K689" s="280"/>
      <c r="L689" s="280"/>
      <c r="M689" s="280"/>
      <c r="N689" s="280"/>
      <c r="O689" s="280"/>
    </row>
    <row r="690" spans="1:15" s="265" customFormat="1" ht="13" x14ac:dyDescent="0.3">
      <c r="A690" s="10" t="s">
        <v>14</v>
      </c>
      <c r="B690" s="11" t="s">
        <v>74</v>
      </c>
      <c r="C690" s="11" t="s">
        <v>152</v>
      </c>
      <c r="D690" s="116"/>
      <c r="E690" s="116"/>
      <c r="F690" s="715"/>
      <c r="G690" s="715"/>
      <c r="H690" s="715"/>
      <c r="I690" s="715"/>
      <c r="J690" s="280"/>
      <c r="K690" s="280"/>
      <c r="L690" s="280"/>
      <c r="M690" s="280"/>
      <c r="N690" s="280"/>
      <c r="O690" s="280"/>
    </row>
    <row r="691" spans="1:15" s="265" customFormat="1" ht="13" x14ac:dyDescent="0.3">
      <c r="A691" s="262" t="s">
        <v>27</v>
      </c>
      <c r="B691" s="289">
        <v>2016</v>
      </c>
      <c r="C691" s="289">
        <v>2017</v>
      </c>
      <c r="D691" s="290">
        <v>2018</v>
      </c>
      <c r="E691" s="289">
        <v>2019</v>
      </c>
      <c r="F691" s="817">
        <v>2020</v>
      </c>
      <c r="G691" s="817">
        <v>2021</v>
      </c>
      <c r="H691" s="817">
        <v>2022</v>
      </c>
      <c r="I691" s="817">
        <v>2023</v>
      </c>
      <c r="J691" s="817">
        <v>2024</v>
      </c>
      <c r="K691" s="817">
        <v>2025</v>
      </c>
      <c r="L691" s="817">
        <v>2026</v>
      </c>
      <c r="M691" s="280"/>
      <c r="N691" s="280"/>
      <c r="O691" s="280"/>
    </row>
    <row r="692" spans="1:15" s="265" customFormat="1" ht="13" x14ac:dyDescent="0.3">
      <c r="A692" s="262" t="s">
        <v>28</v>
      </c>
      <c r="B692" s="266">
        <v>10</v>
      </c>
      <c r="C692" s="266">
        <v>10</v>
      </c>
      <c r="D692" s="266">
        <v>10</v>
      </c>
      <c r="E692" s="266">
        <v>10</v>
      </c>
      <c r="F692" s="799">
        <v>10</v>
      </c>
      <c r="G692" s="799">
        <v>10</v>
      </c>
      <c r="H692" s="799">
        <v>10</v>
      </c>
      <c r="I692" s="799">
        <v>10</v>
      </c>
      <c r="J692" s="799">
        <v>10</v>
      </c>
      <c r="K692" s="799">
        <v>20</v>
      </c>
      <c r="L692" s="799">
        <v>20</v>
      </c>
      <c r="M692" s="280"/>
      <c r="N692" s="280"/>
      <c r="O692" s="280"/>
    </row>
    <row r="693" spans="1:15" s="265" customFormat="1" ht="13" x14ac:dyDescent="0.3">
      <c r="A693" s="262" t="s">
        <v>29</v>
      </c>
      <c r="B693" s="269">
        <v>10</v>
      </c>
      <c r="C693" s="269">
        <f>B696+10</f>
        <v>-31.037900001525877</v>
      </c>
      <c r="D693" s="269">
        <f>C696+10</f>
        <v>-100.44840000534057</v>
      </c>
      <c r="E693" s="269">
        <f>D696+10</f>
        <v>-131.83390000534058</v>
      </c>
      <c r="F693" s="285">
        <f>E696+10</f>
        <v>-149.28490000534057</v>
      </c>
      <c r="G693" s="285">
        <f>F696+10</f>
        <v>-157.49490000534058</v>
      </c>
      <c r="H693" s="285">
        <f>H692+G696-0.25*(G695-G692)</f>
        <v>-174.60740000534059</v>
      </c>
      <c r="I693" s="285">
        <f>I692+H696-0.25*(H695-H692)</f>
        <v>-175.24490000534058</v>
      </c>
      <c r="J693" s="285">
        <f>J692+I696</f>
        <v>-173.68190000534059</v>
      </c>
      <c r="K693" s="285">
        <f>K692+J696</f>
        <v>-176.27390000534058</v>
      </c>
      <c r="L693" s="285">
        <f>1.25*K696+L692</f>
        <v>-212.02612500667573</v>
      </c>
      <c r="M693" s="280"/>
      <c r="N693" s="280"/>
      <c r="O693" s="280"/>
    </row>
    <row r="694" spans="1:15" s="265" customFormat="1" ht="13" x14ac:dyDescent="0.3">
      <c r="A694" s="262" t="s">
        <v>30</v>
      </c>
      <c r="B694" s="268"/>
      <c r="C694" s="268" t="s">
        <v>399</v>
      </c>
      <c r="D694" s="270" t="s">
        <v>400</v>
      </c>
      <c r="E694" s="268" t="s">
        <v>401</v>
      </c>
      <c r="F694" s="802" t="s">
        <v>402</v>
      </c>
      <c r="G694" s="802" t="s">
        <v>566</v>
      </c>
      <c r="H694" s="802" t="s">
        <v>604</v>
      </c>
      <c r="I694" s="802" t="s">
        <v>625</v>
      </c>
      <c r="J694" s="802" t="s">
        <v>783</v>
      </c>
      <c r="K694" s="802" t="s">
        <v>991</v>
      </c>
      <c r="L694" s="802" t="s">
        <v>1146</v>
      </c>
      <c r="M694" s="280"/>
      <c r="N694" s="280"/>
      <c r="O694" s="280"/>
    </row>
    <row r="695" spans="1:15" s="265" customFormat="1" ht="13" x14ac:dyDescent="0.3">
      <c r="A695" s="262" t="s">
        <v>31</v>
      </c>
      <c r="B695" s="291">
        <v>51.037900001525877</v>
      </c>
      <c r="C695" s="291">
        <v>79.410500003814704</v>
      </c>
      <c r="D695" s="291">
        <v>41.3855</v>
      </c>
      <c r="E695" s="292">
        <v>27.451000000000001</v>
      </c>
      <c r="F695" s="818">
        <v>18.21</v>
      </c>
      <c r="G695" s="800">
        <v>23.69</v>
      </c>
      <c r="H695" s="819">
        <v>10.51</v>
      </c>
      <c r="I695" s="819">
        <v>8.4369999999999994</v>
      </c>
      <c r="J695" s="819">
        <v>22.591999999999999</v>
      </c>
      <c r="K695" s="819">
        <v>9.3469999999999995</v>
      </c>
      <c r="L695" s="819"/>
      <c r="M695" s="280"/>
      <c r="N695" s="280"/>
      <c r="O695" s="280"/>
    </row>
    <row r="696" spans="1:15" s="265" customFormat="1" ht="13" x14ac:dyDescent="0.3">
      <c r="A696" s="262" t="s">
        <v>32</v>
      </c>
      <c r="B696" s="269">
        <f t="shared" ref="B696:K696" si="37">B693-B695</f>
        <v>-41.037900001525877</v>
      </c>
      <c r="C696" s="269">
        <f t="shared" si="37"/>
        <v>-110.44840000534057</v>
      </c>
      <c r="D696" s="269">
        <f t="shared" si="37"/>
        <v>-141.83390000534058</v>
      </c>
      <c r="E696" s="269">
        <f t="shared" si="37"/>
        <v>-159.28490000534057</v>
      </c>
      <c r="F696" s="285">
        <f t="shared" si="37"/>
        <v>-167.49490000534058</v>
      </c>
      <c r="G696" s="285">
        <f t="shared" si="37"/>
        <v>-181.18490000534058</v>
      </c>
      <c r="H696" s="285">
        <f t="shared" si="37"/>
        <v>-185.11740000534058</v>
      </c>
      <c r="I696" s="285">
        <f t="shared" si="37"/>
        <v>-183.68190000534059</v>
      </c>
      <c r="J696" s="285">
        <f t="shared" si="37"/>
        <v>-196.27390000534058</v>
      </c>
      <c r="K696" s="285">
        <f t="shared" si="37"/>
        <v>-185.62090000534059</v>
      </c>
      <c r="L696" s="285"/>
      <c r="M696" s="280"/>
      <c r="N696" s="280"/>
      <c r="O696" s="280"/>
    </row>
    <row r="697" spans="1:15" s="265" customFormat="1" ht="13" x14ac:dyDescent="0.3">
      <c r="A697" s="275" t="s">
        <v>33</v>
      </c>
      <c r="B697" s="293">
        <v>2017</v>
      </c>
      <c r="C697" s="293">
        <v>2018</v>
      </c>
      <c r="D697" s="294">
        <v>2019</v>
      </c>
      <c r="E697" s="293">
        <v>2020</v>
      </c>
      <c r="F697" s="821">
        <v>2021</v>
      </c>
      <c r="G697" s="821">
        <v>2022</v>
      </c>
      <c r="H697" s="821">
        <v>2023</v>
      </c>
      <c r="I697" s="821">
        <v>2024</v>
      </c>
      <c r="J697" s="821">
        <v>2025</v>
      </c>
      <c r="K697" s="820">
        <v>2026</v>
      </c>
      <c r="L697" s="820">
        <v>2027</v>
      </c>
      <c r="M697" s="280"/>
      <c r="N697" s="280"/>
      <c r="O697" s="280"/>
    </row>
    <row r="698" spans="1:15" s="265" customFormat="1" ht="13" x14ac:dyDescent="0.3">
      <c r="A698" s="275" t="s">
        <v>34</v>
      </c>
      <c r="B698" s="276"/>
      <c r="C698" s="276"/>
      <c r="D698" s="276"/>
      <c r="E698" s="276"/>
      <c r="F698" s="804"/>
      <c r="G698" s="804"/>
      <c r="H698" s="804"/>
      <c r="I698" s="804"/>
      <c r="J698" s="804"/>
      <c r="K698" s="815"/>
      <c r="L698" s="806"/>
      <c r="M698" s="280"/>
      <c r="N698" s="280"/>
      <c r="O698" s="280"/>
    </row>
    <row r="699" spans="1:15" s="265" customFormat="1" ht="13" x14ac:dyDescent="0.3">
      <c r="A699" s="286" t="s">
        <v>633</v>
      </c>
      <c r="B699" s="276"/>
      <c r="C699" s="276"/>
      <c r="D699" s="276"/>
      <c r="E699" s="276"/>
      <c r="F699" s="804"/>
      <c r="G699" s="804"/>
      <c r="H699" s="804"/>
      <c r="I699" s="804"/>
      <c r="J699" s="804"/>
      <c r="K699" s="815"/>
      <c r="L699" s="806"/>
      <c r="M699" s="280"/>
      <c r="N699" s="280"/>
      <c r="O699" s="280"/>
    </row>
    <row r="700" spans="1:15" s="265" customFormat="1" ht="13" x14ac:dyDescent="0.3">
      <c r="A700" s="287" t="s">
        <v>888</v>
      </c>
      <c r="B700" s="116"/>
      <c r="C700" s="116"/>
      <c r="D700" s="116"/>
      <c r="E700" s="116"/>
      <c r="F700" s="715"/>
      <c r="G700" s="715"/>
      <c r="H700" s="715"/>
      <c r="I700" s="715"/>
      <c r="J700" s="715"/>
      <c r="K700" s="280"/>
      <c r="L700" s="807"/>
      <c r="M700" s="280"/>
      <c r="N700" s="280"/>
      <c r="O700" s="280"/>
    </row>
    <row r="701" spans="1:15" s="265" customFormat="1" ht="13" x14ac:dyDescent="0.3">
      <c r="A701" s="287" t="s">
        <v>889</v>
      </c>
      <c r="B701" s="116"/>
      <c r="C701" s="116"/>
      <c r="D701" s="116"/>
      <c r="E701" s="116"/>
      <c r="F701" s="715"/>
      <c r="G701" s="715"/>
      <c r="H701" s="715"/>
      <c r="I701" s="715"/>
      <c r="J701" s="715"/>
      <c r="K701" s="280"/>
      <c r="L701" s="807"/>
      <c r="M701" s="280"/>
      <c r="N701" s="280"/>
      <c r="O701" s="280"/>
    </row>
    <row r="702" spans="1:15" s="265" customFormat="1" ht="13" x14ac:dyDescent="0.3">
      <c r="A702" s="287" t="s">
        <v>890</v>
      </c>
      <c r="B702" s="116"/>
      <c r="C702" s="116"/>
      <c r="D702" s="116"/>
      <c r="E702" s="116"/>
      <c r="F702" s="715"/>
      <c r="G702" s="715"/>
      <c r="H702" s="715"/>
      <c r="I702" s="715"/>
      <c r="J702" s="715"/>
      <c r="K702" s="280"/>
      <c r="L702" s="807"/>
      <c r="M702" s="280"/>
      <c r="N702" s="280"/>
      <c r="O702" s="280"/>
    </row>
    <row r="703" spans="1:15" s="265" customFormat="1" ht="13" x14ac:dyDescent="0.3">
      <c r="A703" s="287" t="s">
        <v>891</v>
      </c>
      <c r="B703" s="116"/>
      <c r="C703" s="116"/>
      <c r="D703" s="116"/>
      <c r="E703" s="116"/>
      <c r="F703" s="715"/>
      <c r="G703" s="715"/>
      <c r="H703" s="715"/>
      <c r="I703" s="715"/>
      <c r="J703" s="715"/>
      <c r="K703" s="280"/>
      <c r="L703" s="807"/>
      <c r="M703" s="280"/>
      <c r="N703" s="280"/>
      <c r="O703" s="280"/>
    </row>
    <row r="704" spans="1:15" s="265" customFormat="1" ht="13" x14ac:dyDescent="0.3">
      <c r="A704" s="295" t="s">
        <v>1294</v>
      </c>
      <c r="B704" s="116"/>
      <c r="C704" s="116"/>
      <c r="D704" s="116"/>
      <c r="E704" s="116"/>
      <c r="F704" s="715"/>
      <c r="G704" s="715"/>
      <c r="H704" s="715"/>
      <c r="I704" s="715"/>
      <c r="J704" s="715"/>
      <c r="K704" s="280"/>
      <c r="L704" s="807"/>
      <c r="M704" s="280"/>
      <c r="N704" s="280"/>
      <c r="O704" s="280"/>
    </row>
    <row r="705" spans="1:15" s="265" customFormat="1" ht="13" x14ac:dyDescent="0.3">
      <c r="A705" s="295" t="s">
        <v>1295</v>
      </c>
      <c r="B705" s="116"/>
      <c r="C705" s="116"/>
      <c r="D705" s="116"/>
      <c r="E705" s="116"/>
      <c r="F705" s="715"/>
      <c r="G705" s="715"/>
      <c r="H705" s="715"/>
      <c r="I705" s="715"/>
      <c r="J705" s="715"/>
      <c r="K705" s="280"/>
      <c r="L705" s="807"/>
      <c r="M705" s="280"/>
      <c r="N705" s="280"/>
      <c r="O705" s="280"/>
    </row>
    <row r="706" spans="1:15" s="265" customFormat="1" ht="13" x14ac:dyDescent="0.3">
      <c r="A706" s="295" t="s">
        <v>1297</v>
      </c>
      <c r="B706" s="116"/>
      <c r="C706" s="116"/>
      <c r="D706" s="116"/>
      <c r="E706" s="116"/>
      <c r="F706" s="715"/>
      <c r="G706" s="715"/>
      <c r="H706" s="715"/>
      <c r="I706" s="715"/>
      <c r="J706" s="715"/>
      <c r="K706" s="280"/>
      <c r="L706" s="807"/>
      <c r="M706" s="280"/>
      <c r="N706" s="280"/>
      <c r="O706" s="280"/>
    </row>
    <row r="707" spans="1:15" s="265" customFormat="1" ht="13" x14ac:dyDescent="0.3">
      <c r="A707" s="296" t="s">
        <v>1296</v>
      </c>
      <c r="B707" s="116"/>
      <c r="C707" s="116"/>
      <c r="D707" s="116"/>
      <c r="E707" s="116"/>
      <c r="F707" s="715"/>
      <c r="G707" s="715"/>
      <c r="H707" s="715"/>
      <c r="I707" s="715"/>
      <c r="J707" s="715"/>
      <c r="K707" s="280"/>
      <c r="L707" s="807"/>
      <c r="M707" s="280"/>
      <c r="N707" s="280"/>
      <c r="O707" s="280"/>
    </row>
    <row r="708" spans="1:15" s="265" customFormat="1" ht="13" x14ac:dyDescent="0.3">
      <c r="A708" s="296" t="s">
        <v>1310</v>
      </c>
      <c r="B708" s="118"/>
      <c r="C708" s="118"/>
      <c r="D708" s="118"/>
      <c r="E708" s="118"/>
      <c r="F708" s="278"/>
      <c r="G708" s="278"/>
      <c r="H708" s="278"/>
      <c r="I708" s="278"/>
      <c r="J708" s="278"/>
      <c r="K708" s="816"/>
      <c r="L708" s="279"/>
      <c r="M708" s="280"/>
      <c r="N708" s="280"/>
      <c r="O708" s="280"/>
    </row>
    <row r="711" spans="1:15" x14ac:dyDescent="0.25">
      <c r="A711" s="8" t="s">
        <v>12</v>
      </c>
      <c r="B711" s="232" t="s">
        <v>246</v>
      </c>
    </row>
    <row r="712" spans="1:15" x14ac:dyDescent="0.25">
      <c r="A712" s="8" t="s">
        <v>14</v>
      </c>
      <c r="B712" s="9" t="s">
        <v>638</v>
      </c>
      <c r="C712" s="27" t="s">
        <v>15</v>
      </c>
    </row>
    <row r="713" spans="1:15" x14ac:dyDescent="0.25">
      <c r="A713" s="28" t="s">
        <v>16</v>
      </c>
      <c r="B713" s="210"/>
      <c r="C713" s="232">
        <v>2024</v>
      </c>
      <c r="D713" s="232">
        <v>2025</v>
      </c>
      <c r="E713" s="232">
        <v>2026</v>
      </c>
      <c r="F713" s="780">
        <v>2027</v>
      </c>
    </row>
    <row r="714" spans="1:15" x14ac:dyDescent="0.25">
      <c r="A714" s="28" t="s">
        <v>17</v>
      </c>
      <c r="B714" s="212"/>
      <c r="C714" s="234">
        <v>120</v>
      </c>
      <c r="D714" s="234">
        <v>120</v>
      </c>
      <c r="E714" s="234">
        <v>120</v>
      </c>
      <c r="F714" s="781">
        <v>120</v>
      </c>
    </row>
    <row r="715" spans="1:15" x14ac:dyDescent="0.25">
      <c r="A715" s="28" t="s">
        <v>18</v>
      </c>
      <c r="B715" s="212"/>
      <c r="C715" s="234">
        <f>C714+1.49</f>
        <v>121.49</v>
      </c>
      <c r="D715" s="234">
        <f>D714+0.25*120</f>
        <v>150</v>
      </c>
      <c r="E715" s="234">
        <f>E714+0.25*120</f>
        <v>150</v>
      </c>
      <c r="F715" s="781">
        <f>F714+0.25*120</f>
        <v>150</v>
      </c>
    </row>
    <row r="716" spans="1:15" x14ac:dyDescent="0.25">
      <c r="A716" s="28" t="s">
        <v>19</v>
      </c>
      <c r="B716" s="235"/>
      <c r="C716" s="235" t="s">
        <v>921</v>
      </c>
      <c r="D716" s="235" t="s">
        <v>1088</v>
      </c>
      <c r="E716" s="235" t="s">
        <v>1088</v>
      </c>
      <c r="F716" s="255" t="s">
        <v>1088</v>
      </c>
    </row>
    <row r="717" spans="1:15" x14ac:dyDescent="0.25">
      <c r="A717" s="28" t="s">
        <v>20</v>
      </c>
      <c r="B717" s="212"/>
      <c r="C717" s="234">
        <v>109.066</v>
      </c>
      <c r="D717" s="234">
        <v>131.172</v>
      </c>
      <c r="E717" s="234"/>
      <c r="F717" s="781"/>
    </row>
    <row r="718" spans="1:15" x14ac:dyDescent="0.25">
      <c r="A718" s="28" t="s">
        <v>21</v>
      </c>
      <c r="B718" s="212"/>
      <c r="C718" s="234">
        <f>C715-C717</f>
        <v>12.423999999999992</v>
      </c>
      <c r="D718" s="234">
        <f>D715-D717</f>
        <v>18.828000000000003</v>
      </c>
      <c r="E718" s="234"/>
      <c r="F718" s="781"/>
    </row>
    <row r="719" spans="1:15" x14ac:dyDescent="0.25">
      <c r="A719" s="36" t="s">
        <v>22</v>
      </c>
      <c r="B719" s="237"/>
      <c r="C719" s="239">
        <v>2026</v>
      </c>
      <c r="D719" s="239">
        <v>2027</v>
      </c>
      <c r="E719" s="237">
        <v>2028</v>
      </c>
      <c r="F719" s="498">
        <v>2029</v>
      </c>
    </row>
    <row r="720" spans="1:15" x14ac:dyDescent="0.25">
      <c r="A720" s="82" t="s">
        <v>23</v>
      </c>
      <c r="B720" s="84"/>
      <c r="C720" s="84"/>
      <c r="D720" s="84"/>
      <c r="E720" s="84"/>
      <c r="F720" s="704"/>
    </row>
    <row r="721" spans="1:14" x14ac:dyDescent="0.25">
      <c r="A721" s="219" t="s">
        <v>922</v>
      </c>
      <c r="B721" s="246"/>
      <c r="C721" s="246"/>
      <c r="D721" s="246"/>
      <c r="E721" s="246"/>
      <c r="F721" s="822"/>
    </row>
    <row r="722" spans="1:14" x14ac:dyDescent="0.25">
      <c r="A722" s="297" t="s">
        <v>1089</v>
      </c>
      <c r="B722" s="247"/>
      <c r="C722" s="247"/>
      <c r="D722" s="247"/>
      <c r="E722" s="247"/>
      <c r="F722" s="823"/>
    </row>
    <row r="724" spans="1:14" x14ac:dyDescent="0.25">
      <c r="A724" s="10" t="s">
        <v>14</v>
      </c>
      <c r="B724" s="11" t="s">
        <v>623</v>
      </c>
      <c r="C724" s="11" t="s">
        <v>152</v>
      </c>
      <c r="D724" s="13"/>
      <c r="E724" s="13"/>
      <c r="F724" s="657"/>
      <c r="G724" s="657"/>
    </row>
    <row r="725" spans="1:14" x14ac:dyDescent="0.25">
      <c r="A725" s="298" t="s">
        <v>16</v>
      </c>
      <c r="B725" s="299"/>
      <c r="C725" s="300">
        <v>2015</v>
      </c>
      <c r="D725" s="300">
        <v>2016</v>
      </c>
      <c r="E725" s="300" t="s">
        <v>242</v>
      </c>
      <c r="F725" s="824" t="s">
        <v>243</v>
      </c>
      <c r="G725" s="824" t="s">
        <v>244</v>
      </c>
      <c r="H725" s="824" t="s">
        <v>286</v>
      </c>
      <c r="I725" s="824" t="s">
        <v>504</v>
      </c>
      <c r="J725" s="824" t="s">
        <v>674</v>
      </c>
      <c r="K725" s="824" t="s">
        <v>822</v>
      </c>
      <c r="L725" s="825" t="s">
        <v>1032</v>
      </c>
      <c r="M725" s="825" t="s">
        <v>1215</v>
      </c>
      <c r="N725" s="825" t="s">
        <v>1246</v>
      </c>
    </row>
    <row r="726" spans="1:14" x14ac:dyDescent="0.25">
      <c r="A726" s="93" t="s">
        <v>17</v>
      </c>
      <c r="B726" s="94"/>
      <c r="C726" s="97">
        <v>50</v>
      </c>
      <c r="D726" s="97">
        <v>50</v>
      </c>
      <c r="E726" s="97">
        <v>50</v>
      </c>
      <c r="F726" s="708">
        <v>50</v>
      </c>
      <c r="G726" s="708">
        <v>50</v>
      </c>
      <c r="H726" s="708">
        <v>50</v>
      </c>
      <c r="I726" s="708">
        <v>50</v>
      </c>
      <c r="J726" s="708">
        <v>50</v>
      </c>
      <c r="K726" s="708">
        <v>50</v>
      </c>
      <c r="L726" s="709">
        <v>50</v>
      </c>
      <c r="M726" s="709">
        <v>50</v>
      </c>
      <c r="N726" s="709">
        <v>50</v>
      </c>
    </row>
    <row r="727" spans="1:14" x14ac:dyDescent="0.25">
      <c r="A727" s="93" t="s">
        <v>18</v>
      </c>
      <c r="B727" s="301"/>
      <c r="C727" s="97">
        <v>75</v>
      </c>
      <c r="D727" s="97">
        <v>75</v>
      </c>
      <c r="E727" s="97">
        <v>75</v>
      </c>
      <c r="F727" s="708">
        <v>70</v>
      </c>
      <c r="G727" s="708">
        <v>70</v>
      </c>
      <c r="H727" s="708">
        <f>H726+F730</f>
        <v>62.6</v>
      </c>
      <c r="I727" s="708">
        <v>70</v>
      </c>
      <c r="J727" s="708">
        <v>70</v>
      </c>
      <c r="K727" s="708">
        <v>70</v>
      </c>
      <c r="L727" s="709">
        <v>70</v>
      </c>
      <c r="M727" s="709">
        <v>70</v>
      </c>
      <c r="N727" s="709">
        <v>70</v>
      </c>
    </row>
    <row r="728" spans="1:14" x14ac:dyDescent="0.25">
      <c r="A728" s="93" t="s">
        <v>19</v>
      </c>
      <c r="B728" s="302"/>
      <c r="C728" s="303" t="s">
        <v>141</v>
      </c>
      <c r="D728" s="303" t="s">
        <v>141</v>
      </c>
      <c r="E728" s="303" t="s">
        <v>141</v>
      </c>
      <c r="F728" s="827" t="s">
        <v>245</v>
      </c>
      <c r="G728" s="827" t="s">
        <v>245</v>
      </c>
      <c r="H728" s="826" t="s">
        <v>329</v>
      </c>
      <c r="I728" s="826" t="s">
        <v>586</v>
      </c>
      <c r="J728" s="826" t="s">
        <v>880</v>
      </c>
      <c r="K728" s="826" t="s">
        <v>881</v>
      </c>
      <c r="L728" s="709" t="s">
        <v>1148</v>
      </c>
      <c r="M728" s="709" t="s">
        <v>1216</v>
      </c>
      <c r="N728" s="709" t="s">
        <v>1264</v>
      </c>
    </row>
    <row r="729" spans="1:14" x14ac:dyDescent="0.25">
      <c r="A729" s="93" t="s">
        <v>20</v>
      </c>
      <c r="B729" s="94"/>
      <c r="C729" s="97">
        <v>0</v>
      </c>
      <c r="D729" s="97">
        <v>27.449000000000002</v>
      </c>
      <c r="E729" s="97">
        <v>21.13</v>
      </c>
      <c r="F729" s="708">
        <v>57.4</v>
      </c>
      <c r="G729" s="708">
        <v>21.8</v>
      </c>
      <c r="H729" s="708">
        <v>27.576000000000001</v>
      </c>
      <c r="I729" s="708">
        <v>0</v>
      </c>
      <c r="J729" s="708">
        <v>0</v>
      </c>
      <c r="K729" s="708">
        <v>2.0099999999999998</v>
      </c>
      <c r="L729" s="709">
        <v>1.78</v>
      </c>
      <c r="M729" s="709">
        <v>11.693</v>
      </c>
      <c r="N729" s="709"/>
    </row>
    <row r="730" spans="1:14" x14ac:dyDescent="0.25">
      <c r="A730" s="93" t="s">
        <v>21</v>
      </c>
      <c r="B730" s="94"/>
      <c r="C730" s="97">
        <v>75</v>
      </c>
      <c r="D730" s="97">
        <f t="shared" ref="D730:I730" si="38">D727-D729</f>
        <v>47.551000000000002</v>
      </c>
      <c r="E730" s="97">
        <f t="shared" si="38"/>
        <v>53.870000000000005</v>
      </c>
      <c r="F730" s="708">
        <f t="shared" si="38"/>
        <v>12.600000000000001</v>
      </c>
      <c r="G730" s="708">
        <f t="shared" si="38"/>
        <v>48.2</v>
      </c>
      <c r="H730" s="708">
        <f t="shared" si="38"/>
        <v>35.024000000000001</v>
      </c>
      <c r="I730" s="708">
        <f t="shared" si="38"/>
        <v>70</v>
      </c>
      <c r="J730" s="708">
        <f>J727-J729</f>
        <v>70</v>
      </c>
      <c r="K730" s="708">
        <f>K727-K729</f>
        <v>67.989999999999995</v>
      </c>
      <c r="L730" s="708">
        <f>L727-L729</f>
        <v>68.22</v>
      </c>
      <c r="M730" s="708">
        <f>M727-M729</f>
        <v>58.307000000000002</v>
      </c>
      <c r="N730" s="708">
        <f>N727-N729</f>
        <v>70</v>
      </c>
    </row>
    <row r="731" spans="1:14" x14ac:dyDescent="0.25">
      <c r="A731" s="126" t="s">
        <v>22</v>
      </c>
      <c r="B731" s="20"/>
      <c r="C731" s="21">
        <v>2017</v>
      </c>
      <c r="D731" s="21">
        <v>2018</v>
      </c>
      <c r="E731" s="21">
        <v>2019</v>
      </c>
      <c r="F731" s="660">
        <v>2020</v>
      </c>
      <c r="G731" s="660">
        <v>2021</v>
      </c>
      <c r="H731" s="660">
        <v>2022</v>
      </c>
      <c r="I731" s="660">
        <v>2023</v>
      </c>
      <c r="J731" s="660">
        <v>2024</v>
      </c>
      <c r="K731" s="660">
        <v>2025</v>
      </c>
      <c r="L731" s="828">
        <v>2026</v>
      </c>
      <c r="M731" s="828">
        <v>2027</v>
      </c>
      <c r="N731" s="828">
        <v>2028</v>
      </c>
    </row>
    <row r="732" spans="1:14" x14ac:dyDescent="0.25">
      <c r="A732" s="126" t="s">
        <v>502</v>
      </c>
      <c r="B732" s="127"/>
      <c r="C732" s="305"/>
      <c r="D732" s="305"/>
      <c r="E732" s="305"/>
      <c r="F732" s="829"/>
      <c r="G732" s="829"/>
      <c r="H732" s="829"/>
      <c r="I732" s="829"/>
      <c r="J732" s="829"/>
      <c r="K732" s="829"/>
      <c r="L732" s="669"/>
      <c r="M732" s="669"/>
      <c r="N732" s="672"/>
    </row>
    <row r="733" spans="1:14" x14ac:dyDescent="0.25">
      <c r="A733" s="306" t="s">
        <v>882</v>
      </c>
      <c r="B733" s="307"/>
      <c r="C733" s="307"/>
      <c r="D733" s="307"/>
      <c r="E733" s="307"/>
      <c r="F733" s="830"/>
      <c r="G733" s="830"/>
      <c r="H733" s="830"/>
      <c r="I733" s="830"/>
      <c r="J733" s="830"/>
      <c r="K733" s="830"/>
      <c r="L733" s="685"/>
      <c r="M733" s="685"/>
      <c r="N733" s="675"/>
    </row>
    <row r="734" spans="1:14" x14ac:dyDescent="0.25">
      <c r="A734" s="183"/>
      <c r="B734" s="183"/>
      <c r="C734" s="183"/>
      <c r="D734" s="183"/>
      <c r="E734" s="183"/>
      <c r="F734" s="761"/>
      <c r="G734" s="761"/>
    </row>
    <row r="735" spans="1:14" x14ac:dyDescent="0.25">
      <c r="A735" s="10" t="s">
        <v>14</v>
      </c>
      <c r="B735" s="11" t="s">
        <v>641</v>
      </c>
      <c r="C735" s="11" t="s">
        <v>152</v>
      </c>
      <c r="D735" s="13"/>
      <c r="E735" s="13"/>
      <c r="F735" s="657"/>
      <c r="G735" s="657"/>
    </row>
    <row r="736" spans="1:14" x14ac:dyDescent="0.25">
      <c r="A736" s="298" t="s">
        <v>16</v>
      </c>
      <c r="B736" s="299"/>
      <c r="C736" s="300">
        <v>2015</v>
      </c>
      <c r="D736" s="300">
        <v>2016</v>
      </c>
      <c r="E736" s="300" t="s">
        <v>242</v>
      </c>
      <c r="F736" s="824" t="s">
        <v>243</v>
      </c>
      <c r="G736" s="824" t="s">
        <v>244</v>
      </c>
      <c r="H736" s="824" t="s">
        <v>286</v>
      </c>
      <c r="I736" s="824" t="s">
        <v>504</v>
      </c>
      <c r="J736" s="824" t="s">
        <v>674</v>
      </c>
      <c r="K736" s="824" t="s">
        <v>822</v>
      </c>
      <c r="L736" s="825" t="s">
        <v>1032</v>
      </c>
      <c r="M736" s="825" t="s">
        <v>1215</v>
      </c>
      <c r="N736" s="825" t="s">
        <v>1246</v>
      </c>
    </row>
    <row r="737" spans="1:16" x14ac:dyDescent="0.25">
      <c r="A737" s="93" t="s">
        <v>17</v>
      </c>
      <c r="B737" s="94"/>
      <c r="C737" s="97">
        <v>125</v>
      </c>
      <c r="D737" s="97">
        <v>125</v>
      </c>
      <c r="E737" s="97">
        <v>125</v>
      </c>
      <c r="F737" s="708">
        <v>125</v>
      </c>
      <c r="G737" s="708">
        <v>125</v>
      </c>
      <c r="H737" s="708">
        <v>125</v>
      </c>
      <c r="I737" s="708">
        <v>125</v>
      </c>
      <c r="J737" s="708">
        <v>125</v>
      </c>
      <c r="K737" s="708">
        <v>125</v>
      </c>
      <c r="L737" s="709">
        <v>125</v>
      </c>
      <c r="M737" s="709">
        <v>125</v>
      </c>
      <c r="N737" s="709">
        <v>125</v>
      </c>
    </row>
    <row r="738" spans="1:16" x14ac:dyDescent="0.25">
      <c r="A738" s="93" t="s">
        <v>18</v>
      </c>
      <c r="B738" s="301"/>
      <c r="C738" s="97">
        <f>C737*1.3</f>
        <v>162.5</v>
      </c>
      <c r="D738" s="97">
        <f>D737*1.3+25</f>
        <v>187.5</v>
      </c>
      <c r="E738" s="97">
        <f>E737*1.3+25</f>
        <v>187.5</v>
      </c>
      <c r="F738" s="708">
        <f>F737*1.2+25</f>
        <v>175</v>
      </c>
      <c r="G738" s="708">
        <f>G737*1.2+25</f>
        <v>175</v>
      </c>
      <c r="H738" s="708">
        <f>H737*1.2+25</f>
        <v>175</v>
      </c>
      <c r="I738" s="708">
        <v>150</v>
      </c>
      <c r="J738" s="708">
        <v>150</v>
      </c>
      <c r="K738" s="708">
        <v>150</v>
      </c>
      <c r="L738" s="709">
        <v>150</v>
      </c>
      <c r="M738" s="709">
        <v>150</v>
      </c>
      <c r="N738" s="709">
        <v>150</v>
      </c>
    </row>
    <row r="739" spans="1:16" x14ac:dyDescent="0.25">
      <c r="A739" s="93" t="s">
        <v>19</v>
      </c>
      <c r="B739" s="302"/>
      <c r="C739" s="303" t="s">
        <v>333</v>
      </c>
      <c r="D739" s="303" t="s">
        <v>334</v>
      </c>
      <c r="E739" s="303" t="s">
        <v>334</v>
      </c>
      <c r="F739" s="826" t="s">
        <v>335</v>
      </c>
      <c r="G739" s="826" t="s">
        <v>335</v>
      </c>
      <c r="H739" s="826" t="s">
        <v>335</v>
      </c>
      <c r="I739" s="826" t="s">
        <v>587</v>
      </c>
      <c r="J739" s="826" t="s">
        <v>587</v>
      </c>
      <c r="K739" s="826" t="s">
        <v>587</v>
      </c>
      <c r="L739" s="709" t="s">
        <v>587</v>
      </c>
      <c r="M739" s="709" t="s">
        <v>587</v>
      </c>
      <c r="N739" s="709" t="s">
        <v>587</v>
      </c>
    </row>
    <row r="740" spans="1:16" x14ac:dyDescent="0.25">
      <c r="A740" s="93" t="s">
        <v>20</v>
      </c>
      <c r="B740" s="94"/>
      <c r="C740" s="97">
        <v>41.9</v>
      </c>
      <c r="D740" s="97">
        <v>25.21</v>
      </c>
      <c r="E740" s="97">
        <v>16.8</v>
      </c>
      <c r="F740" s="708">
        <v>46.8</v>
      </c>
      <c r="G740" s="708">
        <v>101.46</v>
      </c>
      <c r="H740" s="708">
        <v>17.2</v>
      </c>
      <c r="I740" s="708">
        <v>0</v>
      </c>
      <c r="J740" s="708">
        <v>23.78</v>
      </c>
      <c r="K740" s="708">
        <v>2.4434</v>
      </c>
      <c r="L740" s="709">
        <v>65.12</v>
      </c>
      <c r="M740" s="709">
        <v>5.1959999999999997</v>
      </c>
      <c r="N740" s="709"/>
    </row>
    <row r="741" spans="1:16" x14ac:dyDescent="0.25">
      <c r="A741" s="93" t="s">
        <v>21</v>
      </c>
      <c r="B741" s="94"/>
      <c r="C741" s="97">
        <f t="shared" ref="C741:J741" si="39">C738-C740</f>
        <v>120.6</v>
      </c>
      <c r="D741" s="97">
        <f t="shared" si="39"/>
        <v>162.29</v>
      </c>
      <c r="E741" s="97">
        <f t="shared" si="39"/>
        <v>170.7</v>
      </c>
      <c r="F741" s="708">
        <f t="shared" si="39"/>
        <v>128.19999999999999</v>
      </c>
      <c r="G741" s="708">
        <f t="shared" si="39"/>
        <v>73.540000000000006</v>
      </c>
      <c r="H741" s="708">
        <f t="shared" si="39"/>
        <v>157.80000000000001</v>
      </c>
      <c r="I741" s="708">
        <f t="shared" si="39"/>
        <v>150</v>
      </c>
      <c r="J741" s="708">
        <f t="shared" si="39"/>
        <v>126.22</v>
      </c>
      <c r="K741" s="708">
        <f>K738-K740</f>
        <v>147.5566</v>
      </c>
      <c r="L741" s="708">
        <f>L738-L740</f>
        <v>84.88</v>
      </c>
      <c r="M741" s="708">
        <f>M738-M740</f>
        <v>144.804</v>
      </c>
      <c r="N741" s="708">
        <f>N738-N740</f>
        <v>150</v>
      </c>
    </row>
    <row r="742" spans="1:16" x14ac:dyDescent="0.25">
      <c r="A742" s="126" t="s">
        <v>22</v>
      </c>
      <c r="B742" s="20"/>
      <c r="C742" s="21">
        <v>2017</v>
      </c>
      <c r="D742" s="21">
        <v>2018</v>
      </c>
      <c r="E742" s="21">
        <v>2019</v>
      </c>
      <c r="F742" s="660">
        <v>2020</v>
      </c>
      <c r="G742" s="660">
        <v>2021</v>
      </c>
      <c r="H742" s="660">
        <v>2022</v>
      </c>
      <c r="I742" s="660">
        <v>2023</v>
      </c>
      <c r="J742" s="660">
        <v>2024</v>
      </c>
      <c r="K742" s="660">
        <v>2025</v>
      </c>
      <c r="L742" s="828">
        <v>2026</v>
      </c>
      <c r="M742" s="828">
        <v>2027</v>
      </c>
      <c r="N742" s="828">
        <v>2028</v>
      </c>
    </row>
    <row r="743" spans="1:16" ht="12.75" customHeight="1" x14ac:dyDescent="0.25">
      <c r="A743" s="126" t="s">
        <v>331</v>
      </c>
      <c r="B743" s="308"/>
      <c r="C743" s="308"/>
      <c r="D743" s="308"/>
      <c r="E743" s="308"/>
      <c r="F743" s="831"/>
      <c r="G743" s="831"/>
      <c r="H743" s="831"/>
      <c r="I743" s="669"/>
      <c r="J743" s="669"/>
      <c r="K743" s="669"/>
      <c r="L743" s="669"/>
      <c r="M743" s="669"/>
      <c r="N743" s="672"/>
    </row>
    <row r="744" spans="1:16" x14ac:dyDescent="0.25">
      <c r="A744" s="145" t="s">
        <v>332</v>
      </c>
      <c r="B744" s="183"/>
      <c r="C744" s="183"/>
      <c r="D744" s="183"/>
      <c r="E744" s="183"/>
      <c r="F744" s="761"/>
      <c r="G744" s="761"/>
      <c r="N744" s="684"/>
    </row>
    <row r="745" spans="1:16" ht="13.4" customHeight="1" x14ac:dyDescent="0.25">
      <c r="A745" s="146" t="s">
        <v>330</v>
      </c>
      <c r="B745" s="309"/>
      <c r="C745" s="309"/>
      <c r="D745" s="309"/>
      <c r="E745" s="309"/>
      <c r="F745" s="832"/>
      <c r="G745" s="832"/>
      <c r="H745" s="685"/>
      <c r="I745" s="685"/>
      <c r="J745" s="685"/>
      <c r="K745" s="685"/>
      <c r="L745" s="685"/>
      <c r="M745" s="685"/>
      <c r="N745" s="675"/>
    </row>
    <row r="746" spans="1:16" x14ac:dyDescent="0.25">
      <c r="A746" s="183"/>
      <c r="B746" s="183"/>
      <c r="C746" s="183"/>
      <c r="D746" s="183"/>
      <c r="E746" s="183"/>
      <c r="F746" s="761"/>
      <c r="G746" s="761"/>
    </row>
    <row r="747" spans="1:16" x14ac:dyDescent="0.25">
      <c r="A747" s="183"/>
      <c r="B747" s="183"/>
      <c r="C747" s="183"/>
      <c r="D747" s="183"/>
      <c r="E747" s="183"/>
      <c r="F747" s="761"/>
      <c r="G747" s="761"/>
    </row>
    <row r="748" spans="1:16" x14ac:dyDescent="0.25">
      <c r="A748" s="8" t="s">
        <v>12</v>
      </c>
      <c r="B748" s="232" t="s">
        <v>603</v>
      </c>
    </row>
    <row r="749" spans="1:16" x14ac:dyDescent="0.25">
      <c r="A749" s="310" t="s">
        <v>14</v>
      </c>
      <c r="B749" s="311" t="s">
        <v>74</v>
      </c>
      <c r="C749" s="312" t="s">
        <v>152</v>
      </c>
      <c r="D749" s="13"/>
      <c r="E749" s="13"/>
      <c r="F749" s="657"/>
      <c r="G749" s="657"/>
    </row>
    <row r="750" spans="1:16" x14ac:dyDescent="0.25">
      <c r="A750" s="93" t="s">
        <v>16</v>
      </c>
      <c r="B750" s="300">
        <v>2016</v>
      </c>
      <c r="C750" s="300">
        <v>2017</v>
      </c>
      <c r="D750" s="300">
        <v>2018</v>
      </c>
      <c r="E750" s="300">
        <v>2019</v>
      </c>
      <c r="F750" s="824">
        <v>2020</v>
      </c>
      <c r="G750" s="824">
        <v>2021</v>
      </c>
      <c r="H750" s="824">
        <v>2022</v>
      </c>
      <c r="I750" s="824">
        <v>2023</v>
      </c>
      <c r="J750" s="824">
        <v>2024</v>
      </c>
      <c r="K750" s="824">
        <v>2025</v>
      </c>
      <c r="L750" s="824">
        <v>2026</v>
      </c>
      <c r="M750" s="824">
        <v>2027</v>
      </c>
      <c r="N750" s="824">
        <v>2028</v>
      </c>
      <c r="O750" s="824">
        <v>2029</v>
      </c>
      <c r="P750" s="300">
        <v>2030</v>
      </c>
    </row>
    <row r="751" spans="1:16" x14ac:dyDescent="0.25">
      <c r="A751" s="93" t="s">
        <v>17</v>
      </c>
      <c r="B751" s="97">
        <v>10</v>
      </c>
      <c r="C751" s="97">
        <v>10</v>
      </c>
      <c r="D751" s="97">
        <v>10</v>
      </c>
      <c r="E751" s="97">
        <v>10</v>
      </c>
      <c r="F751" s="708">
        <v>10</v>
      </c>
      <c r="G751" s="708">
        <v>10</v>
      </c>
      <c r="H751" s="708">
        <v>10</v>
      </c>
      <c r="I751" s="708">
        <v>10</v>
      </c>
      <c r="J751" s="708">
        <v>10</v>
      </c>
      <c r="K751" s="708">
        <v>10</v>
      </c>
      <c r="L751" s="708">
        <v>10</v>
      </c>
      <c r="M751" s="708">
        <v>10</v>
      </c>
      <c r="N751" s="708">
        <v>10</v>
      </c>
      <c r="O751" s="708">
        <v>10</v>
      </c>
      <c r="P751" s="97">
        <v>10</v>
      </c>
    </row>
    <row r="752" spans="1:16" x14ac:dyDescent="0.25">
      <c r="A752" s="93" t="s">
        <v>18</v>
      </c>
      <c r="B752" s="97"/>
      <c r="C752" s="97"/>
      <c r="D752" s="97">
        <f>C755+D751</f>
        <v>-28</v>
      </c>
      <c r="E752" s="97">
        <f>D755+E751</f>
        <v>-20.3</v>
      </c>
      <c r="F752" s="708">
        <f>E755+F751</f>
        <v>-30.6</v>
      </c>
      <c r="G752" s="708">
        <f>F755+G751</f>
        <v>-20.6</v>
      </c>
      <c r="H752" s="708">
        <f>-2.53+H751</f>
        <v>7.4700000000000006</v>
      </c>
      <c r="I752" s="708">
        <f>-2.5+I751</f>
        <v>7.5</v>
      </c>
      <c r="J752" s="708">
        <f t="shared" ref="J752:P752" si="40">-2.5+J751</f>
        <v>7.5</v>
      </c>
      <c r="K752" s="708">
        <f t="shared" si="40"/>
        <v>7.5</v>
      </c>
      <c r="L752" s="708">
        <f t="shared" si="40"/>
        <v>7.5</v>
      </c>
      <c r="M752" s="708">
        <f t="shared" si="40"/>
        <v>7.5</v>
      </c>
      <c r="N752" s="708">
        <f t="shared" si="40"/>
        <v>7.5</v>
      </c>
      <c r="O752" s="708">
        <f t="shared" si="40"/>
        <v>7.5</v>
      </c>
      <c r="P752" s="97">
        <f t="shared" si="40"/>
        <v>7.5</v>
      </c>
    </row>
    <row r="753" spans="1:16" x14ac:dyDescent="0.25">
      <c r="A753" s="93" t="s">
        <v>19</v>
      </c>
      <c r="B753" s="313"/>
      <c r="C753" s="313"/>
      <c r="D753" s="313"/>
      <c r="E753" s="313"/>
      <c r="F753" s="833"/>
      <c r="G753" s="833"/>
      <c r="H753" s="834" t="s">
        <v>543</v>
      </c>
      <c r="I753" s="834" t="s">
        <v>543</v>
      </c>
      <c r="J753" s="834" t="s">
        <v>543</v>
      </c>
      <c r="K753" s="834" t="s">
        <v>543</v>
      </c>
      <c r="L753" s="834" t="s">
        <v>543</v>
      </c>
      <c r="M753" s="834" t="s">
        <v>543</v>
      </c>
      <c r="N753" s="834" t="s">
        <v>543</v>
      </c>
      <c r="O753" s="834" t="s">
        <v>543</v>
      </c>
      <c r="P753" s="314" t="s">
        <v>543</v>
      </c>
    </row>
    <row r="754" spans="1:16" x14ac:dyDescent="0.25">
      <c r="A754" s="93" t="s">
        <v>20</v>
      </c>
      <c r="B754" s="97">
        <v>0</v>
      </c>
      <c r="C754" s="97">
        <v>48</v>
      </c>
      <c r="D754" s="97">
        <v>2.2999999999999998</v>
      </c>
      <c r="E754" s="97">
        <v>20.3</v>
      </c>
      <c r="F754" s="708">
        <v>0</v>
      </c>
      <c r="G754" s="708">
        <v>1.9330000000000001</v>
      </c>
      <c r="H754" s="708">
        <v>6.29</v>
      </c>
      <c r="I754" s="708">
        <v>0.80700000000000005</v>
      </c>
      <c r="J754" s="708">
        <v>0</v>
      </c>
      <c r="K754" s="708">
        <v>0</v>
      </c>
      <c r="L754" s="708"/>
      <c r="M754" s="708"/>
      <c r="N754" s="708"/>
      <c r="O754" s="708"/>
      <c r="P754" s="97"/>
    </row>
    <row r="755" spans="1:16" x14ac:dyDescent="0.25">
      <c r="A755" s="93" t="s">
        <v>21</v>
      </c>
      <c r="B755" s="97">
        <f>B751-B754</f>
        <v>10</v>
      </c>
      <c r="C755" s="97">
        <f>C751-C754</f>
        <v>-38</v>
      </c>
      <c r="D755" s="97">
        <f t="shared" ref="D755:K755" si="41">D752-D754</f>
        <v>-30.3</v>
      </c>
      <c r="E755" s="97">
        <f t="shared" si="41"/>
        <v>-40.6</v>
      </c>
      <c r="F755" s="708">
        <f t="shared" si="41"/>
        <v>-30.6</v>
      </c>
      <c r="G755" s="708">
        <f t="shared" si="41"/>
        <v>-22.533000000000001</v>
      </c>
      <c r="H755" s="708">
        <f t="shared" si="41"/>
        <v>1.1800000000000006</v>
      </c>
      <c r="I755" s="708">
        <f t="shared" si="41"/>
        <v>6.6929999999999996</v>
      </c>
      <c r="J755" s="708">
        <f t="shared" si="41"/>
        <v>7.5</v>
      </c>
      <c r="K755" s="708">
        <f t="shared" si="41"/>
        <v>7.5</v>
      </c>
      <c r="L755" s="708"/>
      <c r="M755" s="708"/>
      <c r="N755" s="708"/>
      <c r="O755" s="708"/>
      <c r="P755" s="97"/>
    </row>
    <row r="756" spans="1:16" x14ac:dyDescent="0.25">
      <c r="A756" s="102" t="s">
        <v>22</v>
      </c>
      <c r="B756" s="103">
        <v>2017</v>
      </c>
      <c r="C756" s="103">
        <v>2018</v>
      </c>
      <c r="D756" s="103">
        <v>2019</v>
      </c>
      <c r="E756" s="103">
        <v>2020</v>
      </c>
      <c r="F756" s="710">
        <v>2021</v>
      </c>
      <c r="G756" s="710">
        <v>2022</v>
      </c>
      <c r="H756" s="710">
        <v>2023</v>
      </c>
      <c r="I756" s="710">
        <v>2024</v>
      </c>
      <c r="J756" s="710">
        <v>2025</v>
      </c>
      <c r="K756" s="710">
        <v>2026</v>
      </c>
      <c r="L756" s="710">
        <v>2027</v>
      </c>
      <c r="M756" s="710">
        <v>2028</v>
      </c>
      <c r="N756" s="710">
        <v>2029</v>
      </c>
      <c r="O756" s="710">
        <v>2030</v>
      </c>
      <c r="P756" s="103">
        <v>2031</v>
      </c>
    </row>
    <row r="757" spans="1:16" x14ac:dyDescent="0.25">
      <c r="A757" s="102" t="s">
        <v>429</v>
      </c>
      <c r="B757" s="104"/>
      <c r="C757" s="104"/>
      <c r="D757" s="104"/>
      <c r="E757" s="104"/>
      <c r="F757" s="711"/>
      <c r="G757" s="711"/>
      <c r="H757" s="711"/>
      <c r="I757" s="712"/>
      <c r="J757" s="712"/>
      <c r="K757" s="712"/>
      <c r="L757" s="712"/>
      <c r="M757" s="712"/>
      <c r="N757" s="712"/>
      <c r="O757" s="712"/>
      <c r="P757" s="108"/>
    </row>
    <row r="758" spans="1:16" x14ac:dyDescent="0.25">
      <c r="A758" s="315" t="s">
        <v>928</v>
      </c>
      <c r="B758" s="316"/>
      <c r="C758" s="316"/>
      <c r="D758" s="316"/>
      <c r="E758" s="316"/>
      <c r="F758" s="316"/>
      <c r="G758" s="316"/>
      <c r="H758" s="316"/>
      <c r="I758" s="685"/>
      <c r="J758" s="685"/>
      <c r="K758" s="685"/>
      <c r="L758" s="685"/>
      <c r="M758" s="685"/>
      <c r="N758" s="685"/>
      <c r="O758" s="685"/>
      <c r="P758" s="45"/>
    </row>
    <row r="760" spans="1:16" x14ac:dyDescent="0.25">
      <c r="A760" s="183"/>
      <c r="B760" s="183"/>
      <c r="C760" s="183"/>
      <c r="D760" s="183"/>
      <c r="E760" s="183"/>
      <c r="F760" s="761"/>
      <c r="G760" s="761"/>
    </row>
    <row r="761" spans="1:16" x14ac:dyDescent="0.25">
      <c r="A761" s="8" t="s">
        <v>12</v>
      </c>
      <c r="B761" s="232" t="s">
        <v>706</v>
      </c>
    </row>
    <row r="762" spans="1:16" x14ac:dyDescent="0.25">
      <c r="A762" s="138" t="s">
        <v>14</v>
      </c>
      <c r="B762" s="139" t="s">
        <v>1005</v>
      </c>
      <c r="C762" s="11" t="s">
        <v>152</v>
      </c>
      <c r="D762" s="13"/>
      <c r="E762" s="13"/>
      <c r="F762" s="657"/>
      <c r="G762" s="657"/>
    </row>
    <row r="763" spans="1:16" x14ac:dyDescent="0.25">
      <c r="A763" s="298" t="s">
        <v>16</v>
      </c>
      <c r="B763" s="300"/>
      <c r="C763" s="300">
        <v>2022</v>
      </c>
      <c r="D763" s="300">
        <v>2023</v>
      </c>
      <c r="E763" s="300">
        <v>2024</v>
      </c>
      <c r="F763" s="752">
        <v>2025</v>
      </c>
      <c r="G763" s="752">
        <v>2026</v>
      </c>
    </row>
    <row r="764" spans="1:16" x14ac:dyDescent="0.25">
      <c r="A764" s="93" t="s">
        <v>17</v>
      </c>
      <c r="B764" s="97"/>
      <c r="C764" s="97">
        <v>177.27</v>
      </c>
      <c r="D764" s="97">
        <v>150.27000000000001</v>
      </c>
      <c r="E764" s="97">
        <v>150.27000000000001</v>
      </c>
      <c r="F764" s="709">
        <v>150.27000000000001</v>
      </c>
      <c r="G764" s="709">
        <v>150.27000000000001</v>
      </c>
    </row>
    <row r="765" spans="1:16" x14ac:dyDescent="0.25">
      <c r="A765" s="93" t="s">
        <v>18</v>
      </c>
      <c r="B765" s="97"/>
      <c r="C765" s="97"/>
      <c r="D765" s="97"/>
      <c r="E765" s="97">
        <f>E764+D768</f>
        <v>136.54000000000002</v>
      </c>
      <c r="F765" s="506">
        <f>F764+E768</f>
        <v>141.54000000000002</v>
      </c>
      <c r="G765" s="506">
        <f>G764+F768</f>
        <v>147.54000000000002</v>
      </c>
    </row>
    <row r="766" spans="1:16" x14ac:dyDescent="0.25">
      <c r="A766" s="93" t="s">
        <v>19</v>
      </c>
      <c r="B766" s="313"/>
      <c r="C766" s="313"/>
      <c r="D766" s="313"/>
      <c r="E766" s="314" t="s">
        <v>543</v>
      </c>
      <c r="F766" s="834" t="s">
        <v>544</v>
      </c>
      <c r="G766" s="709"/>
    </row>
    <row r="767" spans="1:16" x14ac:dyDescent="0.25">
      <c r="A767" s="93" t="s">
        <v>20</v>
      </c>
      <c r="B767" s="97"/>
      <c r="C767" s="97">
        <v>177</v>
      </c>
      <c r="D767" s="97">
        <v>164</v>
      </c>
      <c r="E767" s="97">
        <v>159</v>
      </c>
      <c r="F767" s="709">
        <v>153</v>
      </c>
      <c r="G767" s="709"/>
    </row>
    <row r="768" spans="1:16" x14ac:dyDescent="0.25">
      <c r="A768" s="93" t="s">
        <v>21</v>
      </c>
      <c r="B768" s="97"/>
      <c r="C768" s="97">
        <f>C764-C767</f>
        <v>0.27000000000001023</v>
      </c>
      <c r="D768" s="97">
        <f>D764-D767</f>
        <v>-13.72999999999999</v>
      </c>
      <c r="E768" s="97">
        <f>E764-E767</f>
        <v>-8.7299999999999898</v>
      </c>
      <c r="F768" s="708">
        <f>F764-F767</f>
        <v>-2.7299999999999898</v>
      </c>
      <c r="G768" s="709"/>
    </row>
    <row r="769" spans="1:12" x14ac:dyDescent="0.25">
      <c r="A769" s="102" t="s">
        <v>22</v>
      </c>
      <c r="B769" s="103"/>
      <c r="C769" s="103"/>
      <c r="D769" s="103">
        <v>2024</v>
      </c>
      <c r="E769" s="103">
        <v>2025</v>
      </c>
      <c r="F769" s="709">
        <v>2026</v>
      </c>
      <c r="G769" s="709">
        <v>2026</v>
      </c>
    </row>
    <row r="770" spans="1:12" ht="13.4" customHeight="1" x14ac:dyDescent="0.25">
      <c r="A770" s="317" t="s">
        <v>23</v>
      </c>
      <c r="B770" s="317"/>
      <c r="C770" s="317"/>
      <c r="D770" s="317"/>
      <c r="E770" s="317"/>
      <c r="F770" s="703"/>
    </row>
    <row r="771" spans="1:12" ht="13.4" customHeight="1" x14ac:dyDescent="0.25">
      <c r="A771" s="126" t="s">
        <v>1265</v>
      </c>
      <c r="B771" s="308"/>
      <c r="C771" s="308"/>
      <c r="D771" s="308"/>
      <c r="E771" s="308"/>
      <c r="F771" s="669"/>
      <c r="G771" s="672"/>
    </row>
    <row r="772" spans="1:12" ht="13.4" customHeight="1" x14ac:dyDescent="0.25">
      <c r="A772" s="318" t="s">
        <v>1311</v>
      </c>
      <c r="B772" s="165"/>
      <c r="C772" s="165"/>
      <c r="D772" s="165"/>
      <c r="E772" s="165"/>
      <c r="G772" s="684"/>
    </row>
    <row r="773" spans="1:12" x14ac:dyDescent="0.25">
      <c r="A773" s="146"/>
      <c r="B773" s="309"/>
      <c r="C773" s="309"/>
      <c r="D773" s="309"/>
      <c r="E773" s="168"/>
      <c r="F773" s="748"/>
      <c r="G773" s="836"/>
      <c r="H773" s="747"/>
    </row>
    <row r="774" spans="1:12" x14ac:dyDescent="0.25">
      <c r="A774" s="146"/>
      <c r="B774" s="309"/>
      <c r="C774" s="309"/>
      <c r="D774" s="183"/>
      <c r="E774" s="165"/>
      <c r="F774" s="747"/>
      <c r="G774" s="747"/>
      <c r="H774" s="747"/>
    </row>
    <row r="775" spans="1:12" x14ac:dyDescent="0.25">
      <c r="A775" s="138" t="s">
        <v>14</v>
      </c>
      <c r="B775" s="139" t="s">
        <v>642</v>
      </c>
      <c r="C775" s="11" t="s">
        <v>152</v>
      </c>
      <c r="D775" s="13"/>
      <c r="E775" s="13"/>
      <c r="F775" s="657"/>
      <c r="G775" s="657"/>
    </row>
    <row r="776" spans="1:12" x14ac:dyDescent="0.25">
      <c r="A776" s="298" t="s">
        <v>16</v>
      </c>
      <c r="B776" s="300"/>
      <c r="C776" s="300">
        <v>2021</v>
      </c>
      <c r="D776" s="300">
        <v>2022</v>
      </c>
      <c r="E776" s="300">
        <v>2023</v>
      </c>
      <c r="F776" s="824">
        <v>2024</v>
      </c>
      <c r="G776" s="824">
        <v>2025</v>
      </c>
      <c r="H776" s="824">
        <v>2026</v>
      </c>
    </row>
    <row r="777" spans="1:12" x14ac:dyDescent="0.25">
      <c r="A777" s="93" t="s">
        <v>17</v>
      </c>
      <c r="B777" s="97"/>
      <c r="C777" s="97">
        <v>330</v>
      </c>
      <c r="D777" s="97">
        <v>330</v>
      </c>
      <c r="E777" s="97">
        <v>513</v>
      </c>
      <c r="F777" s="708">
        <v>513</v>
      </c>
      <c r="G777" s="708">
        <v>513</v>
      </c>
      <c r="H777" s="708">
        <v>549</v>
      </c>
    </row>
    <row r="778" spans="1:12" x14ac:dyDescent="0.25">
      <c r="A778" s="93" t="s">
        <v>18</v>
      </c>
      <c r="B778" s="97"/>
      <c r="C778" s="97"/>
      <c r="D778" s="97">
        <f>D777-259.62</f>
        <v>70.38</v>
      </c>
      <c r="E778" s="97">
        <f>E777-507.87</f>
        <v>5.1299999999999955</v>
      </c>
      <c r="F778" s="708">
        <f>F777-507.87</f>
        <v>5.1299999999999955</v>
      </c>
      <c r="G778" s="708">
        <f>G777+F781-5.325</f>
        <v>507.47999999999996</v>
      </c>
      <c r="H778" s="708">
        <f>H777+G781</f>
        <v>542.34400000000005</v>
      </c>
    </row>
    <row r="779" spans="1:12" x14ac:dyDescent="0.25">
      <c r="A779" s="93" t="s">
        <v>19</v>
      </c>
      <c r="B779" s="313"/>
      <c r="C779" s="313"/>
      <c r="D779" s="313"/>
      <c r="E779" s="313"/>
      <c r="F779" s="833"/>
      <c r="G779" s="837"/>
      <c r="H779" s="837"/>
    </row>
    <row r="780" spans="1:12" x14ac:dyDescent="0.25">
      <c r="A780" s="93" t="s">
        <v>20</v>
      </c>
      <c r="B780" s="97"/>
      <c r="C780" s="97">
        <v>327.60000000000002</v>
      </c>
      <c r="D780" s="97">
        <v>67.08</v>
      </c>
      <c r="E780" s="97">
        <v>0</v>
      </c>
      <c r="F780" s="708">
        <v>5.3250000000000002</v>
      </c>
      <c r="G780" s="708">
        <v>514.13599999999997</v>
      </c>
      <c r="H780" s="708"/>
    </row>
    <row r="781" spans="1:12" x14ac:dyDescent="0.25">
      <c r="A781" s="93" t="s">
        <v>21</v>
      </c>
      <c r="B781" s="97"/>
      <c r="C781" s="97">
        <f>C777-C780</f>
        <v>2.3999999999999773</v>
      </c>
      <c r="D781" s="97">
        <f>D778-D780</f>
        <v>3.2999999999999972</v>
      </c>
      <c r="E781" s="97">
        <f>E778-E780</f>
        <v>5.1299999999999955</v>
      </c>
      <c r="F781" s="708">
        <f>F778-F780</f>
        <v>-0.19500000000000473</v>
      </c>
      <c r="G781" s="708">
        <f>G778-G780</f>
        <v>-6.6560000000000059</v>
      </c>
      <c r="H781" s="708"/>
    </row>
    <row r="782" spans="1:12" x14ac:dyDescent="0.25">
      <c r="A782" s="126" t="s">
        <v>22</v>
      </c>
      <c r="B782" s="20"/>
      <c r="C782" s="20"/>
      <c r="D782" s="20"/>
      <c r="E782" s="20"/>
      <c r="F782" s="659"/>
      <c r="G782" s="659"/>
      <c r="H782" s="659"/>
    </row>
    <row r="783" spans="1:12" ht="13.4" customHeight="1" x14ac:dyDescent="0.25">
      <c r="A783" s="320" t="s">
        <v>23</v>
      </c>
      <c r="B783" s="308"/>
      <c r="C783" s="308"/>
      <c r="D783" s="308"/>
      <c r="E783" s="308"/>
      <c r="F783" s="831"/>
      <c r="G783" s="831"/>
      <c r="H783" s="838"/>
      <c r="I783" s="747"/>
      <c r="J783" s="747"/>
      <c r="K783" s="747"/>
      <c r="L783" s="747"/>
    </row>
    <row r="784" spans="1:12" x14ac:dyDescent="0.25">
      <c r="A784" s="126" t="s">
        <v>660</v>
      </c>
      <c r="B784" s="127"/>
      <c r="C784" s="127"/>
      <c r="D784" s="127"/>
      <c r="E784" s="308"/>
      <c r="F784" s="669"/>
      <c r="G784" s="669"/>
      <c r="H784" s="672"/>
    </row>
    <row r="785" spans="1:8" ht="12.75" customHeight="1" x14ac:dyDescent="0.25">
      <c r="A785" s="128" t="s">
        <v>1004</v>
      </c>
      <c r="B785" s="13"/>
      <c r="C785" s="13"/>
      <c r="D785" s="13"/>
      <c r="E785" s="165"/>
      <c r="H785" s="684"/>
    </row>
    <row r="786" spans="1:8" ht="12.75" customHeight="1" x14ac:dyDescent="0.25">
      <c r="A786" s="128" t="s">
        <v>949</v>
      </c>
      <c r="B786" s="13"/>
      <c r="C786" s="13"/>
      <c r="D786" s="13"/>
      <c r="E786" s="165"/>
      <c r="H786" s="684"/>
    </row>
    <row r="787" spans="1:8" ht="12.75" customHeight="1" x14ac:dyDescent="0.25">
      <c r="A787" s="128" t="s">
        <v>1230</v>
      </c>
      <c r="B787" s="13"/>
      <c r="C787" s="13"/>
      <c r="D787" s="13"/>
      <c r="E787" s="165"/>
      <c r="H787" s="684"/>
    </row>
    <row r="788" spans="1:8" x14ac:dyDescent="0.25">
      <c r="A788" s="321" t="s">
        <v>1312</v>
      </c>
      <c r="B788" s="309"/>
      <c r="C788" s="309"/>
      <c r="D788" s="309"/>
      <c r="E788" s="168"/>
      <c r="F788" s="748"/>
      <c r="G788" s="748"/>
      <c r="H788" s="836"/>
    </row>
    <row r="789" spans="1:8" x14ac:dyDescent="0.25">
      <c r="A789" s="113"/>
      <c r="B789" s="183"/>
      <c r="C789" s="183"/>
      <c r="D789" s="183"/>
      <c r="E789" s="165"/>
      <c r="F789" s="747"/>
      <c r="G789" s="747"/>
      <c r="H789" s="747"/>
    </row>
    <row r="790" spans="1:8" x14ac:dyDescent="0.25">
      <c r="A790" s="322" t="s">
        <v>14</v>
      </c>
      <c r="B790" s="323" t="s">
        <v>1204</v>
      </c>
      <c r="C790" s="11" t="s">
        <v>152</v>
      </c>
      <c r="D790" s="183"/>
      <c r="E790" s="165"/>
      <c r="F790" s="747"/>
      <c r="G790" s="747"/>
      <c r="H790" s="747"/>
    </row>
    <row r="791" spans="1:8" x14ac:dyDescent="0.25">
      <c r="A791" s="298" t="s">
        <v>16</v>
      </c>
      <c r="B791" s="300"/>
      <c r="C791" s="300">
        <v>2022</v>
      </c>
      <c r="D791" s="300">
        <v>2023</v>
      </c>
      <c r="E791" s="300">
        <v>2024</v>
      </c>
      <c r="F791" s="824">
        <v>2025</v>
      </c>
      <c r="G791" s="824">
        <v>2026</v>
      </c>
    </row>
    <row r="792" spans="1:8" x14ac:dyDescent="0.25">
      <c r="A792" s="93" t="s">
        <v>17</v>
      </c>
      <c r="B792" s="97"/>
      <c r="C792" s="324"/>
      <c r="D792" s="324"/>
      <c r="E792" s="325"/>
      <c r="F792" s="840">
        <v>125</v>
      </c>
      <c r="G792" s="840">
        <v>125</v>
      </c>
      <c r="H792" s="747"/>
    </row>
    <row r="793" spans="1:8" x14ac:dyDescent="0.25">
      <c r="A793" s="93" t="s">
        <v>18</v>
      </c>
      <c r="B793" s="97"/>
      <c r="C793" s="324"/>
      <c r="D793" s="326">
        <f>C796</f>
        <v>-6.3249999999999993</v>
      </c>
      <c r="E793" s="326">
        <f>D796</f>
        <v>-79.325000000000003</v>
      </c>
      <c r="F793" s="186">
        <f>E796+125</f>
        <v>-34.649999999999977</v>
      </c>
      <c r="G793" s="186">
        <f>F796+G792</f>
        <v>-43.279999999999973</v>
      </c>
      <c r="H793" s="747"/>
    </row>
    <row r="794" spans="1:8" ht="25" x14ac:dyDescent="0.25">
      <c r="A794" s="93" t="s">
        <v>19</v>
      </c>
      <c r="B794" s="313"/>
      <c r="C794" s="324"/>
      <c r="D794" s="327" t="s">
        <v>1207</v>
      </c>
      <c r="E794" s="327" t="s">
        <v>1206</v>
      </c>
      <c r="F794" s="841" t="s">
        <v>1370</v>
      </c>
      <c r="G794" s="841"/>
      <c r="H794" s="747"/>
    </row>
    <row r="795" spans="1:8" x14ac:dyDescent="0.25">
      <c r="A795" s="93" t="s">
        <v>20</v>
      </c>
      <c r="B795" s="97"/>
      <c r="C795" s="16">
        <v>26</v>
      </c>
      <c r="D795" s="16">
        <v>73</v>
      </c>
      <c r="E795" s="16">
        <v>100</v>
      </c>
      <c r="F795" s="506">
        <v>133.63</v>
      </c>
      <c r="G795" s="506"/>
      <c r="H795" s="747"/>
    </row>
    <row r="796" spans="1:8" x14ac:dyDescent="0.25">
      <c r="A796" s="93" t="s">
        <v>21</v>
      </c>
      <c r="B796" s="97"/>
      <c r="C796" s="16">
        <v>-6.3249999999999993</v>
      </c>
      <c r="D796" s="16">
        <v>-79.325000000000003</v>
      </c>
      <c r="E796" s="16">
        <v>-159.64999999999998</v>
      </c>
      <c r="F796" s="506">
        <f>F793-F795</f>
        <v>-168.27999999999997</v>
      </c>
      <c r="G796" s="840"/>
      <c r="H796" s="747"/>
    </row>
    <row r="797" spans="1:8" x14ac:dyDescent="0.25">
      <c r="A797" s="126" t="s">
        <v>22</v>
      </c>
      <c r="B797" s="20"/>
      <c r="C797" s="328"/>
      <c r="D797" s="328"/>
      <c r="E797" s="317"/>
      <c r="F797" s="835"/>
      <c r="G797" s="835"/>
      <c r="H797" s="747"/>
    </row>
    <row r="798" spans="1:8" x14ac:dyDescent="0.25">
      <c r="A798" s="23" t="s">
        <v>23</v>
      </c>
      <c r="B798" s="24"/>
      <c r="C798" s="25"/>
      <c r="D798" s="25"/>
      <c r="E798" s="24"/>
      <c r="F798" s="662"/>
      <c r="G798" s="843"/>
      <c r="H798" s="747"/>
    </row>
    <row r="799" spans="1:8" x14ac:dyDescent="0.25">
      <c r="A799" s="113"/>
      <c r="B799" s="183"/>
      <c r="C799" s="183"/>
      <c r="D799" s="183"/>
      <c r="E799" s="165"/>
      <c r="F799" s="747"/>
      <c r="G799" s="747"/>
      <c r="H799" s="747"/>
    </row>
    <row r="801" spans="1:10" x14ac:dyDescent="0.25">
      <c r="A801" s="8" t="s">
        <v>12</v>
      </c>
      <c r="B801" s="232" t="s">
        <v>259</v>
      </c>
    </row>
    <row r="802" spans="1:10" x14ac:dyDescent="0.25">
      <c r="A802" s="138" t="s">
        <v>14</v>
      </c>
      <c r="B802" s="139" t="s">
        <v>66</v>
      </c>
      <c r="C802" s="11" t="s">
        <v>152</v>
      </c>
      <c r="D802" s="13"/>
      <c r="E802" s="13"/>
      <c r="F802" s="657"/>
      <c r="G802" s="657"/>
    </row>
    <row r="803" spans="1:10" x14ac:dyDescent="0.25">
      <c r="A803" s="298" t="s">
        <v>16</v>
      </c>
      <c r="B803" s="329" t="s">
        <v>243</v>
      </c>
      <c r="C803" s="300" t="s">
        <v>244</v>
      </c>
      <c r="D803" s="300" t="s">
        <v>286</v>
      </c>
      <c r="E803" s="300" t="s">
        <v>594</v>
      </c>
      <c r="F803" s="824" t="s">
        <v>787</v>
      </c>
      <c r="G803" s="495" t="s">
        <v>1149</v>
      </c>
      <c r="H803" s="495" t="s">
        <v>1150</v>
      </c>
      <c r="I803" s="495" t="s">
        <v>1151</v>
      </c>
      <c r="J803" s="495" t="s">
        <v>1247</v>
      </c>
    </row>
    <row r="804" spans="1:10" x14ac:dyDescent="0.25">
      <c r="A804" s="93" t="s">
        <v>17</v>
      </c>
      <c r="B804" s="97" t="s">
        <v>47</v>
      </c>
      <c r="C804" s="97" t="s">
        <v>47</v>
      </c>
      <c r="D804" s="97">
        <v>1552.77</v>
      </c>
      <c r="E804" s="97">
        <v>1527.9256800000001</v>
      </c>
      <c r="F804" s="708">
        <v>1540.3478400000001</v>
      </c>
      <c r="G804" s="496">
        <v>1540.3478400000001</v>
      </c>
      <c r="H804" s="496">
        <v>1553</v>
      </c>
      <c r="I804" s="496">
        <v>1980</v>
      </c>
      <c r="J804" s="496">
        <v>1980</v>
      </c>
    </row>
    <row r="805" spans="1:10" x14ac:dyDescent="0.25">
      <c r="A805" s="93" t="s">
        <v>18</v>
      </c>
      <c r="B805" s="97" t="s">
        <v>47</v>
      </c>
      <c r="C805" s="97" t="s">
        <v>47</v>
      </c>
      <c r="D805" s="97"/>
      <c r="E805" s="97"/>
      <c r="F805" s="708"/>
      <c r="G805" s="709"/>
      <c r="H805" s="709"/>
      <c r="I805" s="709"/>
      <c r="J805" s="709"/>
    </row>
    <row r="806" spans="1:10" x14ac:dyDescent="0.25">
      <c r="A806" s="93" t="s">
        <v>19</v>
      </c>
      <c r="B806" s="313"/>
      <c r="C806" s="313"/>
      <c r="D806" s="313"/>
      <c r="E806" s="313"/>
      <c r="F806" s="833"/>
      <c r="G806" s="709"/>
      <c r="H806" s="709"/>
      <c r="I806" s="709"/>
      <c r="J806" s="709"/>
    </row>
    <row r="807" spans="1:10" x14ac:dyDescent="0.25">
      <c r="A807" s="93" t="s">
        <v>20</v>
      </c>
      <c r="B807" s="97">
        <v>2633.56</v>
      </c>
      <c r="C807" s="97">
        <v>2463.83</v>
      </c>
      <c r="D807" s="97">
        <v>1518</v>
      </c>
      <c r="E807" s="97">
        <v>1491.84</v>
      </c>
      <c r="F807" s="708">
        <v>1499.98</v>
      </c>
      <c r="G807" s="708">
        <v>1396.63</v>
      </c>
      <c r="H807" s="709">
        <v>1542.47</v>
      </c>
      <c r="I807" s="709">
        <v>1225.6300000000001</v>
      </c>
      <c r="J807" s="709"/>
    </row>
    <row r="808" spans="1:10" x14ac:dyDescent="0.25">
      <c r="A808" s="93" t="s">
        <v>21</v>
      </c>
      <c r="B808" s="97" t="s">
        <v>47</v>
      </c>
      <c r="C808" s="97" t="s">
        <v>47</v>
      </c>
      <c r="D808" s="97">
        <f t="shared" ref="D808:J808" si="42">D804-D807</f>
        <v>34.769999999999982</v>
      </c>
      <c r="E808" s="97">
        <f t="shared" si="42"/>
        <v>36.085680000000139</v>
      </c>
      <c r="F808" s="708">
        <f t="shared" si="42"/>
        <v>40.367840000000115</v>
      </c>
      <c r="G808" s="708">
        <f t="shared" si="42"/>
        <v>143.71784000000002</v>
      </c>
      <c r="H808" s="708">
        <f t="shared" si="42"/>
        <v>10.529999999999973</v>
      </c>
      <c r="I808" s="708">
        <f>I804-I807</f>
        <v>754.36999999999989</v>
      </c>
      <c r="J808" s="708">
        <f t="shared" si="42"/>
        <v>1980</v>
      </c>
    </row>
    <row r="809" spans="1:10" x14ac:dyDescent="0.25">
      <c r="A809" s="126" t="s">
        <v>22</v>
      </c>
      <c r="B809" s="20"/>
      <c r="C809" s="20"/>
      <c r="D809" s="20"/>
      <c r="E809" s="20"/>
      <c r="F809" s="659"/>
      <c r="G809" s="703"/>
      <c r="H809" s="703"/>
      <c r="I809" s="703"/>
      <c r="J809" s="703"/>
    </row>
    <row r="810" spans="1:10" x14ac:dyDescent="0.25">
      <c r="A810" s="330" t="s">
        <v>785</v>
      </c>
      <c r="B810" s="331"/>
      <c r="C810" s="331"/>
      <c r="D810" s="331"/>
      <c r="E810" s="331"/>
      <c r="F810" s="831"/>
      <c r="G810" s="831"/>
      <c r="H810" s="831"/>
      <c r="I810" s="669"/>
      <c r="J810" s="672"/>
    </row>
    <row r="811" spans="1:10" x14ac:dyDescent="0.25">
      <c r="A811" s="64" t="s">
        <v>786</v>
      </c>
      <c r="J811" s="684"/>
    </row>
    <row r="812" spans="1:10" x14ac:dyDescent="0.25">
      <c r="A812" s="72" t="s">
        <v>788</v>
      </c>
      <c r="B812" s="73"/>
      <c r="C812" s="73"/>
      <c r="D812" s="73"/>
      <c r="E812" s="73"/>
      <c r="F812" s="685"/>
      <c r="G812" s="685"/>
      <c r="H812" s="685"/>
      <c r="I812" s="685"/>
      <c r="J812" s="675"/>
    </row>
    <row r="814" spans="1:10" ht="13.4" customHeight="1" x14ac:dyDescent="0.25"/>
    <row r="815" spans="1:10" x14ac:dyDescent="0.25">
      <c r="A815" s="8" t="s">
        <v>12</v>
      </c>
      <c r="B815" s="232" t="s">
        <v>39</v>
      </c>
    </row>
    <row r="816" spans="1:10" x14ac:dyDescent="0.25">
      <c r="A816" s="207" t="s">
        <v>14</v>
      </c>
      <c r="B816" s="332" t="s">
        <v>624</v>
      </c>
      <c r="C816" s="9" t="s">
        <v>15</v>
      </c>
    </row>
    <row r="817" spans="1:15" x14ac:dyDescent="0.25">
      <c r="A817" s="72" t="s">
        <v>16</v>
      </c>
      <c r="B817" s="333">
        <v>2014</v>
      </c>
      <c r="C817" s="210">
        <v>2015</v>
      </c>
      <c r="D817" s="210">
        <v>2016</v>
      </c>
      <c r="E817" s="210">
        <v>2017</v>
      </c>
      <c r="F817" s="770">
        <v>2018</v>
      </c>
      <c r="G817" s="770">
        <v>2019</v>
      </c>
      <c r="H817" s="770">
        <v>2020</v>
      </c>
      <c r="I817" s="770">
        <v>2021</v>
      </c>
      <c r="J817" s="770">
        <v>2022</v>
      </c>
      <c r="K817" s="770">
        <v>2023</v>
      </c>
      <c r="L817" s="770">
        <v>2024</v>
      </c>
      <c r="M817" s="770">
        <v>2025</v>
      </c>
      <c r="N817" s="770">
        <v>2026</v>
      </c>
    </row>
    <row r="818" spans="1:15" x14ac:dyDescent="0.25">
      <c r="A818" s="28" t="s">
        <v>17</v>
      </c>
      <c r="B818" s="334">
        <v>21551.3</v>
      </c>
      <c r="C818" s="334">
        <v>21551.3</v>
      </c>
      <c r="D818" s="334">
        <v>21551.3</v>
      </c>
      <c r="E818" s="334">
        <v>21551.3</v>
      </c>
      <c r="F818" s="844">
        <v>25861.599999999999</v>
      </c>
      <c r="G818" s="844">
        <v>25861.599999999999</v>
      </c>
      <c r="H818" s="844">
        <v>25861.599999999999</v>
      </c>
      <c r="I818" s="47">
        <v>29095.1</v>
      </c>
      <c r="J818" s="47">
        <v>29095.1</v>
      </c>
      <c r="K818" s="47">
        <v>29095.1</v>
      </c>
      <c r="L818" s="47">
        <v>35815.9</v>
      </c>
      <c r="M818" s="47">
        <v>35815.9</v>
      </c>
      <c r="N818" s="47">
        <v>35815.9</v>
      </c>
    </row>
    <row r="819" spans="1:15" x14ac:dyDescent="0.25">
      <c r="A819" s="28" t="s">
        <v>18</v>
      </c>
      <c r="B819" s="334">
        <v>26534.959999999999</v>
      </c>
      <c r="C819" s="334">
        <v>26939.13</v>
      </c>
      <c r="D819" s="334">
        <v>24541.7</v>
      </c>
      <c r="E819" s="334">
        <v>26939.125</v>
      </c>
      <c r="F819" s="844">
        <v>26094.649999999998</v>
      </c>
      <c r="G819" s="844">
        <v>29536.849000000002</v>
      </c>
      <c r="H819" s="844">
        <v>26869.420999999995</v>
      </c>
      <c r="I819" s="47">
        <f>I818+G822-434.04</f>
        <v>28121.021000000001</v>
      </c>
      <c r="J819" s="47">
        <f>J818+H822-0.0152*J818</f>
        <v>29941.571479999991</v>
      </c>
      <c r="K819" s="47">
        <f>K818+I822-0.0152*I818</f>
        <v>30678.782479999994</v>
      </c>
      <c r="L819" s="47">
        <f>L818+J822</f>
        <v>38912.721479999993</v>
      </c>
      <c r="M819" s="47">
        <f>M818+K822</f>
        <v>43134.292479999996</v>
      </c>
      <c r="N819" s="47">
        <f>N818+L822</f>
        <v>54639.011479999994</v>
      </c>
    </row>
    <row r="820" spans="1:15" ht="50" x14ac:dyDescent="0.25">
      <c r="A820" s="28" t="s">
        <v>19</v>
      </c>
      <c r="B820" s="335" t="s">
        <v>40</v>
      </c>
      <c r="C820" s="335" t="s">
        <v>41</v>
      </c>
      <c r="D820" s="335" t="s">
        <v>42</v>
      </c>
      <c r="E820" s="336" t="s">
        <v>43</v>
      </c>
      <c r="F820" s="845" t="s">
        <v>44</v>
      </c>
      <c r="G820" s="845" t="s">
        <v>45</v>
      </c>
      <c r="H820" s="845" t="s">
        <v>46</v>
      </c>
      <c r="I820" s="846" t="s">
        <v>471</v>
      </c>
      <c r="J820" s="846" t="s">
        <v>472</v>
      </c>
      <c r="K820" s="846" t="s">
        <v>634</v>
      </c>
      <c r="L820" s="846" t="s">
        <v>994</v>
      </c>
      <c r="M820" s="846" t="s">
        <v>1105</v>
      </c>
      <c r="N820" s="846" t="s">
        <v>1266</v>
      </c>
    </row>
    <row r="821" spans="1:15" ht="12.65" customHeight="1" x14ac:dyDescent="0.25">
      <c r="A821" s="28" t="s">
        <v>20</v>
      </c>
      <c r="B821" s="30">
        <v>23544.560000000001</v>
      </c>
      <c r="C821" s="30">
        <v>20891.8</v>
      </c>
      <c r="D821" s="30">
        <v>24308.65</v>
      </c>
      <c r="E821" s="30">
        <v>23263.875999999997</v>
      </c>
      <c r="F821" s="47">
        <v>25086.829000000002</v>
      </c>
      <c r="G821" s="47">
        <v>30076.887999999999</v>
      </c>
      <c r="H821" s="47">
        <v>25580.704000000002</v>
      </c>
      <c r="I821" s="47">
        <v>26095.093000000004</v>
      </c>
      <c r="J821" s="47">
        <v>26844.75</v>
      </c>
      <c r="K821" s="47">
        <v>23360.39</v>
      </c>
      <c r="L821" s="47">
        <v>20089.61</v>
      </c>
      <c r="M821" s="47">
        <v>25228.7</v>
      </c>
      <c r="N821" s="47"/>
    </row>
    <row r="822" spans="1:15" x14ac:dyDescent="0.25">
      <c r="A822" s="28" t="s">
        <v>21</v>
      </c>
      <c r="B822" s="30">
        <v>2990.4</v>
      </c>
      <c r="C822" s="30">
        <v>6047.33</v>
      </c>
      <c r="D822" s="30">
        <v>233.04999999999927</v>
      </c>
      <c r="E822" s="30">
        <v>3675.2490000000034</v>
      </c>
      <c r="F822" s="47">
        <v>1007.8209999999963</v>
      </c>
      <c r="G822" s="47">
        <f t="shared" ref="G822:M822" si="43">G819-G821</f>
        <v>-540.03899999999703</v>
      </c>
      <c r="H822" s="47">
        <f t="shared" si="43"/>
        <v>1288.7169999999933</v>
      </c>
      <c r="I822" s="47">
        <f t="shared" si="43"/>
        <v>2025.9279999999962</v>
      </c>
      <c r="J822" s="47">
        <f t="shared" si="43"/>
        <v>3096.8214799999914</v>
      </c>
      <c r="K822" s="47">
        <f t="shared" si="43"/>
        <v>7318.392479999995</v>
      </c>
      <c r="L822" s="47">
        <f t="shared" si="43"/>
        <v>18823.111479999992</v>
      </c>
      <c r="M822" s="47">
        <f t="shared" si="43"/>
        <v>17905.592479999996</v>
      </c>
      <c r="N822" s="47"/>
    </row>
    <row r="823" spans="1:15" x14ac:dyDescent="0.25">
      <c r="A823" s="34" t="s">
        <v>22</v>
      </c>
      <c r="B823" s="215">
        <v>2016</v>
      </c>
      <c r="C823" s="215">
        <v>2017</v>
      </c>
      <c r="D823" s="215">
        <v>2018</v>
      </c>
      <c r="E823" s="215">
        <v>2019</v>
      </c>
      <c r="F823" s="257">
        <v>2020</v>
      </c>
      <c r="G823" s="257">
        <v>2021</v>
      </c>
      <c r="H823" s="257">
        <v>2022</v>
      </c>
      <c r="I823" s="257">
        <v>2023</v>
      </c>
      <c r="J823" s="257">
        <v>2024</v>
      </c>
      <c r="K823" s="257">
        <v>2025</v>
      </c>
      <c r="L823" s="257">
        <v>2026</v>
      </c>
      <c r="M823" s="257">
        <v>2027</v>
      </c>
      <c r="N823" s="257">
        <v>2028</v>
      </c>
    </row>
    <row r="824" spans="1:15" x14ac:dyDescent="0.25">
      <c r="A824" s="36" t="s">
        <v>469</v>
      </c>
      <c r="B824" s="337"/>
      <c r="C824" s="337"/>
      <c r="D824" s="337"/>
      <c r="E824" s="337"/>
      <c r="F824" s="847"/>
      <c r="G824" s="847"/>
      <c r="H824" s="847"/>
      <c r="I824" s="847"/>
      <c r="J824" s="669"/>
      <c r="K824" s="669"/>
      <c r="L824" s="669"/>
      <c r="M824" s="669"/>
      <c r="N824" s="672"/>
    </row>
    <row r="825" spans="1:15" x14ac:dyDescent="0.25">
      <c r="A825" s="64" t="s">
        <v>470</v>
      </c>
      <c r="B825" s="338"/>
      <c r="C825" s="338"/>
      <c r="D825" s="338"/>
      <c r="E825" s="338"/>
      <c r="F825" s="848"/>
      <c r="G825" s="848"/>
      <c r="H825" s="848"/>
      <c r="I825" s="848"/>
      <c r="N825" s="684"/>
    </row>
    <row r="826" spans="1:15" x14ac:dyDescent="0.25">
      <c r="A826" s="64" t="s">
        <v>473</v>
      </c>
      <c r="B826" s="338"/>
      <c r="C826" s="338"/>
      <c r="D826" s="338"/>
      <c r="E826" s="338"/>
      <c r="F826" s="848"/>
      <c r="G826" s="848"/>
      <c r="H826" s="848"/>
      <c r="I826" s="848"/>
      <c r="N826" s="684"/>
    </row>
    <row r="827" spans="1:15" x14ac:dyDescent="0.25">
      <c r="A827" s="64" t="s">
        <v>474</v>
      </c>
      <c r="B827" s="338"/>
      <c r="C827" s="338"/>
      <c r="D827" s="338"/>
      <c r="E827" s="338"/>
      <c r="F827" s="848"/>
      <c r="G827" s="848"/>
      <c r="H827" s="848"/>
      <c r="I827" s="848"/>
      <c r="N827" s="684"/>
    </row>
    <row r="828" spans="1:15" x14ac:dyDescent="0.25">
      <c r="A828" s="72" t="s">
        <v>635</v>
      </c>
      <c r="B828" s="339"/>
      <c r="C828" s="339"/>
      <c r="D828" s="339"/>
      <c r="E828" s="339"/>
      <c r="F828" s="849"/>
      <c r="G828" s="849"/>
      <c r="H828" s="849"/>
      <c r="I828" s="849"/>
      <c r="J828" s="685"/>
      <c r="K828" s="685"/>
      <c r="L828" s="685"/>
      <c r="M828" s="685"/>
      <c r="N828" s="675"/>
    </row>
    <row r="830" spans="1:15" x14ac:dyDescent="0.25">
      <c r="A830" s="8" t="s">
        <v>14</v>
      </c>
      <c r="B830" s="232" t="s">
        <v>638</v>
      </c>
      <c r="C830" s="9" t="s">
        <v>15</v>
      </c>
    </row>
    <row r="831" spans="1:15" x14ac:dyDescent="0.25">
      <c r="A831" s="72" t="s">
        <v>16</v>
      </c>
      <c r="B831" s="333">
        <v>2014</v>
      </c>
      <c r="C831" s="210">
        <v>2015</v>
      </c>
      <c r="D831" s="210">
        <v>2016</v>
      </c>
      <c r="E831" s="210">
        <v>2017</v>
      </c>
      <c r="F831" s="770">
        <v>2018</v>
      </c>
      <c r="G831" s="770">
        <v>2019</v>
      </c>
      <c r="H831" s="770">
        <v>2020</v>
      </c>
      <c r="I831" s="770">
        <v>2021</v>
      </c>
      <c r="J831" s="770">
        <v>2022</v>
      </c>
      <c r="K831" s="770">
        <v>2023</v>
      </c>
      <c r="L831" s="770">
        <v>2024</v>
      </c>
      <c r="M831" s="770">
        <v>2025</v>
      </c>
      <c r="N831" s="770">
        <v>2026</v>
      </c>
      <c r="O831" s="770">
        <v>2027</v>
      </c>
    </row>
    <row r="832" spans="1:15" x14ac:dyDescent="0.25">
      <c r="A832" s="28" t="s">
        <v>17</v>
      </c>
      <c r="B832" s="334">
        <v>1470</v>
      </c>
      <c r="C832" s="334">
        <v>1470</v>
      </c>
      <c r="D832" s="334">
        <v>1470</v>
      </c>
      <c r="E832" s="334">
        <v>1470</v>
      </c>
      <c r="F832" s="844">
        <v>1470</v>
      </c>
      <c r="G832" s="844">
        <v>1470</v>
      </c>
      <c r="H832" s="844">
        <v>1470</v>
      </c>
      <c r="I832" s="47">
        <v>1470</v>
      </c>
      <c r="J832" s="47">
        <v>1470</v>
      </c>
      <c r="K832" s="47">
        <v>1765</v>
      </c>
      <c r="L832" s="47">
        <v>1765</v>
      </c>
      <c r="M832" s="47">
        <v>1765</v>
      </c>
      <c r="N832" s="47">
        <v>1765</v>
      </c>
      <c r="O832" s="47">
        <v>1765</v>
      </c>
    </row>
    <row r="833" spans="1:15" x14ac:dyDescent="0.25">
      <c r="A833" s="28" t="s">
        <v>18</v>
      </c>
      <c r="B833" s="334">
        <v>1470</v>
      </c>
      <c r="C833" s="334">
        <v>1719</v>
      </c>
      <c r="D833" s="334">
        <v>1837.5</v>
      </c>
      <c r="E833" s="334">
        <v>1837.5</v>
      </c>
      <c r="F833" s="844">
        <v>1837.5</v>
      </c>
      <c r="G833" s="844">
        <v>1837.5</v>
      </c>
      <c r="H833" s="844">
        <v>1837.5</v>
      </c>
      <c r="I833" s="844">
        <f>+I832+G832*0.25</f>
        <v>1837.5</v>
      </c>
      <c r="J833" s="844">
        <f>+J832+H832*0.25</f>
        <v>1837.5</v>
      </c>
      <c r="K833" s="844">
        <f>K832+I832*0.25</f>
        <v>2132.5</v>
      </c>
      <c r="L833" s="844">
        <v>2132.5</v>
      </c>
      <c r="M833" s="844">
        <f>M832+0.25*K832</f>
        <v>2206.25</v>
      </c>
      <c r="N833" s="844">
        <f>N832+0.25*L832</f>
        <v>2206.25</v>
      </c>
      <c r="O833" s="844">
        <f>O832+0.25*M832</f>
        <v>2206.25</v>
      </c>
    </row>
    <row r="834" spans="1:15" ht="25" x14ac:dyDescent="0.25">
      <c r="A834" s="28" t="s">
        <v>19</v>
      </c>
      <c r="B834" s="335" t="s">
        <v>47</v>
      </c>
      <c r="C834" s="335" t="s">
        <v>48</v>
      </c>
      <c r="D834" s="335" t="s">
        <v>49</v>
      </c>
      <c r="E834" s="336" t="s">
        <v>43</v>
      </c>
      <c r="F834" s="845" t="s">
        <v>50</v>
      </c>
      <c r="G834" s="845" t="s">
        <v>51</v>
      </c>
      <c r="H834" s="845" t="s">
        <v>52</v>
      </c>
      <c r="I834" s="846" t="s">
        <v>263</v>
      </c>
      <c r="J834" s="846" t="s">
        <v>478</v>
      </c>
      <c r="K834" s="846" t="s">
        <v>710</v>
      </c>
      <c r="L834" s="850" t="s">
        <v>543</v>
      </c>
      <c r="M834" s="846" t="s">
        <v>1090</v>
      </c>
      <c r="N834" s="846" t="s">
        <v>1110</v>
      </c>
      <c r="O834" s="846" t="s">
        <v>1267</v>
      </c>
    </row>
    <row r="835" spans="1:15" x14ac:dyDescent="0.25">
      <c r="A835" s="28" t="s">
        <v>20</v>
      </c>
      <c r="B835" s="30">
        <v>335.36</v>
      </c>
      <c r="C835" s="30">
        <v>472.71</v>
      </c>
      <c r="D835" s="30">
        <v>54.77</v>
      </c>
      <c r="E835" s="30">
        <v>178.2</v>
      </c>
      <c r="F835" s="47">
        <v>102.81099999999999</v>
      </c>
      <c r="G835" s="845">
        <v>81.733813276999982</v>
      </c>
      <c r="H835" s="47">
        <v>60.466000000000008</v>
      </c>
      <c r="I835" s="47">
        <v>70.94</v>
      </c>
      <c r="J835" s="47">
        <v>71.53</v>
      </c>
      <c r="K835" s="47">
        <v>41.71</v>
      </c>
      <c r="L835" s="47">
        <v>66.03</v>
      </c>
      <c r="M835" s="47">
        <v>187.16</v>
      </c>
      <c r="N835" s="47"/>
      <c r="O835" s="47"/>
    </row>
    <row r="836" spans="1:15" x14ac:dyDescent="0.25">
      <c r="A836" s="28" t="s">
        <v>21</v>
      </c>
      <c r="B836" s="30">
        <v>1135</v>
      </c>
      <c r="C836" s="30">
        <v>1246.29</v>
      </c>
      <c r="D836" s="30">
        <v>1782.73</v>
      </c>
      <c r="E836" s="30">
        <v>1659.3</v>
      </c>
      <c r="F836" s="47">
        <v>1734.6890000000001</v>
      </c>
      <c r="G836" s="845">
        <f t="shared" ref="G836:M836" si="44">G833-G835</f>
        <v>1755.7661867229999</v>
      </c>
      <c r="H836" s="47">
        <f t="shared" si="44"/>
        <v>1777.0340000000001</v>
      </c>
      <c r="I836" s="47">
        <f t="shared" si="44"/>
        <v>1766.56</v>
      </c>
      <c r="J836" s="47">
        <f t="shared" si="44"/>
        <v>1765.97</v>
      </c>
      <c r="K836" s="47">
        <f t="shared" si="44"/>
        <v>2090.79</v>
      </c>
      <c r="L836" s="47">
        <f t="shared" si="44"/>
        <v>2066.4699999999998</v>
      </c>
      <c r="M836" s="47">
        <f t="shared" si="44"/>
        <v>2019.09</v>
      </c>
      <c r="N836" s="47"/>
      <c r="O836" s="47"/>
    </row>
    <row r="837" spans="1:15" x14ac:dyDescent="0.25">
      <c r="A837" s="34" t="s">
        <v>22</v>
      </c>
      <c r="B837" s="215">
        <v>2016</v>
      </c>
      <c r="C837" s="215">
        <v>2017</v>
      </c>
      <c r="D837" s="215">
        <v>2018</v>
      </c>
      <c r="E837" s="215">
        <v>2019</v>
      </c>
      <c r="F837" s="257">
        <v>2020</v>
      </c>
      <c r="G837" s="257">
        <v>2021</v>
      </c>
      <c r="H837" s="257">
        <v>2022</v>
      </c>
      <c r="I837" s="257">
        <v>2023</v>
      </c>
      <c r="J837" s="257">
        <v>2024</v>
      </c>
      <c r="K837" s="257">
        <v>2025</v>
      </c>
      <c r="L837" s="257">
        <v>2026</v>
      </c>
      <c r="M837" s="257">
        <v>2027</v>
      </c>
      <c r="N837" s="257">
        <v>2028</v>
      </c>
      <c r="O837" s="257">
        <v>2029</v>
      </c>
    </row>
    <row r="838" spans="1:15" x14ac:dyDescent="0.25">
      <c r="A838" s="36" t="s">
        <v>476</v>
      </c>
      <c r="B838" s="337"/>
      <c r="C838" s="337"/>
      <c r="D838" s="337"/>
      <c r="E838" s="337"/>
      <c r="F838" s="847"/>
      <c r="G838" s="847"/>
      <c r="H838" s="847"/>
      <c r="I838" s="847"/>
      <c r="J838" s="669"/>
      <c r="K838" s="669"/>
      <c r="L838" s="669"/>
      <c r="M838" s="669"/>
      <c r="N838" s="669"/>
      <c r="O838" s="672"/>
    </row>
    <row r="839" spans="1:15" x14ac:dyDescent="0.25">
      <c r="A839" s="64" t="s">
        <v>475</v>
      </c>
      <c r="O839" s="684"/>
    </row>
    <row r="840" spans="1:15" x14ac:dyDescent="0.25">
      <c r="A840" s="64" t="s">
        <v>477</v>
      </c>
      <c r="O840" s="684"/>
    </row>
    <row r="841" spans="1:15" x14ac:dyDescent="0.25">
      <c r="A841" s="64" t="s">
        <v>711</v>
      </c>
      <c r="O841" s="684"/>
    </row>
    <row r="842" spans="1:15" x14ac:dyDescent="0.25">
      <c r="A842" s="64" t="s">
        <v>1018</v>
      </c>
      <c r="O842" s="684"/>
    </row>
    <row r="843" spans="1:15" x14ac:dyDescent="0.25">
      <c r="A843" s="64" t="s">
        <v>1091</v>
      </c>
      <c r="O843" s="684"/>
    </row>
    <row r="844" spans="1:15" x14ac:dyDescent="0.25">
      <c r="A844" s="72" t="s">
        <v>1224</v>
      </c>
      <c r="B844" s="73"/>
      <c r="C844" s="73"/>
      <c r="D844" s="73"/>
      <c r="E844" s="73"/>
      <c r="F844" s="685"/>
      <c r="G844" s="685"/>
      <c r="H844" s="685"/>
      <c r="I844" s="685"/>
      <c r="J844" s="685"/>
      <c r="K844" s="685"/>
      <c r="L844" s="685"/>
      <c r="M844" s="685"/>
      <c r="N844" s="685"/>
      <c r="O844" s="675"/>
    </row>
    <row r="846" spans="1:15" x14ac:dyDescent="0.25">
      <c r="A846" s="8" t="s">
        <v>14</v>
      </c>
      <c r="B846" s="232" t="s">
        <v>623</v>
      </c>
      <c r="C846" s="9" t="s">
        <v>15</v>
      </c>
    </row>
    <row r="847" spans="1:15" x14ac:dyDescent="0.25">
      <c r="A847" s="72" t="s">
        <v>16</v>
      </c>
      <c r="B847" s="333">
        <v>2014</v>
      </c>
      <c r="C847" s="210">
        <v>2015</v>
      </c>
      <c r="D847" s="210">
        <v>2016</v>
      </c>
      <c r="E847" s="210">
        <v>2017</v>
      </c>
      <c r="F847" s="770">
        <v>2018</v>
      </c>
      <c r="G847" s="770">
        <v>2019</v>
      </c>
      <c r="H847" s="770">
        <v>2020</v>
      </c>
      <c r="I847" s="770">
        <v>2021</v>
      </c>
      <c r="J847" s="770">
        <v>2022</v>
      </c>
      <c r="K847" s="770">
        <v>2023</v>
      </c>
      <c r="L847" s="770">
        <v>2024</v>
      </c>
      <c r="M847" s="825">
        <v>2025</v>
      </c>
      <c r="N847" s="825">
        <v>2026</v>
      </c>
    </row>
    <row r="848" spans="1:15" x14ac:dyDescent="0.25">
      <c r="A848" s="28" t="s">
        <v>17</v>
      </c>
      <c r="B848" s="334">
        <v>6718</v>
      </c>
      <c r="C848" s="334">
        <v>6718</v>
      </c>
      <c r="D848" s="334">
        <v>6718</v>
      </c>
      <c r="E848" s="334">
        <v>6718</v>
      </c>
      <c r="F848" s="844">
        <v>6718</v>
      </c>
      <c r="G848" s="844">
        <v>6718</v>
      </c>
      <c r="H848" s="844">
        <v>6718</v>
      </c>
      <c r="I848" s="47">
        <v>6718</v>
      </c>
      <c r="J848" s="47">
        <v>6718</v>
      </c>
      <c r="K848" s="47">
        <v>6717.33</v>
      </c>
      <c r="L848" s="47">
        <v>6717.33</v>
      </c>
      <c r="M848" s="709">
        <v>7408.33</v>
      </c>
      <c r="N848" s="709">
        <v>7408.33</v>
      </c>
    </row>
    <row r="849" spans="1:15" x14ac:dyDescent="0.25">
      <c r="A849" s="28" t="s">
        <v>18</v>
      </c>
      <c r="B849" s="334">
        <v>7887.5</v>
      </c>
      <c r="C849" s="334">
        <v>7897.5</v>
      </c>
      <c r="D849" s="334">
        <v>7390.7</v>
      </c>
      <c r="E849" s="334">
        <v>7425.7</v>
      </c>
      <c r="F849" s="844">
        <v>7385.7</v>
      </c>
      <c r="G849" s="844">
        <v>7385.7</v>
      </c>
      <c r="H849" s="844">
        <f>H848+F848*0.15-100-40</f>
        <v>7585.7</v>
      </c>
      <c r="I849" s="844">
        <f>I848+0.15*G848-40-200-0.67</f>
        <v>7485.03</v>
      </c>
      <c r="J849" s="844">
        <f>J848+0.15*H848-40-250-0.0001*J848</f>
        <v>7435.0281999999997</v>
      </c>
      <c r="K849" s="844">
        <f>K848+0.15*I848-327</f>
        <v>7398.03</v>
      </c>
      <c r="L849" s="844">
        <f>L848+0.15*J848-280-40</f>
        <v>7405.03</v>
      </c>
      <c r="M849" s="709">
        <v>7302.37</v>
      </c>
      <c r="N849" s="844">
        <f>N848+0.15*L848-260</f>
        <v>8155.9295000000002</v>
      </c>
    </row>
    <row r="850" spans="1:15" ht="37.5" x14ac:dyDescent="0.25">
      <c r="A850" s="28" t="s">
        <v>19</v>
      </c>
      <c r="B850" s="335" t="s">
        <v>53</v>
      </c>
      <c r="C850" s="335" t="s">
        <v>54</v>
      </c>
      <c r="D850" s="335" t="s">
        <v>55</v>
      </c>
      <c r="E850" s="336" t="s">
        <v>56</v>
      </c>
      <c r="F850" s="845" t="s">
        <v>57</v>
      </c>
      <c r="G850" s="845" t="s">
        <v>58</v>
      </c>
      <c r="H850" s="845" t="s">
        <v>517</v>
      </c>
      <c r="I850" s="851" t="s">
        <v>518</v>
      </c>
      <c r="J850" s="851" t="s">
        <v>637</v>
      </c>
      <c r="K850" s="851" t="s">
        <v>995</v>
      </c>
      <c r="L850" s="851" t="s">
        <v>1152</v>
      </c>
      <c r="M850" s="852" t="s">
        <v>1153</v>
      </c>
      <c r="N850" s="852" t="s">
        <v>1268</v>
      </c>
    </row>
    <row r="851" spans="1:15" s="79" customFormat="1" x14ac:dyDescent="0.25">
      <c r="A851" s="341" t="s">
        <v>20</v>
      </c>
      <c r="B851" s="30">
        <v>5020.43</v>
      </c>
      <c r="C851" s="30">
        <v>5449.08</v>
      </c>
      <c r="D851" s="30">
        <v>5765.63</v>
      </c>
      <c r="E851" s="30">
        <v>5573.6610000000001</v>
      </c>
      <c r="F851" s="47">
        <v>4966.4159999999993</v>
      </c>
      <c r="G851" s="47">
        <v>5740.2240000000002</v>
      </c>
      <c r="H851" s="47">
        <v>5960.2599999999993</v>
      </c>
      <c r="I851" s="47">
        <v>5522.9264400000002</v>
      </c>
      <c r="J851" s="47">
        <v>5527.68</v>
      </c>
      <c r="K851" s="47">
        <v>7263.99</v>
      </c>
      <c r="L851" s="47">
        <v>6685.085</v>
      </c>
      <c r="M851" s="496">
        <v>6098.98</v>
      </c>
      <c r="N851" s="496"/>
      <c r="O851" s="692"/>
    </row>
    <row r="852" spans="1:15" x14ac:dyDescent="0.25">
      <c r="A852" s="28" t="s">
        <v>21</v>
      </c>
      <c r="B852" s="30">
        <v>2867.0699999999997</v>
      </c>
      <c r="C852" s="30">
        <v>2448.42</v>
      </c>
      <c r="D852" s="30">
        <v>1625.0699999999997</v>
      </c>
      <c r="E852" s="30">
        <v>1852.039</v>
      </c>
      <c r="F852" s="47">
        <v>2419.2840000000006</v>
      </c>
      <c r="G852" s="47">
        <v>1645.4759999999997</v>
      </c>
      <c r="H852" s="47">
        <f t="shared" ref="H852:M852" si="45">H849-H851</f>
        <v>1625.4400000000005</v>
      </c>
      <c r="I852" s="47">
        <f t="shared" si="45"/>
        <v>1962.1035599999996</v>
      </c>
      <c r="J852" s="47">
        <f t="shared" si="45"/>
        <v>1907.3481999999995</v>
      </c>
      <c r="K852" s="47">
        <f t="shared" si="45"/>
        <v>134.03999999999996</v>
      </c>
      <c r="L852" s="47">
        <f t="shared" si="45"/>
        <v>719.94499999999971</v>
      </c>
      <c r="M852" s="47">
        <f t="shared" si="45"/>
        <v>1203.3900000000003</v>
      </c>
      <c r="N852" s="709"/>
    </row>
    <row r="853" spans="1:15" x14ac:dyDescent="0.25">
      <c r="A853" s="36" t="s">
        <v>22</v>
      </c>
      <c r="B853" s="237">
        <v>2016</v>
      </c>
      <c r="C853" s="237">
        <v>2017</v>
      </c>
      <c r="D853" s="237">
        <v>2018</v>
      </c>
      <c r="E853" s="237">
        <v>2019</v>
      </c>
      <c r="F853" s="498">
        <v>2020</v>
      </c>
      <c r="G853" s="498">
        <v>2021</v>
      </c>
      <c r="H853" s="498">
        <v>2022</v>
      </c>
      <c r="I853" s="498">
        <v>2023</v>
      </c>
      <c r="J853" s="498">
        <v>2024</v>
      </c>
      <c r="K853" s="498">
        <v>2025</v>
      </c>
      <c r="L853" s="498">
        <v>2026</v>
      </c>
      <c r="M853" s="703">
        <v>2027</v>
      </c>
      <c r="N853" s="703">
        <v>2028</v>
      </c>
    </row>
    <row r="854" spans="1:15" x14ac:dyDescent="0.25">
      <c r="A854" s="36" t="s">
        <v>479</v>
      </c>
      <c r="B854" s="39"/>
      <c r="C854" s="39"/>
      <c r="D854" s="39"/>
      <c r="E854" s="39"/>
      <c r="F854" s="671"/>
      <c r="G854" s="671"/>
      <c r="H854" s="671"/>
      <c r="I854" s="671"/>
      <c r="J854" s="669"/>
      <c r="K854" s="669"/>
      <c r="L854" s="669"/>
      <c r="M854" s="669"/>
      <c r="N854" s="672"/>
    </row>
    <row r="855" spans="1:15" x14ac:dyDescent="0.25">
      <c r="A855" s="64" t="s">
        <v>519</v>
      </c>
      <c r="B855" s="5"/>
      <c r="C855" s="5"/>
      <c r="D855" s="5"/>
      <c r="E855" s="5"/>
      <c r="F855" s="654"/>
      <c r="G855" s="654"/>
      <c r="H855" s="654"/>
      <c r="I855" s="654"/>
      <c r="M855" s="692"/>
      <c r="N855" s="684"/>
    </row>
    <row r="856" spans="1:15" x14ac:dyDescent="0.25">
      <c r="A856" s="64" t="s">
        <v>480</v>
      </c>
      <c r="B856" s="5"/>
      <c r="C856" s="5"/>
      <c r="D856" s="5"/>
      <c r="E856" s="5"/>
      <c r="F856" s="654"/>
      <c r="G856" s="654"/>
      <c r="H856" s="654"/>
      <c r="I856" s="654"/>
      <c r="N856" s="684"/>
    </row>
    <row r="857" spans="1:15" x14ac:dyDescent="0.25">
      <c r="A857" s="64" t="s">
        <v>520</v>
      </c>
      <c r="B857" s="5"/>
      <c r="C857" s="5"/>
      <c r="D857" s="5"/>
      <c r="E857" s="5"/>
      <c r="F857" s="654"/>
      <c r="G857" s="654"/>
      <c r="H857" s="654"/>
      <c r="I857" s="654"/>
      <c r="N857" s="684"/>
    </row>
    <row r="858" spans="1:15" x14ac:dyDescent="0.25">
      <c r="A858" s="64" t="s">
        <v>481</v>
      </c>
      <c r="B858" s="5"/>
      <c r="C858" s="5"/>
      <c r="D858" s="5"/>
      <c r="E858" s="5"/>
      <c r="F858" s="654"/>
      <c r="G858" s="654"/>
      <c r="H858" s="654"/>
      <c r="I858" s="654"/>
      <c r="N858" s="684"/>
    </row>
    <row r="859" spans="1:15" x14ac:dyDescent="0.25">
      <c r="A859" s="64" t="s">
        <v>483</v>
      </c>
      <c r="B859" s="5"/>
      <c r="C859" s="5"/>
      <c r="D859" s="5"/>
      <c r="E859" s="5"/>
      <c r="F859" s="654"/>
      <c r="G859" s="654"/>
      <c r="H859" s="654"/>
      <c r="I859" s="654"/>
      <c r="N859" s="684"/>
    </row>
    <row r="860" spans="1:15" x14ac:dyDescent="0.25">
      <c r="A860" s="64" t="s">
        <v>482</v>
      </c>
      <c r="B860" s="5"/>
      <c r="C860" s="5"/>
      <c r="D860" s="5"/>
      <c r="E860" s="5"/>
      <c r="F860" s="654"/>
      <c r="G860" s="654"/>
      <c r="H860" s="654"/>
      <c r="I860" s="654"/>
      <c r="N860" s="684"/>
    </row>
    <row r="861" spans="1:15" ht="44.25" customHeight="1" x14ac:dyDescent="0.25">
      <c r="A861" s="240" t="s">
        <v>636</v>
      </c>
      <c r="B861" s="241"/>
      <c r="C861" s="241"/>
      <c r="D861" s="241"/>
      <c r="E861" s="241"/>
      <c r="F861" s="241"/>
      <c r="G861" s="241"/>
      <c r="H861" s="241"/>
      <c r="I861" s="241"/>
      <c r="J861" s="241"/>
      <c r="K861" s="241"/>
      <c r="L861" s="241"/>
      <c r="N861" s="684"/>
    </row>
    <row r="862" spans="1:15" x14ac:dyDescent="0.25">
      <c r="A862" s="219" t="s">
        <v>993</v>
      </c>
      <c r="B862" s="246"/>
      <c r="C862" s="246"/>
      <c r="D862" s="246"/>
      <c r="E862" s="246"/>
      <c r="F862" s="377"/>
      <c r="G862" s="377"/>
      <c r="H862" s="377"/>
      <c r="I862" s="377"/>
      <c r="J862" s="377"/>
      <c r="N862" s="684"/>
    </row>
    <row r="863" spans="1:15" x14ac:dyDescent="0.25">
      <c r="A863" s="342" t="s">
        <v>996</v>
      </c>
      <c r="B863" s="343"/>
      <c r="C863" s="343"/>
      <c r="D863" s="343"/>
      <c r="E863" s="343"/>
      <c r="F863" s="853"/>
      <c r="G863" s="853"/>
      <c r="H863" s="853"/>
      <c r="I863" s="853"/>
      <c r="J863" s="685"/>
      <c r="K863" s="685"/>
      <c r="L863" s="685"/>
      <c r="M863" s="685"/>
      <c r="N863" s="675"/>
    </row>
    <row r="865" spans="1:15" x14ac:dyDescent="0.25">
      <c r="A865" s="8" t="s">
        <v>14</v>
      </c>
      <c r="B865" s="232" t="s">
        <v>641</v>
      </c>
      <c r="C865" s="9" t="s">
        <v>15</v>
      </c>
    </row>
    <row r="866" spans="1:15" x14ac:dyDescent="0.25">
      <c r="A866" s="72" t="s">
        <v>16</v>
      </c>
      <c r="B866" s="333">
        <v>2014</v>
      </c>
      <c r="C866" s="210">
        <v>2015</v>
      </c>
      <c r="D866" s="210">
        <v>2016</v>
      </c>
      <c r="E866" s="210">
        <v>2017</v>
      </c>
      <c r="F866" s="770">
        <v>2018</v>
      </c>
      <c r="G866" s="770">
        <v>2019</v>
      </c>
      <c r="H866" s="770">
        <v>2020</v>
      </c>
      <c r="I866" s="770">
        <v>2021</v>
      </c>
      <c r="J866" s="770">
        <v>2022</v>
      </c>
      <c r="K866" s="770">
        <v>2023</v>
      </c>
      <c r="L866" s="770">
        <v>2024</v>
      </c>
      <c r="M866" s="770">
        <v>2025</v>
      </c>
      <c r="N866" s="770">
        <v>2026</v>
      </c>
    </row>
    <row r="867" spans="1:15" x14ac:dyDescent="0.25">
      <c r="A867" s="28" t="s">
        <v>17</v>
      </c>
      <c r="B867" s="334">
        <v>4824</v>
      </c>
      <c r="C867" s="334">
        <v>4824</v>
      </c>
      <c r="D867" s="334">
        <v>4824</v>
      </c>
      <c r="E867" s="334">
        <v>4824</v>
      </c>
      <c r="F867" s="844">
        <v>4824</v>
      </c>
      <c r="G867" s="844">
        <v>4824</v>
      </c>
      <c r="H867" s="844">
        <v>4824</v>
      </c>
      <c r="I867" s="844">
        <v>4824</v>
      </c>
      <c r="J867" s="844">
        <v>4824</v>
      </c>
      <c r="K867" s="844">
        <v>4824</v>
      </c>
      <c r="L867" s="844">
        <v>4824</v>
      </c>
      <c r="M867" s="854">
        <v>4824</v>
      </c>
      <c r="N867" s="854">
        <v>4824</v>
      </c>
    </row>
    <row r="868" spans="1:15" x14ac:dyDescent="0.25">
      <c r="A868" s="28" t="s">
        <v>18</v>
      </c>
      <c r="B868" s="334">
        <v>5141.7</v>
      </c>
      <c r="C868" s="334">
        <v>5695.4</v>
      </c>
      <c r="D868" s="334">
        <v>5601.06</v>
      </c>
      <c r="E868" s="334">
        <v>5224.38</v>
      </c>
      <c r="F868" s="844">
        <v>4963.5200000000004</v>
      </c>
      <c r="G868" s="844">
        <v>4928.1499999999996</v>
      </c>
      <c r="H868" s="844">
        <v>5011.2030000000004</v>
      </c>
      <c r="I868" s="844">
        <f>I867+G871</f>
        <v>5243.19</v>
      </c>
      <c r="J868" s="844">
        <f>J867+H871</f>
        <v>5085.0014400000018</v>
      </c>
      <c r="K868" s="844">
        <f>K867+0.1*I867</f>
        <v>5306.4</v>
      </c>
      <c r="L868" s="844">
        <f>L867+0.1*J867</f>
        <v>5306.4</v>
      </c>
      <c r="M868" s="854">
        <f>K871+M867</f>
        <v>4852.4709999999995</v>
      </c>
      <c r="N868" s="854">
        <f>L871+N867</f>
        <v>5307.2819999999992</v>
      </c>
    </row>
    <row r="869" spans="1:15" ht="25" x14ac:dyDescent="0.25">
      <c r="A869" s="28" t="s">
        <v>19</v>
      </c>
      <c r="B869" s="335" t="s">
        <v>59</v>
      </c>
      <c r="C869" s="335" t="s">
        <v>60</v>
      </c>
      <c r="D869" s="335" t="s">
        <v>61</v>
      </c>
      <c r="E869" s="344" t="s">
        <v>62</v>
      </c>
      <c r="F869" s="855" t="s">
        <v>63</v>
      </c>
      <c r="G869" s="855" t="s">
        <v>64</v>
      </c>
      <c r="H869" s="855" t="s">
        <v>65</v>
      </c>
      <c r="I869" s="797" t="s">
        <v>264</v>
      </c>
      <c r="J869" s="797" t="s">
        <v>487</v>
      </c>
      <c r="K869" s="797" t="s">
        <v>878</v>
      </c>
      <c r="L869" s="797" t="s">
        <v>998</v>
      </c>
      <c r="M869" s="856" t="s">
        <v>1154</v>
      </c>
      <c r="N869" s="856" t="s">
        <v>1269</v>
      </c>
    </row>
    <row r="870" spans="1:15" s="79" customFormat="1" x14ac:dyDescent="0.25">
      <c r="A870" s="341" t="s">
        <v>20</v>
      </c>
      <c r="B870" s="30">
        <v>4364.6400000000003</v>
      </c>
      <c r="C870" s="30">
        <v>5295.02</v>
      </c>
      <c r="D870" s="30">
        <v>5461.54</v>
      </c>
      <c r="E870" s="30">
        <v>5120.2</v>
      </c>
      <c r="F870" s="47">
        <v>4776.317</v>
      </c>
      <c r="G870" s="47">
        <v>4508.96</v>
      </c>
      <c r="H870" s="47">
        <v>4750.2015599999986</v>
      </c>
      <c r="I870" s="47">
        <v>4695.1249299999999</v>
      </c>
      <c r="J870" s="47">
        <v>3802.12</v>
      </c>
      <c r="K870" s="47">
        <v>5277.9290000000001</v>
      </c>
      <c r="L870" s="47">
        <v>4823.1180000000004</v>
      </c>
      <c r="M870" s="857">
        <v>4472.4440000000004</v>
      </c>
      <c r="N870" s="857"/>
      <c r="O870" s="692"/>
    </row>
    <row r="871" spans="1:15" x14ac:dyDescent="0.25">
      <c r="A871" s="28" t="s">
        <v>21</v>
      </c>
      <c r="B871" s="30">
        <v>777.06</v>
      </c>
      <c r="C871" s="30">
        <v>400.38</v>
      </c>
      <c r="D871" s="30">
        <v>139.52000000000001</v>
      </c>
      <c r="E871" s="30">
        <v>104.2</v>
      </c>
      <c r="F871" s="47">
        <v>187.20300000000043</v>
      </c>
      <c r="G871" s="47">
        <v>419.1899999999996</v>
      </c>
      <c r="H871" s="47">
        <v>261.00144000000182</v>
      </c>
      <c r="I871" s="47">
        <f>I868-I870</f>
        <v>548.06506999999965</v>
      </c>
      <c r="J871" s="47">
        <f>J868-J870</f>
        <v>1282.8814400000019</v>
      </c>
      <c r="K871" s="47">
        <f>K868-K870</f>
        <v>28.470999999999549</v>
      </c>
      <c r="L871" s="47">
        <f>L868-L870</f>
        <v>483.28199999999924</v>
      </c>
      <c r="M871" s="47">
        <f>M868-M870</f>
        <v>380.02699999999913</v>
      </c>
      <c r="N871" s="858"/>
    </row>
    <row r="872" spans="1:15" x14ac:dyDescent="0.25">
      <c r="A872" s="34" t="s">
        <v>22</v>
      </c>
      <c r="B872" s="215">
        <v>2016</v>
      </c>
      <c r="C872" s="215">
        <v>2017</v>
      </c>
      <c r="D872" s="215">
        <v>2018</v>
      </c>
      <c r="E872" s="215">
        <v>2019</v>
      </c>
      <c r="F872" s="257">
        <v>2020</v>
      </c>
      <c r="G872" s="257">
        <v>2021</v>
      </c>
      <c r="H872" s="257">
        <v>2022</v>
      </c>
      <c r="I872" s="257">
        <v>2023</v>
      </c>
      <c r="J872" s="257">
        <v>2024</v>
      </c>
      <c r="K872" s="257">
        <v>2025</v>
      </c>
      <c r="L872" s="257">
        <v>2026</v>
      </c>
      <c r="M872" s="859">
        <v>2027</v>
      </c>
      <c r="N872" s="859">
        <v>2028</v>
      </c>
    </row>
    <row r="873" spans="1:15" x14ac:dyDescent="0.25">
      <c r="A873" s="36" t="s">
        <v>484</v>
      </c>
      <c r="B873" s="337"/>
      <c r="C873" s="337"/>
      <c r="D873" s="337"/>
      <c r="E873" s="337"/>
      <c r="F873" s="847"/>
      <c r="G873" s="847"/>
      <c r="H873" s="847"/>
      <c r="I873" s="847"/>
      <c r="J873" s="669"/>
      <c r="K873" s="669"/>
      <c r="L873" s="669"/>
      <c r="M873" s="669"/>
      <c r="N873" s="672"/>
    </row>
    <row r="874" spans="1:15" x14ac:dyDescent="0.25">
      <c r="A874" s="64" t="s">
        <v>485</v>
      </c>
      <c r="B874" s="338"/>
      <c r="C874" s="338"/>
      <c r="D874" s="338"/>
      <c r="E874" s="338"/>
      <c r="F874" s="848"/>
      <c r="G874" s="848"/>
      <c r="H874" s="848"/>
      <c r="I874" s="848"/>
      <c r="N874" s="684"/>
    </row>
    <row r="875" spans="1:15" x14ac:dyDescent="0.25">
      <c r="A875" s="64" t="s">
        <v>486</v>
      </c>
      <c r="B875" s="338"/>
      <c r="C875" s="338"/>
      <c r="D875" s="338"/>
      <c r="E875" s="338"/>
      <c r="F875" s="848"/>
      <c r="G875" s="848"/>
      <c r="H875" s="848"/>
      <c r="I875" s="848"/>
      <c r="N875" s="684"/>
    </row>
    <row r="876" spans="1:15" x14ac:dyDescent="0.25">
      <c r="A876" s="345" t="s">
        <v>877</v>
      </c>
      <c r="B876" s="346"/>
      <c r="C876" s="346"/>
      <c r="D876" s="346"/>
      <c r="E876" s="346"/>
      <c r="F876" s="346"/>
      <c r="G876" s="346"/>
      <c r="H876" s="346"/>
      <c r="I876" s="346"/>
      <c r="J876" s="346"/>
      <c r="N876" s="684"/>
    </row>
    <row r="877" spans="1:15" x14ac:dyDescent="0.25">
      <c r="A877" s="347" t="s">
        <v>997</v>
      </c>
      <c r="B877" s="348"/>
      <c r="C877" s="348"/>
      <c r="D877" s="348"/>
      <c r="E877" s="348"/>
      <c r="F877" s="860"/>
      <c r="G877" s="860"/>
      <c r="H877" s="860"/>
      <c r="I877" s="860"/>
      <c r="J877" s="860"/>
      <c r="K877" s="685"/>
      <c r="L877" s="685"/>
      <c r="M877" s="685"/>
      <c r="N877" s="675"/>
    </row>
    <row r="878" spans="1:15" s="75" customFormat="1" ht="14.5" x14ac:dyDescent="0.35">
      <c r="A878" s="6"/>
      <c r="B878" s="6"/>
      <c r="C878" s="6"/>
      <c r="D878" s="6"/>
      <c r="E878" s="6"/>
      <c r="F878" s="68"/>
      <c r="G878" s="68"/>
      <c r="H878" s="68"/>
      <c r="I878" s="68"/>
      <c r="J878" s="68"/>
      <c r="K878" s="68"/>
      <c r="L878" s="687"/>
      <c r="M878" s="687"/>
      <c r="N878" s="687"/>
      <c r="O878" s="687"/>
    </row>
    <row r="879" spans="1:15" s="75" customFormat="1" ht="14.5" x14ac:dyDescent="0.35">
      <c r="A879" s="8" t="s">
        <v>14</v>
      </c>
      <c r="B879" s="232" t="s">
        <v>642</v>
      </c>
      <c r="C879" s="9" t="s">
        <v>15</v>
      </c>
      <c r="D879" s="6"/>
      <c r="E879" s="6"/>
      <c r="F879" s="68"/>
      <c r="G879" s="68"/>
      <c r="H879" s="68"/>
      <c r="I879" s="68"/>
      <c r="J879" s="68"/>
      <c r="K879" s="68"/>
      <c r="L879" s="687"/>
      <c r="M879" s="687"/>
      <c r="N879" s="687"/>
      <c r="O879" s="687"/>
    </row>
    <row r="880" spans="1:15" s="75" customFormat="1" ht="14.5" x14ac:dyDescent="0.35">
      <c r="A880" s="72" t="s">
        <v>16</v>
      </c>
      <c r="B880" s="333">
        <v>2020</v>
      </c>
      <c r="C880" s="210">
        <v>2021</v>
      </c>
      <c r="D880" s="210">
        <v>2022</v>
      </c>
      <c r="E880" s="210">
        <v>2023</v>
      </c>
      <c r="F880" s="770">
        <v>2024</v>
      </c>
      <c r="G880" s="770">
        <v>2025</v>
      </c>
      <c r="H880" s="770">
        <v>2026</v>
      </c>
      <c r="I880" s="770">
        <v>2027</v>
      </c>
      <c r="J880" s="770"/>
      <c r="K880" s="68"/>
      <c r="L880" s="687"/>
      <c r="M880" s="687"/>
      <c r="N880" s="687"/>
      <c r="O880" s="687"/>
    </row>
    <row r="881" spans="1:15" s="75" customFormat="1" ht="14.5" x14ac:dyDescent="0.35">
      <c r="A881" s="28" t="s">
        <v>17</v>
      </c>
      <c r="B881" s="349">
        <v>19460</v>
      </c>
      <c r="C881" s="349">
        <v>19460</v>
      </c>
      <c r="D881" s="349">
        <v>19460</v>
      </c>
      <c r="E881" s="334">
        <v>21503</v>
      </c>
      <c r="F881" s="844">
        <v>21503</v>
      </c>
      <c r="G881" s="844">
        <v>21503</v>
      </c>
      <c r="H881" s="844">
        <v>25164.62</v>
      </c>
      <c r="I881" s="844">
        <v>21503</v>
      </c>
      <c r="J881" s="46"/>
      <c r="K881" s="68"/>
      <c r="L881" s="687"/>
      <c r="M881" s="687"/>
      <c r="N881" s="687"/>
      <c r="O881" s="687"/>
    </row>
    <row r="882" spans="1:15" s="75" customFormat="1" ht="14.5" x14ac:dyDescent="0.35">
      <c r="A882" s="28" t="s">
        <v>18</v>
      </c>
      <c r="B882" s="334"/>
      <c r="C882" s="334">
        <f>C881+B885-48.4</f>
        <v>19737.565544000001</v>
      </c>
      <c r="D882" s="30">
        <f>D881+C885-19360*0.0025</f>
        <v>19985.500093000002</v>
      </c>
      <c r="E882" s="334">
        <f>E881+0.05*D881</f>
        <v>22476</v>
      </c>
      <c r="F882" s="844">
        <f>F881+0.05*E881</f>
        <v>22578.15</v>
      </c>
      <c r="G882" s="844">
        <f>G881+0.05*F881+200</f>
        <v>22778.15</v>
      </c>
      <c r="H882" s="844">
        <f>H881+0.05*G881</f>
        <v>26239.77</v>
      </c>
      <c r="I882" s="844">
        <f>I881+0.05*H881</f>
        <v>22761.231</v>
      </c>
      <c r="J882" s="47"/>
      <c r="K882" s="68"/>
      <c r="L882" s="687"/>
      <c r="M882" s="687"/>
      <c r="N882" s="687"/>
      <c r="O882" s="687"/>
    </row>
    <row r="883" spans="1:15" s="75" customFormat="1" ht="26" x14ac:dyDescent="0.35">
      <c r="A883" s="28" t="s">
        <v>19</v>
      </c>
      <c r="B883" s="344"/>
      <c r="C883" s="259" t="s">
        <v>872</v>
      </c>
      <c r="D883" s="350" t="s">
        <v>873</v>
      </c>
      <c r="E883" s="344" t="s">
        <v>944</v>
      </c>
      <c r="F883" s="855" t="s">
        <v>999</v>
      </c>
      <c r="G883" s="855" t="s">
        <v>1270</v>
      </c>
      <c r="H883" s="855" t="s">
        <v>1271</v>
      </c>
      <c r="I883" s="855"/>
      <c r="J883" s="797"/>
      <c r="K883" s="68"/>
      <c r="L883" s="687"/>
      <c r="M883" s="687"/>
      <c r="N883" s="687"/>
      <c r="O883" s="687"/>
    </row>
    <row r="884" spans="1:15" s="75" customFormat="1" ht="14.5" x14ac:dyDescent="0.35">
      <c r="A884" s="341" t="s">
        <v>20</v>
      </c>
      <c r="B884" s="30">
        <v>19134.034455999998</v>
      </c>
      <c r="C884" s="30">
        <v>19163.665450999997</v>
      </c>
      <c r="D884" s="30">
        <v>18950.900000000001</v>
      </c>
      <c r="E884" s="30">
        <v>21104.23</v>
      </c>
      <c r="F884" s="47">
        <v>20866.11</v>
      </c>
      <c r="G884" s="47">
        <v>21463.924999999999</v>
      </c>
      <c r="H884" s="47"/>
      <c r="I884" s="47"/>
      <c r="J884" s="47"/>
      <c r="K884" s="68"/>
      <c r="L884" s="687"/>
      <c r="M884" s="687"/>
      <c r="N884" s="687"/>
      <c r="O884" s="687"/>
    </row>
    <row r="885" spans="1:15" s="75" customFormat="1" ht="14.5" x14ac:dyDescent="0.35">
      <c r="A885" s="341" t="s">
        <v>21</v>
      </c>
      <c r="B885" s="30">
        <f>B881-B884</f>
        <v>325.96554400000241</v>
      </c>
      <c r="C885" s="30">
        <f>C882-C884</f>
        <v>573.90009300000384</v>
      </c>
      <c r="D885" s="30">
        <f>D882-D884</f>
        <v>1034.6000930000009</v>
      </c>
      <c r="E885" s="30">
        <f>E882-E884</f>
        <v>1371.7700000000004</v>
      </c>
      <c r="F885" s="47">
        <f>F882-F884</f>
        <v>1712.0400000000009</v>
      </c>
      <c r="G885" s="47">
        <f>G882-G884</f>
        <v>1314.2250000000022</v>
      </c>
      <c r="H885" s="47"/>
      <c r="I885" s="47"/>
      <c r="J885" s="47"/>
      <c r="K885" s="68"/>
      <c r="L885" s="687"/>
      <c r="M885" s="687"/>
      <c r="N885" s="687"/>
      <c r="O885" s="687"/>
    </row>
    <row r="886" spans="1:15" s="75" customFormat="1" ht="14.5" x14ac:dyDescent="0.35">
      <c r="A886" s="34" t="s">
        <v>22</v>
      </c>
      <c r="B886" s="215">
        <v>2021</v>
      </c>
      <c r="C886" s="215">
        <v>2022</v>
      </c>
      <c r="D886" s="215">
        <v>2023</v>
      </c>
      <c r="E886" s="351"/>
      <c r="F886" s="863"/>
      <c r="G886" s="863"/>
      <c r="H886" s="863"/>
      <c r="I886" s="863"/>
      <c r="J886" s="863"/>
      <c r="K886" s="68"/>
      <c r="L886" s="687"/>
      <c r="M886" s="687"/>
      <c r="N886" s="687"/>
      <c r="O886" s="687"/>
    </row>
    <row r="887" spans="1:15" s="75" customFormat="1" ht="14.5" x14ac:dyDescent="0.35">
      <c r="A887" s="62" t="s">
        <v>871</v>
      </c>
      <c r="B887" s="352"/>
      <c r="C887" s="352"/>
      <c r="D887" s="352"/>
      <c r="E887" s="352"/>
      <c r="F887" s="864"/>
      <c r="G887" s="864"/>
      <c r="H887" s="864"/>
      <c r="I887" s="864"/>
      <c r="J887" s="865"/>
      <c r="K887" s="68"/>
      <c r="L887" s="687"/>
      <c r="M887" s="687"/>
      <c r="N887" s="687"/>
      <c r="O887" s="687"/>
    </row>
    <row r="888" spans="1:15" s="75" customFormat="1" ht="14.5" x14ac:dyDescent="0.35">
      <c r="A888" s="64" t="s">
        <v>874</v>
      </c>
      <c r="B888" s="338"/>
      <c r="C888" s="338"/>
      <c r="D888" s="338"/>
      <c r="E888" s="338"/>
      <c r="F888" s="848"/>
      <c r="G888" s="848"/>
      <c r="H888" s="848"/>
      <c r="I888" s="848"/>
      <c r="J888" s="866"/>
      <c r="K888" s="68"/>
      <c r="L888" s="687"/>
      <c r="M888" s="687"/>
      <c r="N888" s="687"/>
      <c r="O888" s="687"/>
    </row>
    <row r="889" spans="1:15" s="75" customFormat="1" ht="14.5" x14ac:dyDescent="0.35">
      <c r="A889" s="64" t="s">
        <v>495</v>
      </c>
      <c r="B889" s="338"/>
      <c r="C889" s="338"/>
      <c r="D889" s="338"/>
      <c r="E889" s="338"/>
      <c r="F889" s="848"/>
      <c r="G889" s="848"/>
      <c r="H889" s="848"/>
      <c r="I889" s="848"/>
      <c r="J889" s="866"/>
      <c r="K889" s="68"/>
      <c r="L889" s="687"/>
      <c r="M889" s="687"/>
      <c r="N889" s="687"/>
      <c r="O889" s="687"/>
    </row>
    <row r="890" spans="1:15" s="75" customFormat="1" ht="14.5" x14ac:dyDescent="0.35">
      <c r="A890" s="64" t="s">
        <v>496</v>
      </c>
      <c r="B890" s="338"/>
      <c r="C890" s="338"/>
      <c r="D890" s="338"/>
      <c r="E890" s="338"/>
      <c r="F890" s="848"/>
      <c r="G890" s="848"/>
      <c r="H890" s="848"/>
      <c r="I890" s="848"/>
      <c r="J890" s="866"/>
      <c r="K890" s="68"/>
      <c r="L890" s="687"/>
      <c r="M890" s="687"/>
      <c r="N890" s="687"/>
      <c r="O890" s="687"/>
    </row>
    <row r="891" spans="1:15" s="75" customFormat="1" ht="14.5" x14ac:dyDescent="0.35">
      <c r="A891" s="64" t="s">
        <v>875</v>
      </c>
      <c r="B891" s="338"/>
      <c r="C891" s="338"/>
      <c r="D891" s="338"/>
      <c r="E891" s="338"/>
      <c r="F891" s="848"/>
      <c r="G891" s="848"/>
      <c r="H891" s="848"/>
      <c r="I891" s="848"/>
      <c r="J891" s="866"/>
      <c r="K891" s="68"/>
      <c r="L891" s="687"/>
      <c r="M891" s="687"/>
      <c r="N891" s="687"/>
      <c r="O891" s="687"/>
    </row>
    <row r="892" spans="1:15" s="75" customFormat="1" ht="14.5" x14ac:dyDescent="0.35">
      <c r="A892" s="353" t="s">
        <v>1000</v>
      </c>
      <c r="B892" s="354"/>
      <c r="C892" s="354"/>
      <c r="D892" s="354"/>
      <c r="E892" s="354"/>
      <c r="F892" s="867"/>
      <c r="G892" s="867"/>
      <c r="H892" s="867"/>
      <c r="I892" s="867"/>
      <c r="J892" s="868"/>
      <c r="K892" s="68"/>
      <c r="L892" s="687"/>
      <c r="M892" s="687"/>
      <c r="N892" s="687"/>
      <c r="O892" s="687"/>
    </row>
    <row r="893" spans="1:15" s="75" customFormat="1" ht="14.5" x14ac:dyDescent="0.35">
      <c r="A893" s="353" t="s">
        <v>1001</v>
      </c>
      <c r="B893" s="354"/>
      <c r="C893" s="354"/>
      <c r="D893" s="354"/>
      <c r="E893" s="354"/>
      <c r="F893" s="867"/>
      <c r="G893" s="867"/>
      <c r="H893" s="867"/>
      <c r="I893" s="867"/>
      <c r="J893" s="868"/>
      <c r="K893" s="68"/>
      <c r="L893" s="687"/>
      <c r="M893" s="687"/>
      <c r="N893" s="687"/>
      <c r="O893" s="687"/>
    </row>
    <row r="894" spans="1:15" s="75" customFormat="1" ht="14.5" x14ac:dyDescent="0.35">
      <c r="A894" s="353" t="s">
        <v>1155</v>
      </c>
      <c r="B894" s="354"/>
      <c r="C894" s="354"/>
      <c r="D894" s="354"/>
      <c r="E894" s="354"/>
      <c r="F894" s="867"/>
      <c r="G894" s="867"/>
      <c r="H894" s="867"/>
      <c r="I894" s="867"/>
      <c r="J894" s="868"/>
      <c r="K894" s="68"/>
      <c r="L894" s="687"/>
      <c r="M894" s="687"/>
      <c r="N894" s="687"/>
      <c r="O894" s="687"/>
    </row>
    <row r="895" spans="1:15" s="88" customFormat="1" ht="14.5" x14ac:dyDescent="0.35">
      <c r="A895" s="355" t="s">
        <v>1231</v>
      </c>
      <c r="B895" s="356"/>
      <c r="C895" s="356"/>
      <c r="D895" s="356"/>
      <c r="E895" s="356"/>
      <c r="F895" s="869"/>
      <c r="G895" s="869"/>
      <c r="H895" s="869"/>
      <c r="I895" s="869"/>
      <c r="J895" s="870"/>
      <c r="K895" s="685"/>
      <c r="L895" s="701"/>
      <c r="M895" s="701"/>
      <c r="N895" s="701"/>
      <c r="O895" s="701"/>
    </row>
    <row r="897" spans="1:14" x14ac:dyDescent="0.25">
      <c r="A897" s="8" t="s">
        <v>14</v>
      </c>
      <c r="B897" s="232" t="s">
        <v>66</v>
      </c>
      <c r="C897" s="9" t="s">
        <v>15</v>
      </c>
    </row>
    <row r="898" spans="1:14" x14ac:dyDescent="0.25">
      <c r="A898" s="72" t="s">
        <v>16</v>
      </c>
      <c r="B898" s="333">
        <v>2014</v>
      </c>
      <c r="C898" s="210">
        <v>2015</v>
      </c>
      <c r="D898" s="210">
        <v>2016</v>
      </c>
      <c r="E898" s="210">
        <v>2017</v>
      </c>
      <c r="F898" s="770">
        <v>2018</v>
      </c>
      <c r="G898" s="770">
        <v>2019</v>
      </c>
      <c r="H898" s="770">
        <v>2020</v>
      </c>
      <c r="I898" s="770">
        <v>2021</v>
      </c>
      <c r="J898" s="770">
        <v>2022</v>
      </c>
      <c r="K898" s="770">
        <v>2023</v>
      </c>
      <c r="L898" s="770">
        <v>2024</v>
      </c>
      <c r="M898" s="770">
        <v>2025</v>
      </c>
      <c r="N898" s="770">
        <v>2026</v>
      </c>
    </row>
    <row r="899" spans="1:14" x14ac:dyDescent="0.25">
      <c r="A899" s="28" t="s">
        <v>17</v>
      </c>
      <c r="B899" s="334">
        <v>22667</v>
      </c>
      <c r="C899" s="334">
        <v>22667</v>
      </c>
      <c r="D899" s="334">
        <v>16989</v>
      </c>
      <c r="E899" s="334">
        <v>16989</v>
      </c>
      <c r="F899" s="844">
        <v>16989</v>
      </c>
      <c r="G899" s="844">
        <v>16989</v>
      </c>
      <c r="H899" s="871">
        <v>13421.3</v>
      </c>
      <c r="I899" s="46">
        <v>13206.57</v>
      </c>
      <c r="J899" s="46">
        <v>13313.94</v>
      </c>
      <c r="K899" s="46">
        <v>13313.94</v>
      </c>
      <c r="L899" s="47">
        <v>13313.93952</v>
      </c>
      <c r="M899" s="46">
        <v>13576.29</v>
      </c>
      <c r="N899" s="46">
        <v>13576.29</v>
      </c>
    </row>
    <row r="900" spans="1:14" x14ac:dyDescent="0.25">
      <c r="A900" s="28" t="s">
        <v>18</v>
      </c>
      <c r="B900" s="334">
        <v>29467.1</v>
      </c>
      <c r="C900" s="334">
        <v>29467.1</v>
      </c>
      <c r="D900" s="334">
        <v>23789.1</v>
      </c>
      <c r="E900" s="334">
        <v>20389.099999999999</v>
      </c>
      <c r="F900" s="844">
        <v>19537.400000000001</v>
      </c>
      <c r="G900" s="844">
        <v>17157.5</v>
      </c>
      <c r="H900" s="844">
        <f>H899+F903+300</f>
        <v>15842.646000000001</v>
      </c>
      <c r="I900" s="47">
        <f>I899+G903</f>
        <v>13453.544999999998</v>
      </c>
      <c r="J900" s="47">
        <f>J899+0.1*H899</f>
        <v>14656.07</v>
      </c>
      <c r="K900" s="47">
        <f>K899+0.1*I899</f>
        <v>14634.597000000002</v>
      </c>
      <c r="L900" s="47">
        <f>L899+0.1*J899</f>
        <v>14645.33352</v>
      </c>
      <c r="M900" s="47">
        <f>M899+0.1*K899</f>
        <v>14907.684000000001</v>
      </c>
      <c r="N900" s="47">
        <f>N899+0.1*L899</f>
        <v>14907.683952000001</v>
      </c>
    </row>
    <row r="901" spans="1:14" ht="25" x14ac:dyDescent="0.25">
      <c r="A901" s="28" t="s">
        <v>19</v>
      </c>
      <c r="B901" s="335" t="s">
        <v>67</v>
      </c>
      <c r="C901" s="335" t="s">
        <v>67</v>
      </c>
      <c r="D901" s="335" t="s">
        <v>68</v>
      </c>
      <c r="E901" s="344" t="s">
        <v>69</v>
      </c>
      <c r="F901" s="855" t="s">
        <v>70</v>
      </c>
      <c r="G901" s="855" t="s">
        <v>71</v>
      </c>
      <c r="H901" s="855" t="s">
        <v>265</v>
      </c>
      <c r="I901" s="797" t="s">
        <v>266</v>
      </c>
      <c r="J901" s="797" t="s">
        <v>582</v>
      </c>
      <c r="K901" s="797" t="s">
        <v>876</v>
      </c>
      <c r="L901" s="797" t="s">
        <v>1002</v>
      </c>
      <c r="M901" s="797" t="s">
        <v>1195</v>
      </c>
      <c r="N901" s="797" t="s">
        <v>1272</v>
      </c>
    </row>
    <row r="902" spans="1:14" x14ac:dyDescent="0.25">
      <c r="A902" s="341" t="s">
        <v>20</v>
      </c>
      <c r="B902" s="30">
        <v>18152.900000000001</v>
      </c>
      <c r="C902" s="30">
        <v>15741.23</v>
      </c>
      <c r="D902" s="30">
        <v>18059.400000000001</v>
      </c>
      <c r="E902" s="30">
        <v>20220.53</v>
      </c>
      <c r="F902" s="47">
        <v>17416.054</v>
      </c>
      <c r="G902" s="47">
        <v>16910.525000000001</v>
      </c>
      <c r="H902" s="47">
        <v>11285.478270000007</v>
      </c>
      <c r="I902" s="47">
        <v>11445.933670000008</v>
      </c>
      <c r="J902" s="47">
        <v>12588.91</v>
      </c>
      <c r="K902" s="47">
        <v>11864.06</v>
      </c>
      <c r="L902" s="47">
        <v>9161.4519999999993</v>
      </c>
      <c r="M902" s="47">
        <v>9157.8289999999997</v>
      </c>
      <c r="N902" s="47"/>
    </row>
    <row r="903" spans="1:14" x14ac:dyDescent="0.25">
      <c r="A903" s="357" t="s">
        <v>21</v>
      </c>
      <c r="B903" s="358">
        <v>11314.2</v>
      </c>
      <c r="C903" s="358">
        <v>13725.87</v>
      </c>
      <c r="D903" s="358">
        <v>5729.68</v>
      </c>
      <c r="E903" s="358">
        <v>168.52</v>
      </c>
      <c r="F903" s="872">
        <v>2121.3460000000014</v>
      </c>
      <c r="G903" s="872">
        <f t="shared" ref="G903:M903" si="46">G900-G902</f>
        <v>246.97499999999854</v>
      </c>
      <c r="H903" s="872">
        <f t="shared" si="46"/>
        <v>4557.1677299999938</v>
      </c>
      <c r="I903" s="872">
        <f t="shared" si="46"/>
        <v>2007.6113299999906</v>
      </c>
      <c r="J903" s="872">
        <f t="shared" si="46"/>
        <v>2067.16</v>
      </c>
      <c r="K903" s="872">
        <f t="shared" si="46"/>
        <v>2770.5370000000021</v>
      </c>
      <c r="L903" s="872">
        <f t="shared" si="46"/>
        <v>5483.8815200000008</v>
      </c>
      <c r="M903" s="872">
        <f t="shared" si="46"/>
        <v>5749.8550000000014</v>
      </c>
      <c r="N903" s="872"/>
    </row>
    <row r="904" spans="1:14" x14ac:dyDescent="0.25">
      <c r="A904" s="90" t="s">
        <v>22</v>
      </c>
      <c r="B904" s="237">
        <v>2016</v>
      </c>
      <c r="C904" s="237">
        <v>2017</v>
      </c>
      <c r="D904" s="237">
        <v>2018</v>
      </c>
      <c r="E904" s="237">
        <v>2019</v>
      </c>
      <c r="F904" s="498" t="s">
        <v>72</v>
      </c>
      <c r="G904" s="498" t="s">
        <v>73</v>
      </c>
      <c r="H904" s="498">
        <v>2022</v>
      </c>
      <c r="I904" s="498">
        <v>2023</v>
      </c>
      <c r="J904" s="498">
        <v>2024</v>
      </c>
      <c r="K904" s="498">
        <v>2025</v>
      </c>
      <c r="L904" s="498">
        <v>2026</v>
      </c>
      <c r="M904" s="498">
        <v>2027</v>
      </c>
      <c r="N904" s="498">
        <v>2028</v>
      </c>
    </row>
    <row r="905" spans="1:14" x14ac:dyDescent="0.25">
      <c r="A905" s="36" t="s">
        <v>488</v>
      </c>
      <c r="B905" s="337"/>
      <c r="C905" s="337"/>
      <c r="D905" s="337"/>
      <c r="E905" s="337"/>
      <c r="F905" s="847"/>
      <c r="G905" s="847"/>
      <c r="H905" s="847"/>
      <c r="I905" s="847"/>
      <c r="J905" s="669"/>
      <c r="K905" s="669"/>
      <c r="L905" s="669"/>
      <c r="M905" s="669"/>
      <c r="N905" s="672"/>
    </row>
    <row r="906" spans="1:14" x14ac:dyDescent="0.25">
      <c r="A906" s="64" t="s">
        <v>489</v>
      </c>
      <c r="B906" s="338"/>
      <c r="C906" s="338"/>
      <c r="D906" s="338"/>
      <c r="E906" s="338"/>
      <c r="F906" s="848"/>
      <c r="G906" s="848"/>
      <c r="H906" s="848"/>
      <c r="I906" s="848"/>
      <c r="N906" s="684"/>
    </row>
    <row r="907" spans="1:14" ht="14" x14ac:dyDescent="0.25">
      <c r="A907" s="64" t="s">
        <v>732</v>
      </c>
      <c r="B907" s="338"/>
      <c r="C907" s="338"/>
      <c r="D907" s="338"/>
      <c r="E907" s="338"/>
      <c r="F907" s="848"/>
      <c r="G907" s="848"/>
      <c r="H907" s="848"/>
      <c r="I907" s="848"/>
      <c r="N907" s="684"/>
    </row>
    <row r="908" spans="1:14" x14ac:dyDescent="0.25">
      <c r="A908" s="72" t="s">
        <v>583</v>
      </c>
      <c r="B908" s="339"/>
      <c r="C908" s="339"/>
      <c r="D908" s="339"/>
      <c r="E908" s="339"/>
      <c r="F908" s="849"/>
      <c r="G908" s="849"/>
      <c r="H908" s="849"/>
      <c r="I908" s="849"/>
      <c r="J908" s="685"/>
      <c r="K908" s="685"/>
      <c r="L908" s="685"/>
      <c r="M908" s="685"/>
      <c r="N908" s="675"/>
    </row>
    <row r="909" spans="1:14" x14ac:dyDescent="0.25">
      <c r="B909" s="7"/>
      <c r="C909" s="7"/>
      <c r="D909" s="7"/>
      <c r="E909" s="7"/>
      <c r="F909" s="378"/>
      <c r="G909" s="378"/>
      <c r="H909" s="378"/>
      <c r="I909" s="378"/>
    </row>
    <row r="911" spans="1:14" x14ac:dyDescent="0.25">
      <c r="A911" s="8" t="s">
        <v>14</v>
      </c>
      <c r="B911" s="232" t="s">
        <v>74</v>
      </c>
      <c r="C911" s="9" t="s">
        <v>15</v>
      </c>
    </row>
    <row r="912" spans="1:14" x14ac:dyDescent="0.25">
      <c r="A912" s="72" t="s">
        <v>16</v>
      </c>
      <c r="B912" s="333">
        <v>2014</v>
      </c>
      <c r="C912" s="210">
        <v>2015</v>
      </c>
      <c r="D912" s="210">
        <v>2016</v>
      </c>
      <c r="E912" s="210">
        <v>2017</v>
      </c>
      <c r="F912" s="770">
        <v>2018</v>
      </c>
      <c r="G912" s="770">
        <v>2019</v>
      </c>
      <c r="H912" s="770">
        <v>2020</v>
      </c>
      <c r="I912" s="770">
        <v>2021</v>
      </c>
      <c r="J912" s="770">
        <v>2022</v>
      </c>
      <c r="K912" s="770">
        <v>2023</v>
      </c>
      <c r="L912" s="770">
        <v>2024</v>
      </c>
      <c r="M912" s="770">
        <v>2025</v>
      </c>
      <c r="N912" s="770">
        <v>2026</v>
      </c>
    </row>
    <row r="913" spans="1:14" x14ac:dyDescent="0.25">
      <c r="A913" s="28" t="s">
        <v>17</v>
      </c>
      <c r="B913" s="334">
        <v>480</v>
      </c>
      <c r="C913" s="334">
        <v>480</v>
      </c>
      <c r="D913" s="334">
        <v>480</v>
      </c>
      <c r="E913" s="334">
        <v>480</v>
      </c>
      <c r="F913" s="844">
        <v>480</v>
      </c>
      <c r="G913" s="844">
        <v>480</v>
      </c>
      <c r="H913" s="861">
        <v>403.8</v>
      </c>
      <c r="I913" s="46">
        <v>403.8</v>
      </c>
      <c r="J913" s="46">
        <v>403.8</v>
      </c>
      <c r="K913" s="46">
        <v>403.8</v>
      </c>
      <c r="L913" s="46">
        <v>403.8</v>
      </c>
      <c r="M913" s="709">
        <v>403.8</v>
      </c>
      <c r="N913" s="709">
        <v>403.8</v>
      </c>
    </row>
    <row r="914" spans="1:14" x14ac:dyDescent="0.25">
      <c r="A914" s="28" t="s">
        <v>18</v>
      </c>
      <c r="B914" s="334">
        <v>480</v>
      </c>
      <c r="C914" s="334">
        <v>528</v>
      </c>
      <c r="D914" s="334">
        <v>407.63</v>
      </c>
      <c r="E914" s="334">
        <v>414.75</v>
      </c>
      <c r="F914" s="844">
        <v>462.75</v>
      </c>
      <c r="G914" s="844">
        <v>528</v>
      </c>
      <c r="H914" s="844">
        <v>449.8</v>
      </c>
      <c r="I914" s="46">
        <f>I913+0.1*G913-2</f>
        <v>449.8</v>
      </c>
      <c r="J914" s="46">
        <v>401.8</v>
      </c>
      <c r="K914" s="46">
        <v>401.8</v>
      </c>
      <c r="L914" s="46">
        <v>401.8</v>
      </c>
      <c r="M914" s="709">
        <v>401.8</v>
      </c>
      <c r="N914" s="709">
        <v>401.8</v>
      </c>
    </row>
    <row r="915" spans="1:14" ht="25" x14ac:dyDescent="0.25">
      <c r="A915" s="28" t="s">
        <v>19</v>
      </c>
      <c r="B915" s="335">
        <v>480</v>
      </c>
      <c r="C915" s="335">
        <v>528</v>
      </c>
      <c r="D915" s="335" t="s">
        <v>75</v>
      </c>
      <c r="E915" s="344" t="s">
        <v>76</v>
      </c>
      <c r="F915" s="855" t="s">
        <v>77</v>
      </c>
      <c r="G915" s="855" t="s">
        <v>78</v>
      </c>
      <c r="H915" s="855" t="s">
        <v>267</v>
      </c>
      <c r="I915" s="862" t="s">
        <v>268</v>
      </c>
      <c r="J915" s="862" t="s">
        <v>490</v>
      </c>
      <c r="K915" s="862" t="s">
        <v>879</v>
      </c>
      <c r="L915" s="862" t="s">
        <v>1003</v>
      </c>
      <c r="M915" s="709" t="s">
        <v>1156</v>
      </c>
      <c r="N915" s="709" t="s">
        <v>1248</v>
      </c>
    </row>
    <row r="916" spans="1:14" x14ac:dyDescent="0.25">
      <c r="A916" s="28" t="s">
        <v>20</v>
      </c>
      <c r="B916" s="30">
        <v>552.37</v>
      </c>
      <c r="C916" s="30">
        <v>658.51</v>
      </c>
      <c r="D916" s="30">
        <v>355.07</v>
      </c>
      <c r="E916" s="30">
        <v>338.75</v>
      </c>
      <c r="F916" s="47">
        <v>120.791</v>
      </c>
      <c r="G916" s="47">
        <v>79.62</v>
      </c>
      <c r="H916" s="47">
        <v>138.81700000000001</v>
      </c>
      <c r="I916" s="46">
        <v>105.06</v>
      </c>
      <c r="J916" s="46">
        <v>282.19</v>
      </c>
      <c r="K916" s="46">
        <v>191.54</v>
      </c>
      <c r="L916" s="46">
        <v>135.71</v>
      </c>
      <c r="M916" s="709">
        <v>130.52100000000002</v>
      </c>
      <c r="N916" s="709"/>
    </row>
    <row r="917" spans="1:14" x14ac:dyDescent="0.25">
      <c r="A917" s="28" t="s">
        <v>21</v>
      </c>
      <c r="B917" s="30">
        <v>-72.37</v>
      </c>
      <c r="C917" s="30">
        <v>-130.51</v>
      </c>
      <c r="D917" s="30">
        <f>D914-D916</f>
        <v>52.56</v>
      </c>
      <c r="E917" s="30">
        <f>E914-E916</f>
        <v>76</v>
      </c>
      <c r="F917" s="47">
        <v>341.959</v>
      </c>
      <c r="G917" s="47">
        <f t="shared" ref="G917:M917" si="47">G914-G916</f>
        <v>448.38</v>
      </c>
      <c r="H917" s="47">
        <f t="shared" si="47"/>
        <v>310.983</v>
      </c>
      <c r="I917" s="46">
        <f t="shared" si="47"/>
        <v>344.74</v>
      </c>
      <c r="J917" s="46">
        <f t="shared" si="47"/>
        <v>119.61000000000001</v>
      </c>
      <c r="K917" s="46">
        <f t="shared" si="47"/>
        <v>210.26000000000002</v>
      </c>
      <c r="L917" s="46">
        <f t="shared" si="47"/>
        <v>266.09000000000003</v>
      </c>
      <c r="M917" s="46">
        <f t="shared" si="47"/>
        <v>271.279</v>
      </c>
      <c r="N917" s="709"/>
    </row>
    <row r="918" spans="1:14" x14ac:dyDescent="0.25">
      <c r="A918" s="36" t="s">
        <v>22</v>
      </c>
      <c r="B918" s="237">
        <v>2016</v>
      </c>
      <c r="C918" s="237">
        <v>2017</v>
      </c>
      <c r="D918" s="237">
        <v>2018</v>
      </c>
      <c r="E918" s="237">
        <v>2019</v>
      </c>
      <c r="F918" s="498" t="s">
        <v>72</v>
      </c>
      <c r="G918" s="498" t="s">
        <v>73</v>
      </c>
      <c r="H918" s="498" t="s">
        <v>161</v>
      </c>
      <c r="I918" s="498" t="s">
        <v>161</v>
      </c>
      <c r="J918" s="498" t="s">
        <v>161</v>
      </c>
      <c r="K918" s="498" t="s">
        <v>161</v>
      </c>
      <c r="L918" s="498" t="s">
        <v>161</v>
      </c>
      <c r="M918" s="498" t="s">
        <v>161</v>
      </c>
      <c r="N918" s="498" t="s">
        <v>161</v>
      </c>
    </row>
    <row r="919" spans="1:14" x14ac:dyDescent="0.25">
      <c r="A919" s="36" t="s">
        <v>491</v>
      </c>
      <c r="B919" s="337"/>
      <c r="C919" s="337"/>
      <c r="D919" s="337"/>
      <c r="E919" s="337"/>
      <c r="F919" s="847"/>
      <c r="G919" s="847"/>
      <c r="H919" s="847"/>
      <c r="I919" s="847"/>
      <c r="J919" s="847"/>
      <c r="K919" s="847"/>
      <c r="L919" s="847"/>
      <c r="M919" s="669"/>
      <c r="N919" s="672"/>
    </row>
    <row r="920" spans="1:14" x14ac:dyDescent="0.25">
      <c r="A920" s="64" t="s">
        <v>492</v>
      </c>
      <c r="B920" s="338"/>
      <c r="C920" s="338"/>
      <c r="D920" s="338"/>
      <c r="E920" s="338"/>
      <c r="F920" s="848"/>
      <c r="G920" s="848"/>
      <c r="H920" s="848"/>
      <c r="I920" s="848"/>
      <c r="J920" s="848"/>
      <c r="K920" s="848"/>
      <c r="L920" s="848"/>
      <c r="N920" s="684"/>
    </row>
    <row r="921" spans="1:14" x14ac:dyDescent="0.25">
      <c r="A921" s="359" t="s">
        <v>1273</v>
      </c>
      <c r="B921" s="360"/>
      <c r="C921" s="360"/>
      <c r="D921" s="360"/>
      <c r="E921" s="360"/>
      <c r="F921" s="873"/>
      <c r="G921" s="873"/>
      <c r="H921" s="873"/>
      <c r="I921" s="685"/>
      <c r="J921" s="685"/>
      <c r="K921" s="685"/>
      <c r="L921" s="685"/>
      <c r="M921" s="685"/>
      <c r="N921" s="675"/>
    </row>
    <row r="923" spans="1:14" x14ac:dyDescent="0.25">
      <c r="A923" s="8" t="s">
        <v>14</v>
      </c>
      <c r="B923" s="232" t="s">
        <v>79</v>
      </c>
      <c r="C923" s="9" t="s">
        <v>15</v>
      </c>
    </row>
    <row r="924" spans="1:14" x14ac:dyDescent="0.25">
      <c r="A924" s="72" t="s">
        <v>16</v>
      </c>
      <c r="B924" s="333">
        <v>2014</v>
      </c>
      <c r="C924" s="210">
        <v>2015</v>
      </c>
      <c r="D924" s="210">
        <v>2016</v>
      </c>
      <c r="E924" s="210">
        <v>2017</v>
      </c>
      <c r="F924" s="770">
        <v>2018</v>
      </c>
      <c r="G924" s="770">
        <v>2019</v>
      </c>
      <c r="H924" s="770">
        <v>2020</v>
      </c>
      <c r="I924" s="770">
        <v>2021</v>
      </c>
      <c r="J924" s="770">
        <v>2022</v>
      </c>
      <c r="K924" s="770">
        <v>2023</v>
      </c>
      <c r="L924" s="770">
        <v>2024</v>
      </c>
      <c r="M924" s="770">
        <v>2025</v>
      </c>
      <c r="N924" s="770">
        <v>2026</v>
      </c>
    </row>
    <row r="925" spans="1:14" x14ac:dyDescent="0.25">
      <c r="A925" s="28" t="s">
        <v>17</v>
      </c>
      <c r="B925" s="334">
        <v>50</v>
      </c>
      <c r="C925" s="334">
        <v>50</v>
      </c>
      <c r="D925" s="334">
        <v>50</v>
      </c>
      <c r="E925" s="334">
        <v>50</v>
      </c>
      <c r="F925" s="844">
        <v>50</v>
      </c>
      <c r="G925" s="844">
        <v>50</v>
      </c>
      <c r="H925" s="861">
        <v>50</v>
      </c>
      <c r="I925" s="47">
        <v>50</v>
      </c>
      <c r="J925" s="47">
        <v>50</v>
      </c>
      <c r="K925" s="47">
        <v>50</v>
      </c>
      <c r="L925" s="47">
        <v>50</v>
      </c>
      <c r="M925" s="47">
        <v>50</v>
      </c>
      <c r="N925" s="47">
        <v>50</v>
      </c>
    </row>
    <row r="926" spans="1:14" x14ac:dyDescent="0.25">
      <c r="A926" s="28" t="s">
        <v>18</v>
      </c>
      <c r="B926" s="334">
        <v>50</v>
      </c>
      <c r="C926" s="334">
        <v>52.5</v>
      </c>
      <c r="D926" s="334">
        <v>23.9</v>
      </c>
      <c r="E926" s="334">
        <v>23.9</v>
      </c>
      <c r="F926" s="844">
        <v>27.6</v>
      </c>
      <c r="G926" s="844">
        <v>27.6</v>
      </c>
      <c r="H926" s="844">
        <v>32.6</v>
      </c>
      <c r="I926" s="47">
        <v>55</v>
      </c>
      <c r="J926" s="47">
        <v>50</v>
      </c>
      <c r="K926" s="47">
        <v>50</v>
      </c>
      <c r="L926" s="47">
        <v>50</v>
      </c>
      <c r="M926" s="47">
        <v>50</v>
      </c>
      <c r="N926" s="47">
        <v>50</v>
      </c>
    </row>
    <row r="927" spans="1:14" ht="25" x14ac:dyDescent="0.25">
      <c r="A927" s="28" t="s">
        <v>19</v>
      </c>
      <c r="B927" s="361">
        <v>50</v>
      </c>
      <c r="C927" s="361">
        <v>52.5</v>
      </c>
      <c r="D927" s="335" t="s">
        <v>80</v>
      </c>
      <c r="E927" s="344" t="s">
        <v>81</v>
      </c>
      <c r="F927" s="855" t="s">
        <v>82</v>
      </c>
      <c r="G927" s="855" t="s">
        <v>83</v>
      </c>
      <c r="H927" s="855" t="s">
        <v>84</v>
      </c>
      <c r="I927" s="797" t="s">
        <v>269</v>
      </c>
      <c r="J927" s="797" t="s">
        <v>572</v>
      </c>
      <c r="K927" s="797" t="s">
        <v>1360</v>
      </c>
      <c r="L927" s="797" t="s">
        <v>1361</v>
      </c>
      <c r="M927" s="797" t="s">
        <v>1362</v>
      </c>
      <c r="N927" s="797"/>
    </row>
    <row r="928" spans="1:14" x14ac:dyDescent="0.25">
      <c r="A928" s="28" t="s">
        <v>20</v>
      </c>
      <c r="B928" s="30">
        <v>102.21</v>
      </c>
      <c r="C928" s="30">
        <v>119.69</v>
      </c>
      <c r="D928" s="30">
        <v>101.54</v>
      </c>
      <c r="E928" s="30">
        <v>14.67</v>
      </c>
      <c r="F928" s="47">
        <v>0.17</v>
      </c>
      <c r="G928" s="47">
        <v>0.7</v>
      </c>
      <c r="H928" s="47">
        <v>3.0670000000000002</v>
      </c>
      <c r="I928" s="47">
        <v>14.32</v>
      </c>
      <c r="J928" s="47">
        <v>1.1000000000000001</v>
      </c>
      <c r="K928" s="47">
        <v>9.2259999999999991</v>
      </c>
      <c r="L928" s="47">
        <v>10.220000000000001</v>
      </c>
      <c r="M928" s="47">
        <v>13.373999999999999</v>
      </c>
      <c r="N928" s="47"/>
    </row>
    <row r="929" spans="1:14" x14ac:dyDescent="0.25">
      <c r="A929" s="28" t="s">
        <v>21</v>
      </c>
      <c r="B929" s="30">
        <v>-52.21</v>
      </c>
      <c r="C929" s="30">
        <v>-67.19</v>
      </c>
      <c r="D929" s="30">
        <v>-77.640000000000015</v>
      </c>
      <c r="E929" s="30">
        <f t="shared" ref="E929:J929" si="48">E926-E928</f>
        <v>9.2299999999999986</v>
      </c>
      <c r="F929" s="47">
        <f t="shared" si="48"/>
        <v>27.43</v>
      </c>
      <c r="G929" s="47">
        <f t="shared" si="48"/>
        <v>26.900000000000002</v>
      </c>
      <c r="H929" s="47">
        <f t="shared" si="48"/>
        <v>29.533000000000001</v>
      </c>
      <c r="I929" s="47">
        <f t="shared" si="48"/>
        <v>40.68</v>
      </c>
      <c r="J929" s="47">
        <f t="shared" si="48"/>
        <v>48.9</v>
      </c>
      <c r="K929" s="47">
        <f t="shared" ref="K929:N929" si="49">K926-K928</f>
        <v>40.774000000000001</v>
      </c>
      <c r="L929" s="47">
        <f t="shared" si="49"/>
        <v>39.78</v>
      </c>
      <c r="M929" s="47">
        <f t="shared" si="49"/>
        <v>36.626000000000005</v>
      </c>
      <c r="N929" s="47">
        <f t="shared" si="49"/>
        <v>50</v>
      </c>
    </row>
    <row r="930" spans="1:14" x14ac:dyDescent="0.25">
      <c r="A930" s="34" t="s">
        <v>22</v>
      </c>
      <c r="B930" s="215">
        <v>2016</v>
      </c>
      <c r="C930" s="215">
        <v>2017</v>
      </c>
      <c r="D930" s="215">
        <v>2018</v>
      </c>
      <c r="E930" s="215">
        <v>2019</v>
      </c>
      <c r="F930" s="257" t="s">
        <v>72</v>
      </c>
      <c r="G930" s="257" t="s">
        <v>73</v>
      </c>
      <c r="H930" s="257" t="s">
        <v>161</v>
      </c>
      <c r="I930" s="257" t="s">
        <v>161</v>
      </c>
      <c r="J930" s="257" t="s">
        <v>161</v>
      </c>
      <c r="K930" s="257" t="s">
        <v>161</v>
      </c>
      <c r="L930" s="257" t="s">
        <v>161</v>
      </c>
      <c r="M930" s="257" t="s">
        <v>161</v>
      </c>
      <c r="N930" s="257" t="s">
        <v>161</v>
      </c>
    </row>
    <row r="931" spans="1:14" x14ac:dyDescent="0.25">
      <c r="A931" s="34" t="s">
        <v>493</v>
      </c>
      <c r="B931" s="243"/>
      <c r="C931" s="243"/>
      <c r="D931" s="243"/>
      <c r="E931" s="243"/>
      <c r="F931" s="788"/>
      <c r="G931" s="788"/>
      <c r="H931" s="788"/>
      <c r="I931" s="788"/>
      <c r="J931" s="789"/>
    </row>
    <row r="932" spans="1:14" x14ac:dyDescent="0.25">
      <c r="A932" s="359" t="s">
        <v>494</v>
      </c>
      <c r="B932" s="360"/>
      <c r="C932" s="360"/>
      <c r="D932" s="360"/>
      <c r="E932" s="360"/>
      <c r="F932" s="873"/>
      <c r="G932" s="873"/>
      <c r="H932" s="873"/>
      <c r="I932" s="873"/>
      <c r="J932" s="675"/>
    </row>
    <row r="933" spans="1:14" x14ac:dyDescent="0.25">
      <c r="A933" s="362"/>
      <c r="B933" s="362"/>
      <c r="C933" s="362"/>
      <c r="D933" s="362"/>
      <c r="E933" s="362"/>
      <c r="F933" s="874"/>
      <c r="G933" s="874"/>
      <c r="H933" s="874"/>
      <c r="I933" s="874"/>
    </row>
    <row r="935" spans="1:14" x14ac:dyDescent="0.25">
      <c r="A935" s="8" t="s">
        <v>11</v>
      </c>
      <c r="B935" s="9" t="s">
        <v>361</v>
      </c>
      <c r="C935" s="5"/>
    </row>
    <row r="936" spans="1:14" x14ac:dyDescent="0.25">
      <c r="A936" s="207" t="s">
        <v>1</v>
      </c>
      <c r="B936" s="57" t="s">
        <v>624</v>
      </c>
      <c r="C936" s="27" t="s">
        <v>2</v>
      </c>
    </row>
    <row r="937" spans="1:14" x14ac:dyDescent="0.25">
      <c r="A937" s="28" t="s">
        <v>3</v>
      </c>
      <c r="B937" s="210">
        <v>2015</v>
      </c>
      <c r="C937" s="210">
        <v>2016</v>
      </c>
      <c r="D937" s="231">
        <v>2017</v>
      </c>
      <c r="E937" s="210">
        <v>2018</v>
      </c>
      <c r="F937" s="770">
        <v>2019</v>
      </c>
      <c r="G937" s="770">
        <v>2020</v>
      </c>
      <c r="H937" s="770">
        <v>2021</v>
      </c>
      <c r="I937" s="770">
        <v>2022</v>
      </c>
      <c r="J937" s="770">
        <v>2023</v>
      </c>
      <c r="K937" s="770">
        <v>2024</v>
      </c>
      <c r="L937" s="770">
        <v>2025</v>
      </c>
      <c r="M937" s="752">
        <v>2026</v>
      </c>
    </row>
    <row r="938" spans="1:14" x14ac:dyDescent="0.25">
      <c r="A938" s="28" t="s">
        <v>4</v>
      </c>
      <c r="B938" s="212">
        <v>200</v>
      </c>
      <c r="C938" s="233">
        <v>200</v>
      </c>
      <c r="D938" s="212">
        <v>200</v>
      </c>
      <c r="E938" s="234">
        <v>200</v>
      </c>
      <c r="F938" s="781">
        <v>215</v>
      </c>
      <c r="G938" s="781">
        <v>215</v>
      </c>
      <c r="H938" s="781">
        <v>242</v>
      </c>
      <c r="I938" s="781">
        <v>242</v>
      </c>
      <c r="J938" s="781">
        <v>242</v>
      </c>
      <c r="K938" s="781">
        <v>302</v>
      </c>
      <c r="L938" s="781">
        <v>302</v>
      </c>
      <c r="M938" s="709">
        <v>302</v>
      </c>
    </row>
    <row r="939" spans="1:14" x14ac:dyDescent="0.25">
      <c r="A939" s="28" t="s">
        <v>5</v>
      </c>
      <c r="B939" s="212">
        <f>200+(200*25%)</f>
        <v>250</v>
      </c>
      <c r="C939" s="212">
        <f>200+(200*25%)</f>
        <v>250</v>
      </c>
      <c r="D939" s="212">
        <f>200+(200*25%)</f>
        <v>250</v>
      </c>
      <c r="E939" s="212">
        <f>200+(200*25%)</f>
        <v>250</v>
      </c>
      <c r="F939" s="781">
        <f t="shared" ref="F939:K939" si="50">F938+0.25*E938</f>
        <v>265</v>
      </c>
      <c r="G939" s="781">
        <f t="shared" si="50"/>
        <v>268.75</v>
      </c>
      <c r="H939" s="781">
        <f t="shared" si="50"/>
        <v>295.75</v>
      </c>
      <c r="I939" s="781">
        <f t="shared" si="50"/>
        <v>302.5</v>
      </c>
      <c r="J939" s="781">
        <f t="shared" si="50"/>
        <v>302.5</v>
      </c>
      <c r="K939" s="781">
        <f t="shared" si="50"/>
        <v>362.5</v>
      </c>
      <c r="L939" s="781">
        <f>L938+0.25*K938</f>
        <v>377.5</v>
      </c>
      <c r="M939" s="781">
        <f>M938+0.25*L938</f>
        <v>377.5</v>
      </c>
    </row>
    <row r="940" spans="1:14" x14ac:dyDescent="0.25">
      <c r="A940" s="28" t="s">
        <v>6</v>
      </c>
      <c r="B940" s="31">
        <v>2</v>
      </c>
      <c r="C940" s="363">
        <v>3</v>
      </c>
      <c r="D940" s="31">
        <v>4</v>
      </c>
      <c r="E940" s="364">
        <v>5</v>
      </c>
      <c r="F940" s="875">
        <v>6</v>
      </c>
      <c r="G940" s="667">
        <v>7</v>
      </c>
      <c r="H940" s="667">
        <v>8</v>
      </c>
      <c r="I940" s="667">
        <v>9</v>
      </c>
      <c r="J940" s="667">
        <v>10</v>
      </c>
      <c r="K940" s="667">
        <v>11</v>
      </c>
      <c r="L940" s="667">
        <v>12</v>
      </c>
      <c r="M940" s="709">
        <v>13</v>
      </c>
    </row>
    <row r="941" spans="1:14" x14ac:dyDescent="0.25">
      <c r="A941" s="28" t="s">
        <v>7</v>
      </c>
      <c r="B941" s="30">
        <v>0</v>
      </c>
      <c r="C941" s="250">
        <v>0</v>
      </c>
      <c r="D941" s="30">
        <v>0</v>
      </c>
      <c r="E941" s="251">
        <v>0</v>
      </c>
      <c r="F941" s="795">
        <v>0</v>
      </c>
      <c r="G941" s="47">
        <v>0</v>
      </c>
      <c r="H941" s="47">
        <v>0</v>
      </c>
      <c r="I941" s="47">
        <v>0</v>
      </c>
      <c r="J941" s="47">
        <v>0</v>
      </c>
      <c r="K941" s="47">
        <v>0</v>
      </c>
      <c r="L941" s="47">
        <v>0</v>
      </c>
      <c r="M941" s="709"/>
    </row>
    <row r="942" spans="1:14" x14ac:dyDescent="0.25">
      <c r="A942" s="28" t="s">
        <v>8</v>
      </c>
      <c r="B942" s="212">
        <f>B939-B941</f>
        <v>250</v>
      </c>
      <c r="C942" s="212">
        <f>C939-C941</f>
        <v>250</v>
      </c>
      <c r="D942" s="212">
        <f>D939-D941</f>
        <v>250</v>
      </c>
      <c r="E942" s="234">
        <v>250</v>
      </c>
      <c r="F942" s="781">
        <f t="shared" ref="F942:L942" si="51">F939-F941</f>
        <v>265</v>
      </c>
      <c r="G942" s="781">
        <f t="shared" si="51"/>
        <v>268.75</v>
      </c>
      <c r="H942" s="781">
        <f t="shared" si="51"/>
        <v>295.75</v>
      </c>
      <c r="I942" s="781">
        <f t="shared" si="51"/>
        <v>302.5</v>
      </c>
      <c r="J942" s="781">
        <f t="shared" si="51"/>
        <v>302.5</v>
      </c>
      <c r="K942" s="781">
        <f>K939-K941</f>
        <v>362.5</v>
      </c>
      <c r="L942" s="781">
        <f t="shared" si="51"/>
        <v>377.5</v>
      </c>
      <c r="M942" s="709"/>
    </row>
    <row r="943" spans="1:14" x14ac:dyDescent="0.25">
      <c r="A943" s="36" t="s">
        <v>9</v>
      </c>
      <c r="B943" s="365">
        <v>2016</v>
      </c>
      <c r="C943" s="365">
        <v>2017</v>
      </c>
      <c r="D943" s="365">
        <v>2018</v>
      </c>
      <c r="E943" s="365">
        <v>2019</v>
      </c>
      <c r="F943" s="876">
        <v>2020</v>
      </c>
      <c r="G943" s="876">
        <v>2021</v>
      </c>
      <c r="H943" s="876">
        <v>2022</v>
      </c>
      <c r="I943" s="876">
        <v>2023</v>
      </c>
      <c r="J943" s="876">
        <v>2024</v>
      </c>
      <c r="K943" s="876">
        <v>2025</v>
      </c>
      <c r="L943" s="876">
        <v>2026</v>
      </c>
      <c r="M943" s="703">
        <v>2027</v>
      </c>
    </row>
    <row r="944" spans="1:14" x14ac:dyDescent="0.25">
      <c r="A944" s="36" t="s">
        <v>10</v>
      </c>
      <c r="B944" s="37"/>
      <c r="C944" s="37"/>
      <c r="D944" s="37"/>
      <c r="E944" s="37"/>
      <c r="F944" s="669"/>
      <c r="G944" s="669"/>
      <c r="H944" s="669"/>
      <c r="I944" s="669"/>
      <c r="J944" s="669"/>
      <c r="K944" s="669"/>
      <c r="L944" s="669"/>
      <c r="M944" s="672"/>
    </row>
    <row r="945" spans="1:15" x14ac:dyDescent="0.25">
      <c r="A945" s="36" t="s">
        <v>362</v>
      </c>
      <c r="B945" s="37"/>
      <c r="C945" s="37"/>
      <c r="D945" s="37"/>
      <c r="E945" s="37"/>
      <c r="F945" s="669"/>
      <c r="G945" s="669"/>
      <c r="H945" s="669"/>
      <c r="I945" s="669"/>
      <c r="J945" s="669"/>
      <c r="K945" s="669"/>
      <c r="L945" s="669"/>
      <c r="M945" s="672"/>
    </row>
    <row r="946" spans="1:15" x14ac:dyDescent="0.25">
      <c r="A946" s="64" t="s">
        <v>792</v>
      </c>
      <c r="M946" s="684"/>
    </row>
    <row r="947" spans="1:15" x14ac:dyDescent="0.25">
      <c r="A947" s="64" t="s">
        <v>793</v>
      </c>
      <c r="M947" s="684"/>
    </row>
    <row r="948" spans="1:15" x14ac:dyDescent="0.25">
      <c r="A948" s="64" t="s">
        <v>794</v>
      </c>
      <c r="M948" s="684"/>
    </row>
    <row r="949" spans="1:15" x14ac:dyDescent="0.25">
      <c r="A949" s="64" t="s">
        <v>795</v>
      </c>
      <c r="M949" s="684"/>
    </row>
    <row r="950" spans="1:15" x14ac:dyDescent="0.25">
      <c r="A950" s="64" t="s">
        <v>796</v>
      </c>
      <c r="M950" s="684"/>
    </row>
    <row r="951" spans="1:15" x14ac:dyDescent="0.25">
      <c r="A951" s="64" t="s">
        <v>797</v>
      </c>
      <c r="M951" s="684"/>
    </row>
    <row r="952" spans="1:15" x14ac:dyDescent="0.25">
      <c r="A952" s="64" t="s">
        <v>798</v>
      </c>
      <c r="M952" s="684"/>
    </row>
    <row r="953" spans="1:15" x14ac:dyDescent="0.25">
      <c r="A953" s="64" t="s">
        <v>799</v>
      </c>
      <c r="M953" s="684"/>
    </row>
    <row r="954" spans="1:15" x14ac:dyDescent="0.25">
      <c r="A954" s="64" t="s">
        <v>800</v>
      </c>
      <c r="M954" s="684"/>
    </row>
    <row r="955" spans="1:15" x14ac:dyDescent="0.25">
      <c r="A955" s="64" t="s">
        <v>962</v>
      </c>
      <c r="M955" s="684"/>
    </row>
    <row r="956" spans="1:15" x14ac:dyDescent="0.25">
      <c r="A956" s="72" t="s">
        <v>1218</v>
      </c>
      <c r="B956" s="73"/>
      <c r="C956" s="73"/>
      <c r="D956" s="73"/>
      <c r="E956" s="73"/>
      <c r="F956" s="685"/>
      <c r="G956" s="685"/>
      <c r="H956" s="685"/>
      <c r="I956" s="685"/>
      <c r="J956" s="685"/>
      <c r="K956" s="685"/>
      <c r="L956" s="685"/>
      <c r="M956" s="675"/>
    </row>
    <row r="958" spans="1:15" s="7" customFormat="1" x14ac:dyDescent="0.25">
      <c r="A958" s="366" t="s">
        <v>1</v>
      </c>
      <c r="B958" s="367" t="s">
        <v>623</v>
      </c>
      <c r="C958" s="368" t="s">
        <v>2</v>
      </c>
      <c r="F958" s="378"/>
      <c r="G958" s="378"/>
      <c r="H958" s="378"/>
      <c r="I958" s="378"/>
      <c r="J958" s="378"/>
      <c r="K958" s="378"/>
      <c r="L958" s="378"/>
      <c r="M958" s="378"/>
      <c r="N958" s="378"/>
      <c r="O958" s="378"/>
    </row>
    <row r="959" spans="1:15" s="7" customFormat="1" x14ac:dyDescent="0.25">
      <c r="A959" s="369" t="s">
        <v>3</v>
      </c>
      <c r="B959" s="370">
        <v>2015</v>
      </c>
      <c r="C959" s="370">
        <v>2016</v>
      </c>
      <c r="D959" s="371">
        <v>2017</v>
      </c>
      <c r="E959" s="370">
        <v>2018</v>
      </c>
      <c r="F959" s="877">
        <v>2019</v>
      </c>
      <c r="G959" s="877">
        <v>2020</v>
      </c>
      <c r="H959" s="877">
        <v>2021</v>
      </c>
      <c r="I959" s="877">
        <v>2022</v>
      </c>
      <c r="J959" s="877">
        <v>2023</v>
      </c>
      <c r="K959" s="877">
        <v>2024</v>
      </c>
      <c r="L959" s="877">
        <v>2025</v>
      </c>
      <c r="M959" s="877">
        <v>2026</v>
      </c>
      <c r="N959" s="378"/>
      <c r="O959" s="378"/>
    </row>
    <row r="960" spans="1:15" s="7" customFormat="1" x14ac:dyDescent="0.25">
      <c r="A960" s="369" t="s">
        <v>4</v>
      </c>
      <c r="B960" s="340">
        <v>40</v>
      </c>
      <c r="C960" s="340">
        <v>40</v>
      </c>
      <c r="D960" s="372">
        <v>40</v>
      </c>
      <c r="E960" s="340">
        <v>40</v>
      </c>
      <c r="F960" s="878">
        <v>40</v>
      </c>
      <c r="G960" s="878">
        <v>40</v>
      </c>
      <c r="H960" s="878">
        <v>40</v>
      </c>
      <c r="I960" s="878">
        <v>40</v>
      </c>
      <c r="J960" s="878">
        <v>40</v>
      </c>
      <c r="K960" s="878">
        <v>40</v>
      </c>
      <c r="L960" s="878">
        <v>40</v>
      </c>
      <c r="M960" s="878">
        <v>40</v>
      </c>
      <c r="N960" s="378"/>
      <c r="O960" s="378"/>
    </row>
    <row r="961" spans="1:15" s="7" customFormat="1" x14ac:dyDescent="0.25">
      <c r="A961" s="369" t="s">
        <v>5</v>
      </c>
      <c r="B961" s="340">
        <f>40+(40*50%)+40</f>
        <v>100</v>
      </c>
      <c r="C961" s="340">
        <f>40+(40*50%)+40</f>
        <v>100</v>
      </c>
      <c r="D961" s="340">
        <v>112.75</v>
      </c>
      <c r="E961" s="340">
        <v>108.75</v>
      </c>
      <c r="F961" s="851">
        <v>108.75</v>
      </c>
      <c r="G961" s="851">
        <v>108.75</v>
      </c>
      <c r="H961" s="851">
        <v>108.75</v>
      </c>
      <c r="I961" s="851">
        <f>I960+0.4*G960+40</f>
        <v>96</v>
      </c>
      <c r="J961" s="851">
        <v>96</v>
      </c>
      <c r="K961" s="851">
        <f>K960+0.4*I960+40</f>
        <v>96</v>
      </c>
      <c r="L961" s="851">
        <f>L960+0.4*J960+40</f>
        <v>96</v>
      </c>
      <c r="M961" s="851">
        <f>M960+0.4*K960</f>
        <v>56</v>
      </c>
      <c r="N961" s="378"/>
      <c r="O961" s="378"/>
    </row>
    <row r="962" spans="1:15" s="7" customFormat="1" x14ac:dyDescent="0.25">
      <c r="A962" s="369" t="s">
        <v>6</v>
      </c>
      <c r="B962" s="259">
        <v>1</v>
      </c>
      <c r="C962" s="259">
        <v>2</v>
      </c>
      <c r="D962" s="373">
        <v>3</v>
      </c>
      <c r="E962" s="259">
        <v>4</v>
      </c>
      <c r="F962" s="879">
        <v>5</v>
      </c>
      <c r="G962" s="797">
        <v>6</v>
      </c>
      <c r="H962" s="797">
        <v>7</v>
      </c>
      <c r="I962" s="797">
        <v>8</v>
      </c>
      <c r="J962" s="797">
        <v>9</v>
      </c>
      <c r="K962" s="797">
        <v>10</v>
      </c>
      <c r="L962" s="797">
        <v>11</v>
      </c>
      <c r="M962" s="797">
        <v>12</v>
      </c>
      <c r="N962" s="378"/>
      <c r="O962" s="378"/>
    </row>
    <row r="963" spans="1:15" s="7" customFormat="1" x14ac:dyDescent="0.25">
      <c r="A963" s="369" t="s">
        <v>7</v>
      </c>
      <c r="B963" s="340">
        <v>0</v>
      </c>
      <c r="C963" s="340">
        <v>0</v>
      </c>
      <c r="D963" s="372">
        <v>0</v>
      </c>
      <c r="E963" s="340">
        <v>0</v>
      </c>
      <c r="F963" s="878">
        <v>0</v>
      </c>
      <c r="G963" s="851">
        <v>0</v>
      </c>
      <c r="H963" s="851">
        <v>0</v>
      </c>
      <c r="I963" s="851">
        <v>78</v>
      </c>
      <c r="J963" s="851">
        <v>0</v>
      </c>
      <c r="K963" s="851">
        <v>0</v>
      </c>
      <c r="L963" s="851">
        <v>0</v>
      </c>
      <c r="M963" s="851"/>
      <c r="N963" s="378"/>
      <c r="O963" s="378"/>
    </row>
    <row r="964" spans="1:15" s="7" customFormat="1" x14ac:dyDescent="0.25">
      <c r="A964" s="369" t="s">
        <v>8</v>
      </c>
      <c r="B964" s="340">
        <f t="shared" ref="B964:G964" si="52">B961-B963</f>
        <v>100</v>
      </c>
      <c r="C964" s="340">
        <f t="shared" si="52"/>
        <v>100</v>
      </c>
      <c r="D964" s="340">
        <f t="shared" si="52"/>
        <v>112.75</v>
      </c>
      <c r="E964" s="340">
        <f t="shared" si="52"/>
        <v>108.75</v>
      </c>
      <c r="F964" s="851">
        <f t="shared" si="52"/>
        <v>108.75</v>
      </c>
      <c r="G964" s="851">
        <f t="shared" si="52"/>
        <v>108.75</v>
      </c>
      <c r="H964" s="851">
        <v>108.75</v>
      </c>
      <c r="I964" s="851">
        <f>I961-I963</f>
        <v>18</v>
      </c>
      <c r="J964" s="851">
        <f>J961-J963</f>
        <v>96</v>
      </c>
      <c r="K964" s="851">
        <f>K961-K963</f>
        <v>96</v>
      </c>
      <c r="L964" s="851">
        <f>L961-L963</f>
        <v>96</v>
      </c>
      <c r="M964" s="851">
        <f>M961-M963</f>
        <v>56</v>
      </c>
      <c r="N964" s="378"/>
      <c r="O964" s="378"/>
    </row>
    <row r="965" spans="1:15" s="7" customFormat="1" x14ac:dyDescent="0.25">
      <c r="A965" s="374" t="s">
        <v>9</v>
      </c>
      <c r="B965" s="22">
        <v>2017</v>
      </c>
      <c r="C965" s="22">
        <v>2018</v>
      </c>
      <c r="D965" s="22">
        <v>2019</v>
      </c>
      <c r="E965" s="22">
        <v>2020</v>
      </c>
      <c r="F965" s="661">
        <v>2021</v>
      </c>
      <c r="G965" s="880">
        <v>2022</v>
      </c>
      <c r="H965" s="880">
        <v>2023</v>
      </c>
      <c r="I965" s="880">
        <v>2024</v>
      </c>
      <c r="J965" s="880">
        <v>2025</v>
      </c>
      <c r="K965" s="880">
        <v>2026</v>
      </c>
      <c r="L965" s="880">
        <v>2027</v>
      </c>
      <c r="M965" s="661">
        <v>2027</v>
      </c>
      <c r="N965" s="378"/>
      <c r="O965" s="378"/>
    </row>
    <row r="966" spans="1:15" s="7" customFormat="1" x14ac:dyDescent="0.25">
      <c r="A966" s="53" t="s">
        <v>10</v>
      </c>
      <c r="B966" s="54"/>
      <c r="C966" s="54"/>
      <c r="D966" s="54"/>
      <c r="E966" s="54"/>
      <c r="F966" s="375"/>
      <c r="G966" s="881"/>
      <c r="H966" s="881"/>
      <c r="I966" s="881"/>
      <c r="J966" s="881"/>
      <c r="K966" s="881"/>
      <c r="L966" s="881"/>
      <c r="M966" s="661"/>
      <c r="N966" s="378"/>
      <c r="O966" s="378"/>
    </row>
    <row r="967" spans="1:15" s="7" customFormat="1" x14ac:dyDescent="0.25">
      <c r="A967" s="374" t="s">
        <v>362</v>
      </c>
      <c r="B967" s="376"/>
      <c r="C967" s="376"/>
      <c r="D967" s="376"/>
      <c r="E967" s="376"/>
      <c r="F967" s="881"/>
      <c r="G967" s="881"/>
      <c r="H967" s="881"/>
      <c r="I967" s="881"/>
      <c r="J967" s="881"/>
      <c r="K967" s="881"/>
      <c r="L967" s="881"/>
      <c r="M967" s="882"/>
      <c r="N967" s="378"/>
      <c r="O967" s="378"/>
    </row>
    <row r="968" spans="1:15" s="7" customFormat="1" x14ac:dyDescent="0.25">
      <c r="A968" s="240" t="s">
        <v>363</v>
      </c>
      <c r="B968" s="241"/>
      <c r="C968" s="241"/>
      <c r="D968" s="241"/>
      <c r="E968" s="241"/>
      <c r="F968" s="241"/>
      <c r="G968" s="378"/>
      <c r="H968" s="378"/>
      <c r="I968" s="378"/>
      <c r="J968" s="378"/>
      <c r="K968" s="378"/>
      <c r="L968" s="378"/>
      <c r="M968" s="379"/>
      <c r="N968" s="378"/>
      <c r="O968" s="378"/>
    </row>
    <row r="969" spans="1:15" s="7" customFormat="1" x14ac:dyDescent="0.25">
      <c r="A969" s="240" t="s">
        <v>364</v>
      </c>
      <c r="B969" s="241"/>
      <c r="C969" s="241"/>
      <c r="D969" s="241"/>
      <c r="E969" s="241"/>
      <c r="F969" s="241"/>
      <c r="G969" s="378"/>
      <c r="H969" s="378"/>
      <c r="I969" s="378"/>
      <c r="J969" s="378"/>
      <c r="K969" s="378"/>
      <c r="L969" s="378"/>
      <c r="M969" s="379"/>
      <c r="N969" s="378"/>
      <c r="O969" s="378"/>
    </row>
    <row r="970" spans="1:15" s="7" customFormat="1" ht="45" customHeight="1" x14ac:dyDescent="0.25">
      <c r="A970" s="240" t="s">
        <v>365</v>
      </c>
      <c r="B970" s="241"/>
      <c r="C970" s="241"/>
      <c r="D970" s="241"/>
      <c r="E970" s="241"/>
      <c r="F970" s="241"/>
      <c r="G970" s="241"/>
      <c r="H970" s="378"/>
      <c r="I970" s="378"/>
      <c r="J970" s="378"/>
      <c r="K970" s="378"/>
      <c r="L970" s="378"/>
      <c r="M970" s="379"/>
      <c r="N970" s="378"/>
      <c r="O970" s="378"/>
    </row>
    <row r="971" spans="1:15" s="7" customFormat="1" ht="30" customHeight="1" x14ac:dyDescent="0.25">
      <c r="A971" s="240" t="s">
        <v>967</v>
      </c>
      <c r="B971" s="241"/>
      <c r="C971" s="241"/>
      <c r="D971" s="241"/>
      <c r="E971" s="241"/>
      <c r="F971" s="241"/>
      <c r="G971" s="241"/>
      <c r="H971" s="378"/>
      <c r="I971" s="378"/>
      <c r="J971" s="378"/>
      <c r="K971" s="378"/>
      <c r="L971" s="378"/>
      <c r="M971" s="379"/>
      <c r="N971" s="378"/>
      <c r="O971" s="378"/>
    </row>
    <row r="972" spans="1:15" s="7" customFormat="1" ht="30" customHeight="1" x14ac:dyDescent="0.25">
      <c r="A972" s="240" t="s">
        <v>966</v>
      </c>
      <c r="B972" s="241"/>
      <c r="C972" s="241"/>
      <c r="D972" s="241"/>
      <c r="E972" s="241"/>
      <c r="F972" s="241"/>
      <c r="G972" s="241"/>
      <c r="H972" s="378"/>
      <c r="I972" s="378"/>
      <c r="J972" s="378"/>
      <c r="K972" s="378"/>
      <c r="L972" s="378"/>
      <c r="M972" s="379"/>
      <c r="N972" s="378"/>
      <c r="O972" s="378"/>
    </row>
    <row r="973" spans="1:15" s="7" customFormat="1" ht="30" customHeight="1" x14ac:dyDescent="0.25">
      <c r="A973" s="240" t="s">
        <v>965</v>
      </c>
      <c r="B973" s="241"/>
      <c r="C973" s="241"/>
      <c r="D973" s="241"/>
      <c r="E973" s="241"/>
      <c r="F973" s="241"/>
      <c r="G973" s="241"/>
      <c r="H973" s="378"/>
      <c r="I973" s="378"/>
      <c r="J973" s="378"/>
      <c r="K973" s="378"/>
      <c r="L973" s="378"/>
      <c r="M973" s="379"/>
      <c r="N973" s="378"/>
      <c r="O973" s="378"/>
    </row>
    <row r="974" spans="1:15" s="7" customFormat="1" ht="30" customHeight="1" x14ac:dyDescent="0.25">
      <c r="A974" s="240" t="s">
        <v>964</v>
      </c>
      <c r="B974" s="241"/>
      <c r="C974" s="241"/>
      <c r="D974" s="241"/>
      <c r="E974" s="241"/>
      <c r="F974" s="241"/>
      <c r="G974" s="241"/>
      <c r="H974" s="378"/>
      <c r="I974" s="378"/>
      <c r="J974" s="378"/>
      <c r="K974" s="378"/>
      <c r="L974" s="378"/>
      <c r="M974" s="379"/>
      <c r="N974" s="378"/>
      <c r="O974" s="378"/>
    </row>
    <row r="975" spans="1:15" s="7" customFormat="1" ht="30" customHeight="1" x14ac:dyDescent="0.25">
      <c r="A975" s="219" t="s">
        <v>963</v>
      </c>
      <c r="B975" s="246"/>
      <c r="C975" s="246"/>
      <c r="D975" s="246"/>
      <c r="E975" s="246"/>
      <c r="F975" s="377"/>
      <c r="G975" s="377"/>
      <c r="H975" s="378"/>
      <c r="I975" s="378"/>
      <c r="J975" s="378"/>
      <c r="K975" s="378"/>
      <c r="L975" s="378"/>
      <c r="M975" s="379"/>
      <c r="N975" s="378"/>
      <c r="O975" s="378"/>
    </row>
    <row r="976" spans="1:15" s="378" customFormat="1" ht="30" customHeight="1" x14ac:dyDescent="0.25">
      <c r="A976" s="222" t="s">
        <v>1126</v>
      </c>
      <c r="B976" s="377"/>
      <c r="C976" s="377"/>
      <c r="D976" s="377"/>
      <c r="E976" s="377"/>
      <c r="F976" s="377"/>
      <c r="G976" s="377"/>
      <c r="M976" s="379"/>
    </row>
    <row r="977" spans="1:15" s="378" customFormat="1" ht="30" customHeight="1" x14ac:dyDescent="0.25">
      <c r="A977" s="222" t="s">
        <v>968</v>
      </c>
      <c r="B977" s="377"/>
      <c r="C977" s="377"/>
      <c r="D977" s="377"/>
      <c r="E977" s="377"/>
      <c r="F977" s="377"/>
      <c r="G977" s="377"/>
      <c r="M977" s="379"/>
    </row>
    <row r="978" spans="1:15" s="7" customFormat="1" ht="30" customHeight="1" x14ac:dyDescent="0.25">
      <c r="A978" s="41" t="s">
        <v>1217</v>
      </c>
      <c r="B978" s="42"/>
      <c r="C978" s="42"/>
      <c r="D978" s="42"/>
      <c r="E978" s="42"/>
      <c r="F978" s="42"/>
      <c r="G978" s="42"/>
      <c r="H978" s="883"/>
      <c r="I978" s="883"/>
      <c r="J978" s="883"/>
      <c r="K978" s="883"/>
      <c r="L978" s="883"/>
      <c r="M978" s="884"/>
      <c r="N978" s="378"/>
      <c r="O978" s="378"/>
    </row>
    <row r="980" spans="1:15" x14ac:dyDescent="0.25">
      <c r="A980" s="8" t="s">
        <v>1</v>
      </c>
      <c r="B980" s="9" t="s">
        <v>645</v>
      </c>
      <c r="C980" s="368" t="s">
        <v>2</v>
      </c>
    </row>
    <row r="981" spans="1:15" x14ac:dyDescent="0.25">
      <c r="A981" s="28" t="s">
        <v>3</v>
      </c>
      <c r="B981" s="210">
        <v>2015</v>
      </c>
      <c r="C981" s="210">
        <v>2016</v>
      </c>
      <c r="D981" s="231">
        <v>2017</v>
      </c>
      <c r="E981" s="210">
        <v>2018</v>
      </c>
      <c r="F981" s="770">
        <v>2019</v>
      </c>
      <c r="G981" s="770">
        <v>2020</v>
      </c>
      <c r="H981" s="770">
        <v>2021</v>
      </c>
      <c r="I981" s="770">
        <v>2022</v>
      </c>
      <c r="J981" s="770">
        <v>2023</v>
      </c>
      <c r="K981" s="770">
        <v>2024</v>
      </c>
      <c r="L981" s="501">
        <v>2025</v>
      </c>
      <c r="M981" s="501">
        <v>2026</v>
      </c>
    </row>
    <row r="982" spans="1:15" x14ac:dyDescent="0.25">
      <c r="A982" s="28" t="s">
        <v>4</v>
      </c>
      <c r="B982" s="30">
        <v>4.51</v>
      </c>
      <c r="C982" s="30">
        <v>4.51</v>
      </c>
      <c r="D982" s="250">
        <v>4.51</v>
      </c>
      <c r="E982" s="30">
        <v>5.31</v>
      </c>
      <c r="F982" s="795">
        <v>5.31</v>
      </c>
      <c r="G982" s="47">
        <v>5.31</v>
      </c>
      <c r="H982" s="47">
        <v>5.31</v>
      </c>
      <c r="I982" s="47">
        <v>6.18</v>
      </c>
      <c r="J982" s="47">
        <v>6.18</v>
      </c>
      <c r="K982" s="47">
        <v>6.18</v>
      </c>
      <c r="L982" s="496">
        <v>6.18</v>
      </c>
      <c r="M982" s="496">
        <v>7.09</v>
      </c>
    </row>
    <row r="983" spans="1:15" x14ac:dyDescent="0.25">
      <c r="A983" s="28" t="s">
        <v>5</v>
      </c>
      <c r="B983" s="30">
        <v>8.51</v>
      </c>
      <c r="C983" s="30">
        <v>9.02</v>
      </c>
      <c r="D983" s="30">
        <v>4.1899999999999995</v>
      </c>
      <c r="E983" s="30">
        <v>9.5</v>
      </c>
      <c r="F983" s="47">
        <f>2*F982-9.62</f>
        <v>1</v>
      </c>
      <c r="G983" s="47">
        <f>G982+F986-4.78</f>
        <v>1.5299999999999994</v>
      </c>
      <c r="H983" s="47">
        <f>H982+G986-4.78</f>
        <v>2.0599999999999987</v>
      </c>
      <c r="I983" s="47">
        <f>I982+H986-4.78</f>
        <v>3.4599999999999982</v>
      </c>
      <c r="J983" s="47">
        <f>J982+I986-5.18</f>
        <v>4.4599999999999973</v>
      </c>
      <c r="K983" s="47">
        <f>K982+J986</f>
        <v>10.639999999999997</v>
      </c>
      <c r="L983" s="496">
        <f>L982+K982</f>
        <v>12.36</v>
      </c>
      <c r="M983" s="496">
        <f>M982+L982</f>
        <v>13.27</v>
      </c>
    </row>
    <row r="984" spans="1:15" x14ac:dyDescent="0.25">
      <c r="A984" s="28" t="s">
        <v>6</v>
      </c>
      <c r="B984" s="29">
        <v>1</v>
      </c>
      <c r="C984" s="29">
        <v>2</v>
      </c>
      <c r="D984" s="61">
        <v>3</v>
      </c>
      <c r="E984" s="29">
        <v>4</v>
      </c>
      <c r="F984" s="681">
        <v>5</v>
      </c>
      <c r="G984" s="46">
        <v>6</v>
      </c>
      <c r="H984" s="46">
        <v>7</v>
      </c>
      <c r="I984" s="46">
        <v>8</v>
      </c>
      <c r="J984" s="46">
        <v>9</v>
      </c>
      <c r="K984" s="46">
        <v>10</v>
      </c>
      <c r="L984" s="709">
        <v>11</v>
      </c>
      <c r="M984" s="709">
        <v>12</v>
      </c>
    </row>
    <row r="985" spans="1:15" x14ac:dyDescent="0.25">
      <c r="A985" s="28" t="s">
        <v>7</v>
      </c>
      <c r="B985" s="30">
        <v>0.17</v>
      </c>
      <c r="C985" s="30">
        <v>9.34</v>
      </c>
      <c r="D985" s="250">
        <v>0</v>
      </c>
      <c r="E985" s="30">
        <v>0</v>
      </c>
      <c r="F985" s="795">
        <v>0</v>
      </c>
      <c r="G985" s="47">
        <v>0</v>
      </c>
      <c r="H985" s="47">
        <v>0</v>
      </c>
      <c r="I985" s="47">
        <v>0</v>
      </c>
      <c r="J985" s="47">
        <v>0</v>
      </c>
      <c r="K985" s="47">
        <v>0</v>
      </c>
      <c r="L985" s="496">
        <v>0.56000000000000005</v>
      </c>
      <c r="M985" s="496"/>
    </row>
    <row r="986" spans="1:15" x14ac:dyDescent="0.25">
      <c r="A986" s="28" t="s">
        <v>8</v>
      </c>
      <c r="B986" s="30">
        <v>8.34</v>
      </c>
      <c r="C986" s="30">
        <v>-0.32000000000000028</v>
      </c>
      <c r="D986" s="30">
        <v>4.1899999999999995</v>
      </c>
      <c r="E986" s="30">
        <v>9.5</v>
      </c>
      <c r="F986" s="795">
        <f>F983-F985</f>
        <v>1</v>
      </c>
      <c r="G986" s="47">
        <f>G983</f>
        <v>1.5299999999999994</v>
      </c>
      <c r="H986" s="47">
        <f>H983</f>
        <v>2.0599999999999987</v>
      </c>
      <c r="I986" s="47">
        <f>I983-I985</f>
        <v>3.4599999999999982</v>
      </c>
      <c r="J986" s="47">
        <f>J983-J985</f>
        <v>4.4599999999999973</v>
      </c>
      <c r="K986" s="47">
        <f>K983-K985</f>
        <v>10.639999999999997</v>
      </c>
      <c r="L986" s="47">
        <f>L983-L985</f>
        <v>11.799999999999999</v>
      </c>
      <c r="M986" s="496"/>
    </row>
    <row r="987" spans="1:15" x14ac:dyDescent="0.25">
      <c r="A987" s="34" t="s">
        <v>9</v>
      </c>
      <c r="B987" s="35">
        <v>2016</v>
      </c>
      <c r="C987" s="35">
        <v>2017</v>
      </c>
      <c r="D987" s="35">
        <v>2018</v>
      </c>
      <c r="E987" s="35">
        <v>2019</v>
      </c>
      <c r="F987" s="49">
        <v>2020</v>
      </c>
      <c r="G987" s="49">
        <v>2021</v>
      </c>
      <c r="H987" s="49">
        <v>2022</v>
      </c>
      <c r="I987" s="49">
        <v>2023</v>
      </c>
      <c r="J987" s="49">
        <v>2024</v>
      </c>
      <c r="K987" s="49">
        <v>2025</v>
      </c>
      <c r="L987" s="703">
        <v>2026</v>
      </c>
      <c r="M987" s="703">
        <v>2027</v>
      </c>
    </row>
    <row r="988" spans="1:15" x14ac:dyDescent="0.25">
      <c r="A988" s="36" t="s">
        <v>10</v>
      </c>
      <c r="B988" s="37"/>
      <c r="C988" s="37"/>
      <c r="D988" s="37"/>
      <c r="E988" s="37"/>
      <c r="F988" s="669"/>
      <c r="G988" s="669"/>
      <c r="H988" s="669"/>
      <c r="I988" s="669"/>
      <c r="J988" s="669"/>
      <c r="K988" s="669"/>
      <c r="L988" s="669"/>
      <c r="M988" s="672"/>
    </row>
    <row r="989" spans="1:15" x14ac:dyDescent="0.25">
      <c r="A989" s="82" t="s">
        <v>366</v>
      </c>
      <c r="B989" s="84"/>
      <c r="C989" s="84"/>
      <c r="D989" s="84"/>
      <c r="E989" s="84"/>
      <c r="F989" s="697"/>
      <c r="G989" s="697"/>
      <c r="H989" s="697"/>
      <c r="I989" s="697"/>
      <c r="J989" s="697"/>
      <c r="K989" s="697"/>
      <c r="L989" s="697"/>
      <c r="M989" s="704"/>
    </row>
    <row r="990" spans="1:15" x14ac:dyDescent="0.25">
      <c r="A990" s="64" t="s">
        <v>367</v>
      </c>
      <c r="M990" s="684"/>
    </row>
    <row r="991" spans="1:15" x14ac:dyDescent="0.25">
      <c r="A991" s="64" t="s">
        <v>368</v>
      </c>
      <c r="M991" s="684"/>
    </row>
    <row r="992" spans="1:15" x14ac:dyDescent="0.25">
      <c r="A992" s="64" t="s">
        <v>369</v>
      </c>
      <c r="M992" s="684"/>
    </row>
    <row r="993" spans="1:13" x14ac:dyDescent="0.25">
      <c r="A993" s="64" t="s">
        <v>596</v>
      </c>
      <c r="M993" s="684"/>
    </row>
    <row r="994" spans="1:13" x14ac:dyDescent="0.25">
      <c r="A994" s="64" t="s">
        <v>589</v>
      </c>
      <c r="M994" s="684"/>
    </row>
    <row r="995" spans="1:13" x14ac:dyDescent="0.25">
      <c r="A995" s="64" t="s">
        <v>588</v>
      </c>
      <c r="M995" s="684"/>
    </row>
    <row r="996" spans="1:13" x14ac:dyDescent="0.25">
      <c r="A996" s="64" t="s">
        <v>597</v>
      </c>
      <c r="M996" s="684"/>
    </row>
    <row r="997" spans="1:13" x14ac:dyDescent="0.25">
      <c r="A997" s="64" t="s">
        <v>801</v>
      </c>
      <c r="M997" s="684"/>
    </row>
    <row r="998" spans="1:13" x14ac:dyDescent="0.25">
      <c r="A998" s="64" t="s">
        <v>969</v>
      </c>
      <c r="M998" s="684"/>
    </row>
    <row r="999" spans="1:13" x14ac:dyDescent="0.25">
      <c r="A999" s="72" t="s">
        <v>1228</v>
      </c>
      <c r="B999" s="73"/>
      <c r="C999" s="73"/>
      <c r="D999" s="73"/>
      <c r="E999" s="73"/>
      <c r="F999" s="685"/>
      <c r="G999" s="685"/>
      <c r="H999" s="685"/>
      <c r="I999" s="685"/>
      <c r="J999" s="685"/>
      <c r="K999" s="685"/>
      <c r="L999" s="685"/>
      <c r="M999" s="675"/>
    </row>
    <row r="1001" spans="1:13" x14ac:dyDescent="0.25">
      <c r="A1001" s="10" t="s">
        <v>12</v>
      </c>
      <c r="B1001" s="11" t="s">
        <v>249</v>
      </c>
      <c r="C1001" s="381"/>
      <c r="D1001" s="13"/>
      <c r="E1001" s="13"/>
      <c r="F1001" s="657"/>
    </row>
    <row r="1002" spans="1:13" x14ac:dyDescent="0.25">
      <c r="A1002" s="10" t="s">
        <v>14</v>
      </c>
      <c r="B1002" s="11" t="s">
        <v>66</v>
      </c>
      <c r="C1002" s="92" t="s">
        <v>15</v>
      </c>
      <c r="D1002" s="13"/>
      <c r="E1002" s="13"/>
      <c r="F1002" s="657"/>
    </row>
    <row r="1003" spans="1:13" x14ac:dyDescent="0.25">
      <c r="A1003" s="93" t="s">
        <v>16</v>
      </c>
      <c r="B1003" s="300">
        <v>2015</v>
      </c>
      <c r="C1003" s="300">
        <v>2016</v>
      </c>
      <c r="D1003" s="382">
        <v>2017</v>
      </c>
      <c r="E1003" s="300">
        <v>2018</v>
      </c>
      <c r="F1003" s="887">
        <v>2019</v>
      </c>
      <c r="G1003" s="887">
        <v>2020</v>
      </c>
      <c r="H1003" s="887">
        <v>2021</v>
      </c>
      <c r="I1003" s="887">
        <v>2022</v>
      </c>
      <c r="J1003" s="887">
        <v>2023</v>
      </c>
      <c r="K1003" s="888">
        <v>2024</v>
      </c>
      <c r="L1003" s="888">
        <v>2025</v>
      </c>
      <c r="M1003" s="888">
        <v>2026</v>
      </c>
    </row>
    <row r="1004" spans="1:13" x14ac:dyDescent="0.25">
      <c r="A1004" s="93" t="s">
        <v>17</v>
      </c>
      <c r="B1004" s="30">
        <v>4722</v>
      </c>
      <c r="C1004" s="30">
        <v>4250</v>
      </c>
      <c r="D1004" s="30">
        <v>4250</v>
      </c>
      <c r="E1004" s="30">
        <v>4250</v>
      </c>
      <c r="F1004" s="47">
        <v>4250</v>
      </c>
      <c r="G1004" s="47">
        <v>3968.23</v>
      </c>
      <c r="H1004" s="47">
        <v>3904.7383199999999</v>
      </c>
      <c r="I1004" s="47">
        <v>3936.48416</v>
      </c>
      <c r="J1004" s="47">
        <v>3936.48416</v>
      </c>
      <c r="K1004" s="496">
        <v>4445.8500000000004</v>
      </c>
      <c r="L1004" s="496">
        <v>4445.8500000000004</v>
      </c>
      <c r="M1004" s="690">
        <v>4445.8500000000004</v>
      </c>
    </row>
    <row r="1005" spans="1:13" x14ac:dyDescent="0.25">
      <c r="A1005" s="93" t="s">
        <v>18</v>
      </c>
      <c r="B1005" s="30">
        <v>6614.6</v>
      </c>
      <c r="C1005" s="30">
        <f>C1004+70+583-337</f>
        <v>4566</v>
      </c>
      <c r="D1005" s="30">
        <f>D1004-337+70+B1008+C1008</f>
        <v>4433.3230000000003</v>
      </c>
      <c r="E1005" s="30">
        <f>E1004-337+70</f>
        <v>3983</v>
      </c>
      <c r="F1005" s="47">
        <f>F1004+70+D1008</f>
        <v>4667.3230000000003</v>
      </c>
      <c r="G1005" s="47">
        <f>G1004+E1008</f>
        <v>4380.2299999999996</v>
      </c>
      <c r="H1005" s="47">
        <f>H1004+425</f>
        <v>4329.7383200000004</v>
      </c>
      <c r="I1005" s="47">
        <f>I1004+396.82</f>
        <v>4333.3041599999997</v>
      </c>
      <c r="J1005" s="47">
        <f t="shared" ref="J1005" si="53">J1004+396.82</f>
        <v>4333.3041599999997</v>
      </c>
      <c r="K1005" s="47">
        <f>K1004+393.648</f>
        <v>4839.4980000000005</v>
      </c>
      <c r="L1005" s="47">
        <f>L1004+393.648</f>
        <v>4839.4980000000005</v>
      </c>
      <c r="M1005" s="690"/>
    </row>
    <row r="1006" spans="1:13" x14ac:dyDescent="0.25">
      <c r="A1006" s="93" t="s">
        <v>19</v>
      </c>
      <c r="B1006" s="31"/>
      <c r="C1006" s="31">
        <v>1</v>
      </c>
      <c r="D1006" s="31">
        <v>2</v>
      </c>
      <c r="E1006" s="31">
        <v>3</v>
      </c>
      <c r="F1006" s="667">
        <v>4</v>
      </c>
      <c r="G1006" s="667">
        <v>5</v>
      </c>
      <c r="H1006" s="667">
        <v>6</v>
      </c>
      <c r="I1006" s="667">
        <v>7</v>
      </c>
      <c r="J1006" s="667">
        <v>8</v>
      </c>
      <c r="K1006" s="889">
        <v>9</v>
      </c>
      <c r="L1006" s="889">
        <v>10</v>
      </c>
      <c r="M1006" s="690">
        <v>11</v>
      </c>
    </row>
    <row r="1007" spans="1:13" x14ac:dyDescent="0.25">
      <c r="A1007" s="93" t="s">
        <v>20</v>
      </c>
      <c r="B1007" s="30">
        <v>5917.6769999999997</v>
      </c>
      <c r="C1007" s="30">
        <v>4812.6000000000004</v>
      </c>
      <c r="D1007" s="30">
        <v>4086</v>
      </c>
      <c r="E1007" s="30">
        <v>3571</v>
      </c>
      <c r="F1007" s="47">
        <v>2864.5</v>
      </c>
      <c r="G1007" s="47">
        <v>2932.5</v>
      </c>
      <c r="H1007" s="47">
        <v>1925</v>
      </c>
      <c r="I1007" s="47">
        <v>3672</v>
      </c>
      <c r="J1007" s="47">
        <v>2371</v>
      </c>
      <c r="K1007" s="496">
        <v>2345</v>
      </c>
      <c r="L1007" s="496">
        <v>2628</v>
      </c>
      <c r="M1007" s="690"/>
    </row>
    <row r="1008" spans="1:13" x14ac:dyDescent="0.25">
      <c r="A1008" s="93" t="s">
        <v>21</v>
      </c>
      <c r="B1008" s="30">
        <f t="shared" ref="B1008:H1008" si="54">B1005-B1007</f>
        <v>696.92300000000068</v>
      </c>
      <c r="C1008" s="30">
        <f t="shared" si="54"/>
        <v>-246.60000000000036</v>
      </c>
      <c r="D1008" s="30">
        <f t="shared" si="54"/>
        <v>347.32300000000032</v>
      </c>
      <c r="E1008" s="30">
        <f t="shared" si="54"/>
        <v>412</v>
      </c>
      <c r="F1008" s="47">
        <f t="shared" si="54"/>
        <v>1802.8230000000003</v>
      </c>
      <c r="G1008" s="47">
        <f t="shared" si="54"/>
        <v>1447.7299999999996</v>
      </c>
      <c r="H1008" s="47">
        <f t="shared" si="54"/>
        <v>2404.7383200000004</v>
      </c>
      <c r="I1008" s="47">
        <f>I1005-I1007</f>
        <v>661.30415999999968</v>
      </c>
      <c r="J1008" s="47">
        <f>J1005-J1007</f>
        <v>1962.3041599999997</v>
      </c>
      <c r="K1008" s="496">
        <f>K1005-K1007</f>
        <v>2494.4980000000005</v>
      </c>
      <c r="L1008" s="496">
        <f>L1005-L1007</f>
        <v>2211.4980000000005</v>
      </c>
      <c r="M1008" s="690"/>
    </row>
    <row r="1009" spans="1:13" x14ac:dyDescent="0.25">
      <c r="A1009" s="130" t="s">
        <v>22</v>
      </c>
      <c r="B1009" s="384">
        <v>2017</v>
      </c>
      <c r="C1009" s="384">
        <v>2018</v>
      </c>
      <c r="D1009" s="384">
        <v>2019</v>
      </c>
      <c r="E1009" s="384">
        <v>2020</v>
      </c>
      <c r="F1009" s="890">
        <v>2021</v>
      </c>
      <c r="G1009" s="890">
        <v>2022</v>
      </c>
      <c r="H1009" s="890">
        <v>2023</v>
      </c>
      <c r="I1009" s="890">
        <v>2024</v>
      </c>
      <c r="J1009" s="890">
        <v>2025</v>
      </c>
      <c r="K1009" s="890">
        <v>2026</v>
      </c>
      <c r="L1009" s="890">
        <v>2027</v>
      </c>
      <c r="M1009" s="779">
        <v>2027</v>
      </c>
    </row>
    <row r="1010" spans="1:13" x14ac:dyDescent="0.25">
      <c r="A1010" s="385"/>
      <c r="B1010" s="84"/>
      <c r="C1010" s="386"/>
      <c r="D1010" s="84"/>
      <c r="E1010" s="84"/>
      <c r="F1010" s="697"/>
      <c r="G1010" s="697"/>
      <c r="H1010" s="697"/>
      <c r="I1010" s="697"/>
      <c r="J1010" s="697"/>
      <c r="K1010" s="697"/>
      <c r="L1010" s="697"/>
      <c r="M1010" s="704"/>
    </row>
    <row r="1011" spans="1:13" x14ac:dyDescent="0.25">
      <c r="A1011" s="64" t="s">
        <v>598</v>
      </c>
      <c r="M1011" s="684"/>
    </row>
    <row r="1012" spans="1:13" x14ac:dyDescent="0.25">
      <c r="A1012" s="64" t="s">
        <v>599</v>
      </c>
      <c r="M1012" s="684"/>
    </row>
    <row r="1013" spans="1:13" x14ac:dyDescent="0.25">
      <c r="A1013" s="64" t="s">
        <v>600</v>
      </c>
      <c r="C1013" s="387"/>
      <c r="M1013" s="684"/>
    </row>
    <row r="1014" spans="1:13" x14ac:dyDescent="0.25">
      <c r="A1014" s="64" t="s">
        <v>601</v>
      </c>
      <c r="C1014" s="387"/>
      <c r="M1014" s="684"/>
    </row>
    <row r="1015" spans="1:13" x14ac:dyDescent="0.25">
      <c r="A1015" s="64" t="s">
        <v>602</v>
      </c>
      <c r="C1015" s="387"/>
      <c r="M1015" s="684"/>
    </row>
    <row r="1016" spans="1:13" x14ac:dyDescent="0.25">
      <c r="A1016" s="64" t="s">
        <v>501</v>
      </c>
      <c r="M1016" s="684"/>
    </row>
    <row r="1017" spans="1:13" x14ac:dyDescent="0.25">
      <c r="A1017" s="64" t="s">
        <v>736</v>
      </c>
      <c r="M1017" s="684"/>
    </row>
    <row r="1018" spans="1:13" x14ac:dyDescent="0.25">
      <c r="A1018" s="64" t="s">
        <v>735</v>
      </c>
      <c r="M1018" s="684"/>
    </row>
    <row r="1019" spans="1:13" x14ac:dyDescent="0.25">
      <c r="A1019" s="64" t="s">
        <v>972</v>
      </c>
      <c r="M1019" s="684"/>
    </row>
    <row r="1020" spans="1:13" x14ac:dyDescent="0.25">
      <c r="A1020" s="64" t="s">
        <v>1274</v>
      </c>
      <c r="M1020" s="684"/>
    </row>
    <row r="1021" spans="1:13" x14ac:dyDescent="0.25">
      <c r="A1021" s="72" t="s">
        <v>1275</v>
      </c>
      <c r="B1021" s="73"/>
      <c r="C1021" s="73"/>
      <c r="D1021" s="73"/>
      <c r="E1021" s="73"/>
      <c r="F1021" s="685"/>
      <c r="G1021" s="685"/>
      <c r="H1021" s="685"/>
      <c r="I1021" s="685"/>
      <c r="J1021" s="685"/>
      <c r="K1021" s="685"/>
      <c r="L1021" s="685"/>
      <c r="M1021" s="675"/>
    </row>
    <row r="1023" spans="1:13" ht="13" x14ac:dyDescent="0.3">
      <c r="A1023" s="4"/>
      <c r="B1023" s="5"/>
      <c r="C1023" s="5"/>
      <c r="D1023" s="5"/>
      <c r="E1023" s="5"/>
      <c r="F1023" s="653"/>
      <c r="G1023" s="654"/>
    </row>
    <row r="1024" spans="1:13" x14ac:dyDescent="0.25">
      <c r="A1024" s="8" t="s">
        <v>12</v>
      </c>
      <c r="B1024" s="9" t="s">
        <v>934</v>
      </c>
      <c r="C1024" s="13"/>
    </row>
    <row r="1025" spans="1:15" s="75" customFormat="1" ht="14.5" x14ac:dyDescent="0.35">
      <c r="A1025" s="27" t="s">
        <v>14</v>
      </c>
      <c r="B1025" s="27" t="s">
        <v>623</v>
      </c>
      <c r="C1025" s="27" t="s">
        <v>15</v>
      </c>
      <c r="D1025" s="74"/>
      <c r="E1025" s="74"/>
      <c r="F1025" s="686"/>
      <c r="G1025" s="686"/>
      <c r="H1025" s="686"/>
      <c r="I1025" s="686"/>
      <c r="J1025" s="686"/>
      <c r="K1025" s="891"/>
      <c r="L1025" s="891"/>
      <c r="M1025" s="687"/>
      <c r="N1025" s="687"/>
      <c r="O1025" s="687"/>
    </row>
    <row r="1026" spans="1:15" s="75" customFormat="1" ht="14.5" x14ac:dyDescent="0.35">
      <c r="A1026" s="29" t="s">
        <v>16</v>
      </c>
      <c r="B1026" s="27">
        <v>2016</v>
      </c>
      <c r="C1026" s="388">
        <v>2017</v>
      </c>
      <c r="D1026" s="27">
        <v>2018</v>
      </c>
      <c r="E1026" s="388">
        <v>2019</v>
      </c>
      <c r="F1026" s="666">
        <v>2020</v>
      </c>
      <c r="G1026" s="892">
        <v>2021</v>
      </c>
      <c r="H1026" s="892">
        <v>2022</v>
      </c>
      <c r="I1026" s="892">
        <v>2023</v>
      </c>
      <c r="J1026" s="892">
        <v>2024</v>
      </c>
      <c r="K1026" s="893">
        <v>2025</v>
      </c>
      <c r="L1026" s="893">
        <v>2026</v>
      </c>
      <c r="M1026" s="687"/>
      <c r="N1026" s="687"/>
      <c r="O1026" s="687"/>
    </row>
    <row r="1027" spans="1:15" s="75" customFormat="1" ht="14.5" x14ac:dyDescent="0.35">
      <c r="A1027" s="29" t="s">
        <v>17</v>
      </c>
      <c r="B1027" s="30">
        <v>0</v>
      </c>
      <c r="C1027" s="30">
        <v>0</v>
      </c>
      <c r="D1027" s="30">
        <v>0</v>
      </c>
      <c r="E1027" s="30">
        <v>0</v>
      </c>
      <c r="F1027" s="47">
        <v>0</v>
      </c>
      <c r="G1027" s="47">
        <v>0</v>
      </c>
      <c r="H1027" s="47">
        <v>0</v>
      </c>
      <c r="I1027" s="47">
        <v>0</v>
      </c>
      <c r="J1027" s="47">
        <v>0</v>
      </c>
      <c r="K1027" s="496">
        <v>0</v>
      </c>
      <c r="L1027" s="496">
        <v>0</v>
      </c>
      <c r="M1027" s="687"/>
      <c r="N1027" s="687"/>
      <c r="O1027" s="687"/>
    </row>
    <row r="1028" spans="1:15" s="75" customFormat="1" ht="14.5" x14ac:dyDescent="0.35">
      <c r="A1028" s="29" t="s">
        <v>18</v>
      </c>
      <c r="B1028" s="30"/>
      <c r="C1028" s="30">
        <f>C1027+B1031</f>
        <v>-28.55546</v>
      </c>
      <c r="D1028" s="30">
        <f>D1027+C1031</f>
        <v>-64.828410000000005</v>
      </c>
      <c r="E1028" s="30">
        <f>E1027+D1031</f>
        <v>-100.71838</v>
      </c>
      <c r="F1028" s="47">
        <f>F1027+E1031</f>
        <v>-122.58440999999999</v>
      </c>
      <c r="G1028" s="47">
        <f>G1027+F1031</f>
        <v>-137.94472999999999</v>
      </c>
      <c r="H1028" s="47">
        <f>H1027+(G1031)</f>
        <v>-142.25473</v>
      </c>
      <c r="I1028" s="47">
        <f>I1027+(H1031)</f>
        <v>-149.03372999999999</v>
      </c>
      <c r="J1028" s="47">
        <f>J1027+(I1031)</f>
        <v>-165.23183999999998</v>
      </c>
      <c r="K1028" s="496">
        <f>K1027+(J1031)</f>
        <v>-171.79183999999998</v>
      </c>
      <c r="L1028" s="496">
        <f>L1027+(K1031)</f>
        <v>-171.79183999999998</v>
      </c>
      <c r="M1028" s="687"/>
      <c r="N1028" s="687"/>
      <c r="O1028" s="687"/>
    </row>
    <row r="1029" spans="1:15" s="75" customFormat="1" ht="14.5" x14ac:dyDescent="0.35">
      <c r="A1029" s="29" t="s">
        <v>19</v>
      </c>
      <c r="B1029" s="29"/>
      <c r="C1029" s="29">
        <v>1</v>
      </c>
      <c r="D1029" s="29">
        <v>2</v>
      </c>
      <c r="E1029" s="29">
        <v>3</v>
      </c>
      <c r="F1029" s="46">
        <v>4</v>
      </c>
      <c r="G1029" s="46">
        <v>5</v>
      </c>
      <c r="H1029" s="46">
        <v>6</v>
      </c>
      <c r="I1029" s="46">
        <v>7</v>
      </c>
      <c r="J1029" s="46">
        <v>8</v>
      </c>
      <c r="K1029" s="894">
        <v>9</v>
      </c>
      <c r="L1029" s="894">
        <v>10</v>
      </c>
      <c r="M1029" s="687"/>
      <c r="N1029" s="687"/>
      <c r="O1029" s="687"/>
    </row>
    <row r="1030" spans="1:15" s="75" customFormat="1" ht="15" x14ac:dyDescent="0.35">
      <c r="A1030" s="29" t="s">
        <v>20</v>
      </c>
      <c r="B1030" s="390">
        <v>28.55546</v>
      </c>
      <c r="C1030" s="390">
        <v>36.272950000000002</v>
      </c>
      <c r="D1030" s="390">
        <v>35.889969999999998</v>
      </c>
      <c r="E1030" s="390">
        <v>21.866029999999999</v>
      </c>
      <c r="F1030" s="895">
        <v>15.36032</v>
      </c>
      <c r="G1030" s="895">
        <v>4.3099999999999996</v>
      </c>
      <c r="H1030" s="895">
        <v>6.7789999999999999</v>
      </c>
      <c r="I1030" s="694">
        <v>16.19811</v>
      </c>
      <c r="J1030" s="694">
        <v>6.56</v>
      </c>
      <c r="K1030" s="894"/>
      <c r="L1030" s="894"/>
      <c r="M1030" s="687"/>
      <c r="N1030" s="687"/>
      <c r="O1030" s="687"/>
    </row>
    <row r="1031" spans="1:15" s="75" customFormat="1" ht="14.5" x14ac:dyDescent="0.35">
      <c r="A1031" s="29" t="s">
        <v>21</v>
      </c>
      <c r="B1031" s="30">
        <f>B1027-B1030</f>
        <v>-28.55546</v>
      </c>
      <c r="C1031" s="30">
        <f t="shared" ref="C1031:K1031" si="55">C1028-C1030</f>
        <v>-64.828410000000005</v>
      </c>
      <c r="D1031" s="30">
        <f t="shared" si="55"/>
        <v>-100.71838</v>
      </c>
      <c r="E1031" s="30">
        <f t="shared" si="55"/>
        <v>-122.58440999999999</v>
      </c>
      <c r="F1031" s="47">
        <f t="shared" si="55"/>
        <v>-137.94472999999999</v>
      </c>
      <c r="G1031" s="47">
        <f t="shared" si="55"/>
        <v>-142.25473</v>
      </c>
      <c r="H1031" s="47">
        <f t="shared" si="55"/>
        <v>-149.03372999999999</v>
      </c>
      <c r="I1031" s="47">
        <f t="shared" si="55"/>
        <v>-165.23183999999998</v>
      </c>
      <c r="J1031" s="47">
        <f>J1028-J1030</f>
        <v>-171.79183999999998</v>
      </c>
      <c r="K1031" s="47">
        <f t="shared" si="55"/>
        <v>-171.79183999999998</v>
      </c>
      <c r="L1031" s="894"/>
      <c r="M1031" s="687"/>
      <c r="N1031" s="687"/>
      <c r="O1031" s="687"/>
    </row>
    <row r="1032" spans="1:15" s="75" customFormat="1" ht="14.5" x14ac:dyDescent="0.35">
      <c r="A1032" s="90" t="s">
        <v>22</v>
      </c>
      <c r="B1032" s="90">
        <v>2017</v>
      </c>
      <c r="C1032" s="90">
        <v>2018</v>
      </c>
      <c r="D1032" s="90">
        <v>2019</v>
      </c>
      <c r="E1032" s="90">
        <v>2020</v>
      </c>
      <c r="F1032" s="703">
        <v>2021</v>
      </c>
      <c r="G1032" s="703">
        <v>2022</v>
      </c>
      <c r="H1032" s="703">
        <v>2023</v>
      </c>
      <c r="I1032" s="703">
        <v>2024</v>
      </c>
      <c r="J1032" s="703">
        <v>2025</v>
      </c>
      <c r="K1032" s="896">
        <v>2026</v>
      </c>
      <c r="L1032" s="896">
        <v>2027</v>
      </c>
      <c r="M1032" s="687"/>
      <c r="N1032" s="687"/>
      <c r="O1032" s="687"/>
    </row>
    <row r="1033" spans="1:15" s="75" customFormat="1" ht="14.5" x14ac:dyDescent="0.35">
      <c r="A1033" s="36">
        <v>1</v>
      </c>
      <c r="B1033" s="196" t="s">
        <v>935</v>
      </c>
      <c r="C1033" s="37"/>
      <c r="D1033" s="37"/>
      <c r="E1033" s="37"/>
      <c r="F1033" s="669"/>
      <c r="G1033" s="669"/>
      <c r="H1033" s="669"/>
      <c r="I1033" s="669"/>
      <c r="J1033" s="669"/>
      <c r="K1033" s="897"/>
      <c r="L1033" s="672"/>
      <c r="M1033" s="687"/>
      <c r="N1033" s="687"/>
      <c r="O1033" s="687"/>
    </row>
    <row r="1034" spans="1:15" s="75" customFormat="1" ht="14.5" x14ac:dyDescent="0.35">
      <c r="A1034" s="64">
        <v>2</v>
      </c>
      <c r="B1034" s="74" t="s">
        <v>936</v>
      </c>
      <c r="C1034" s="6"/>
      <c r="D1034" s="6"/>
      <c r="E1034" s="6"/>
      <c r="F1034" s="68"/>
      <c r="G1034" s="68"/>
      <c r="H1034" s="68"/>
      <c r="I1034" s="68"/>
      <c r="J1034" s="68"/>
      <c r="K1034" s="687"/>
      <c r="L1034" s="684"/>
      <c r="M1034" s="687"/>
      <c r="N1034" s="687"/>
      <c r="O1034" s="687"/>
    </row>
    <row r="1035" spans="1:15" s="75" customFormat="1" ht="14.5" x14ac:dyDescent="0.35">
      <c r="A1035" s="64">
        <v>3</v>
      </c>
      <c r="B1035" s="74" t="s">
        <v>937</v>
      </c>
      <c r="C1035" s="6"/>
      <c r="D1035" s="6"/>
      <c r="E1035" s="6"/>
      <c r="F1035" s="68"/>
      <c r="G1035" s="68"/>
      <c r="H1035" s="68"/>
      <c r="I1035" s="68"/>
      <c r="J1035" s="68"/>
      <c r="K1035" s="687"/>
      <c r="L1035" s="684"/>
      <c r="M1035" s="687"/>
      <c r="N1035" s="687"/>
      <c r="O1035" s="687"/>
    </row>
    <row r="1036" spans="1:15" s="75" customFormat="1" ht="14.5" x14ac:dyDescent="0.35">
      <c r="A1036" s="64">
        <v>4</v>
      </c>
      <c r="B1036" s="74" t="s">
        <v>938</v>
      </c>
      <c r="C1036" s="6"/>
      <c r="D1036" s="6"/>
      <c r="E1036" s="6"/>
      <c r="F1036" s="68"/>
      <c r="G1036" s="68"/>
      <c r="H1036" s="68"/>
      <c r="I1036" s="68"/>
      <c r="J1036" s="68"/>
      <c r="K1036" s="687"/>
      <c r="L1036" s="684"/>
      <c r="M1036" s="687"/>
      <c r="N1036" s="687"/>
      <c r="O1036" s="687"/>
    </row>
    <row r="1037" spans="1:15" s="75" customFormat="1" ht="14.5" x14ac:dyDescent="0.35">
      <c r="A1037" s="64">
        <v>5</v>
      </c>
      <c r="B1037" s="74" t="s">
        <v>939</v>
      </c>
      <c r="C1037" s="6"/>
      <c r="D1037" s="6"/>
      <c r="E1037" s="6"/>
      <c r="F1037" s="68"/>
      <c r="G1037" s="68"/>
      <c r="H1037" s="68"/>
      <c r="I1037" s="68"/>
      <c r="J1037" s="68"/>
      <c r="K1037" s="687"/>
      <c r="L1037" s="684"/>
      <c r="M1037" s="687"/>
      <c r="N1037" s="687"/>
      <c r="O1037" s="687"/>
    </row>
    <row r="1038" spans="1:15" s="75" customFormat="1" ht="14.5" x14ac:dyDescent="0.35">
      <c r="A1038" s="64">
        <v>6</v>
      </c>
      <c r="B1038" s="74" t="s">
        <v>942</v>
      </c>
      <c r="C1038" s="6"/>
      <c r="D1038" s="6"/>
      <c r="E1038" s="6"/>
      <c r="F1038" s="68"/>
      <c r="G1038" s="68"/>
      <c r="H1038" s="68"/>
      <c r="I1038" s="68"/>
      <c r="J1038" s="68"/>
      <c r="K1038" s="687"/>
      <c r="L1038" s="684"/>
      <c r="M1038" s="687"/>
      <c r="N1038" s="687"/>
      <c r="O1038" s="687"/>
    </row>
    <row r="1039" spans="1:15" s="75" customFormat="1" ht="14.5" x14ac:dyDescent="0.35">
      <c r="A1039" s="64">
        <v>7</v>
      </c>
      <c r="B1039" s="74" t="s">
        <v>943</v>
      </c>
      <c r="C1039" s="6"/>
      <c r="D1039" s="6"/>
      <c r="E1039" s="6"/>
      <c r="F1039" s="68"/>
      <c r="G1039" s="68"/>
      <c r="H1039" s="68"/>
      <c r="I1039" s="68"/>
      <c r="J1039" s="68"/>
      <c r="K1039" s="687"/>
      <c r="L1039" s="684"/>
      <c r="M1039" s="687"/>
      <c r="N1039" s="687"/>
      <c r="O1039" s="687"/>
    </row>
    <row r="1040" spans="1:15" s="75" customFormat="1" ht="14.5" x14ac:dyDescent="0.35">
      <c r="A1040" s="64">
        <v>8</v>
      </c>
      <c r="B1040" s="74" t="s">
        <v>1079</v>
      </c>
      <c r="C1040" s="6"/>
      <c r="D1040" s="6"/>
      <c r="E1040" s="6"/>
      <c r="F1040" s="68"/>
      <c r="G1040" s="68"/>
      <c r="H1040" s="68"/>
      <c r="I1040" s="68"/>
      <c r="J1040" s="68"/>
      <c r="K1040" s="687"/>
      <c r="L1040" s="684"/>
      <c r="M1040" s="687"/>
      <c r="N1040" s="687"/>
      <c r="O1040" s="687"/>
    </row>
    <row r="1041" spans="1:15" s="75" customFormat="1" ht="14.5" x14ac:dyDescent="0.35">
      <c r="A1041" s="64">
        <v>9</v>
      </c>
      <c r="B1041" s="74" t="s">
        <v>1114</v>
      </c>
      <c r="C1041" s="6"/>
      <c r="D1041" s="6"/>
      <c r="E1041" s="6"/>
      <c r="F1041" s="68"/>
      <c r="G1041" s="68"/>
      <c r="H1041" s="68"/>
      <c r="I1041" s="68"/>
      <c r="J1041" s="68"/>
      <c r="K1041" s="687"/>
      <c r="L1041" s="684"/>
      <c r="M1041" s="687"/>
      <c r="N1041" s="687"/>
      <c r="O1041" s="687"/>
    </row>
    <row r="1042" spans="1:15" s="394" customFormat="1" ht="14.5" x14ac:dyDescent="0.35">
      <c r="A1042" s="69">
        <v>10</v>
      </c>
      <c r="B1042" s="393" t="s">
        <v>1249</v>
      </c>
      <c r="C1042" s="70"/>
      <c r="D1042" s="70"/>
      <c r="E1042" s="70"/>
      <c r="F1042" s="685"/>
      <c r="G1042" s="685"/>
      <c r="H1042" s="685"/>
      <c r="I1042" s="685"/>
      <c r="J1042" s="685"/>
      <c r="K1042" s="701"/>
      <c r="L1042" s="675"/>
      <c r="M1042" s="687"/>
      <c r="N1042" s="687"/>
      <c r="O1042" s="687"/>
    </row>
    <row r="1044" spans="1:15" s="75" customFormat="1" ht="14.5" x14ac:dyDescent="0.35">
      <c r="A1044" s="27" t="s">
        <v>14</v>
      </c>
      <c r="B1044" s="27" t="s">
        <v>74</v>
      </c>
      <c r="C1044" s="27" t="s">
        <v>15</v>
      </c>
      <c r="D1044" s="74"/>
      <c r="E1044" s="74"/>
      <c r="F1044" s="686"/>
      <c r="G1044" s="686"/>
      <c r="H1044" s="686"/>
      <c r="I1044" s="686"/>
      <c r="J1044" s="686"/>
      <c r="K1044" s="891"/>
      <c r="L1044" s="891"/>
      <c r="M1044" s="687"/>
      <c r="N1044" s="687"/>
      <c r="O1044" s="687"/>
    </row>
    <row r="1045" spans="1:15" s="75" customFormat="1" ht="14.5" x14ac:dyDescent="0.35">
      <c r="A1045" s="29" t="s">
        <v>16</v>
      </c>
      <c r="B1045" s="27">
        <v>2016</v>
      </c>
      <c r="C1045" s="388">
        <v>2017</v>
      </c>
      <c r="D1045" s="27">
        <v>2018</v>
      </c>
      <c r="E1045" s="388">
        <v>2019</v>
      </c>
      <c r="F1045" s="666">
        <v>2020</v>
      </c>
      <c r="G1045" s="892">
        <v>2021</v>
      </c>
      <c r="H1045" s="892">
        <v>2022</v>
      </c>
      <c r="I1045" s="892">
        <v>2023</v>
      </c>
      <c r="J1045" s="892">
        <v>2024</v>
      </c>
      <c r="K1045" s="892">
        <v>2025</v>
      </c>
      <c r="L1045" s="892">
        <v>2026</v>
      </c>
      <c r="M1045" s="687"/>
      <c r="N1045" s="687"/>
      <c r="O1045" s="687"/>
    </row>
    <row r="1046" spans="1:15" s="75" customFormat="1" ht="14.5" x14ac:dyDescent="0.35">
      <c r="A1046" s="29" t="s">
        <v>17</v>
      </c>
      <c r="B1046" s="30">
        <v>10</v>
      </c>
      <c r="C1046" s="30">
        <v>10</v>
      </c>
      <c r="D1046" s="30">
        <v>10</v>
      </c>
      <c r="E1046" s="30">
        <v>10</v>
      </c>
      <c r="F1046" s="47">
        <v>10</v>
      </c>
      <c r="G1046" s="47">
        <v>10</v>
      </c>
      <c r="H1046" s="47">
        <v>10</v>
      </c>
      <c r="I1046" s="47">
        <v>10</v>
      </c>
      <c r="J1046" s="47">
        <v>10</v>
      </c>
      <c r="K1046" s="47">
        <v>10</v>
      </c>
      <c r="L1046" s="47">
        <v>10</v>
      </c>
      <c r="M1046" s="687"/>
      <c r="N1046" s="687"/>
      <c r="O1046" s="687"/>
    </row>
    <row r="1047" spans="1:15" s="75" customFormat="1" ht="14.5" x14ac:dyDescent="0.35">
      <c r="A1047" s="29" t="s">
        <v>18</v>
      </c>
      <c r="B1047" s="30"/>
      <c r="C1047" s="30">
        <f>C1046+B1050</f>
        <v>-32.61403</v>
      </c>
      <c r="D1047" s="30">
        <f>D1046+C1050</f>
        <v>-76.433140000000009</v>
      </c>
      <c r="E1047" s="30">
        <f>E1046+D1050</f>
        <v>-128.10641000000001</v>
      </c>
      <c r="F1047" s="47">
        <f>F1046+E1050</f>
        <v>-187.27213</v>
      </c>
      <c r="G1047" s="47">
        <f>G1046+F1050</f>
        <v>-226.22134</v>
      </c>
      <c r="H1047" s="47">
        <f>H1046+(1.25*G1050)</f>
        <v>-295.64792499999999</v>
      </c>
      <c r="I1047" s="47">
        <f>I1046+(1.25*H1050)</f>
        <v>-383.46615624999998</v>
      </c>
      <c r="J1047" s="47">
        <f t="shared" ref="J1047:L1047" si="56">J1046+(1.25*I1050)</f>
        <v>-554.70544531249993</v>
      </c>
      <c r="K1047" s="47">
        <f t="shared" si="56"/>
        <v>-716.5193066406249</v>
      </c>
      <c r="L1047" s="47">
        <f t="shared" si="56"/>
        <v>-811.05087080078101</v>
      </c>
      <c r="M1047" s="687"/>
      <c r="N1047" s="687"/>
      <c r="O1047" s="687"/>
    </row>
    <row r="1048" spans="1:15" s="75" customFormat="1" ht="14.5" x14ac:dyDescent="0.35">
      <c r="A1048" s="29" t="s">
        <v>19</v>
      </c>
      <c r="B1048" s="29"/>
      <c r="C1048" s="29">
        <v>1</v>
      </c>
      <c r="D1048" s="29">
        <v>2</v>
      </c>
      <c r="E1048" s="29">
        <v>3</v>
      </c>
      <c r="F1048" s="46">
        <v>4</v>
      </c>
      <c r="G1048" s="46">
        <v>5</v>
      </c>
      <c r="H1048" s="46">
        <v>6</v>
      </c>
      <c r="I1048" s="46">
        <v>7</v>
      </c>
      <c r="J1048" s="46">
        <v>8</v>
      </c>
      <c r="K1048" s="46">
        <v>9</v>
      </c>
      <c r="L1048" s="46">
        <v>10</v>
      </c>
      <c r="M1048" s="687"/>
      <c r="N1048" s="687"/>
      <c r="O1048" s="687"/>
    </row>
    <row r="1049" spans="1:15" s="75" customFormat="1" ht="15" x14ac:dyDescent="0.35">
      <c r="A1049" s="29" t="s">
        <v>20</v>
      </c>
      <c r="B1049" s="390">
        <v>52.61403</v>
      </c>
      <c r="C1049" s="390">
        <v>53.819110000000002</v>
      </c>
      <c r="D1049" s="390">
        <v>61.673270000000002</v>
      </c>
      <c r="E1049" s="390">
        <v>69.165719999999993</v>
      </c>
      <c r="F1049" s="895">
        <v>48.949210000000001</v>
      </c>
      <c r="G1049" s="895">
        <v>18.297000000000001</v>
      </c>
      <c r="H1049" s="895">
        <v>19.125</v>
      </c>
      <c r="I1049" s="694">
        <v>68.298199999999994</v>
      </c>
      <c r="J1049" s="694">
        <v>26.51</v>
      </c>
      <c r="K1049" s="694">
        <v>-59.678609999999999</v>
      </c>
      <c r="L1049" s="694"/>
      <c r="M1049" s="687"/>
      <c r="N1049" s="687"/>
      <c r="O1049" s="687"/>
    </row>
    <row r="1050" spans="1:15" s="75" customFormat="1" ht="14.5" x14ac:dyDescent="0.35">
      <c r="A1050" s="29" t="s">
        <v>21</v>
      </c>
      <c r="B1050" s="30">
        <f>B1046-B1049</f>
        <v>-42.61403</v>
      </c>
      <c r="C1050" s="30">
        <f>C1047-C1049</f>
        <v>-86.433140000000009</v>
      </c>
      <c r="D1050" s="30">
        <f t="shared" ref="D1050:L1050" si="57">D1047-D1049</f>
        <v>-138.10641000000001</v>
      </c>
      <c r="E1050" s="30">
        <f t="shared" si="57"/>
        <v>-197.27213</v>
      </c>
      <c r="F1050" s="47">
        <f t="shared" si="57"/>
        <v>-236.22134</v>
      </c>
      <c r="G1050" s="47">
        <f t="shared" si="57"/>
        <v>-244.51833999999999</v>
      </c>
      <c r="H1050" s="47">
        <f t="shared" si="57"/>
        <v>-314.77292499999999</v>
      </c>
      <c r="I1050" s="47">
        <f t="shared" si="57"/>
        <v>-451.76435624999999</v>
      </c>
      <c r="J1050" s="47">
        <f t="shared" si="57"/>
        <v>-581.21544531249992</v>
      </c>
      <c r="K1050" s="47">
        <f t="shared" si="57"/>
        <v>-656.84069664062486</v>
      </c>
      <c r="L1050" s="47">
        <f t="shared" si="57"/>
        <v>-811.05087080078101</v>
      </c>
      <c r="M1050" s="687"/>
      <c r="N1050" s="687"/>
      <c r="O1050" s="687"/>
    </row>
    <row r="1051" spans="1:15" s="75" customFormat="1" ht="14.5" x14ac:dyDescent="0.35">
      <c r="A1051" s="90" t="s">
        <v>22</v>
      </c>
      <c r="B1051" s="90">
        <v>2017</v>
      </c>
      <c r="C1051" s="90">
        <v>2018</v>
      </c>
      <c r="D1051" s="90">
        <v>2019</v>
      </c>
      <c r="E1051" s="90">
        <v>2020</v>
      </c>
      <c r="F1051" s="703">
        <v>2021</v>
      </c>
      <c r="G1051" s="703">
        <v>2022</v>
      </c>
      <c r="H1051" s="703">
        <v>2023</v>
      </c>
      <c r="I1051" s="703">
        <v>2024</v>
      </c>
      <c r="J1051" s="703">
        <v>2025</v>
      </c>
      <c r="K1051" s="703">
        <v>2026</v>
      </c>
      <c r="L1051" s="703">
        <v>2027</v>
      </c>
      <c r="M1051" s="687"/>
      <c r="N1051" s="687"/>
      <c r="O1051" s="687"/>
    </row>
    <row r="1052" spans="1:15" s="75" customFormat="1" ht="14.5" x14ac:dyDescent="0.35">
      <c r="A1052" s="36">
        <v>1</v>
      </c>
      <c r="B1052" s="196" t="s">
        <v>935</v>
      </c>
      <c r="C1052" s="37"/>
      <c r="D1052" s="37"/>
      <c r="E1052" s="37"/>
      <c r="F1052" s="669"/>
      <c r="G1052" s="669"/>
      <c r="H1052" s="669"/>
      <c r="I1052" s="669"/>
      <c r="J1052" s="669"/>
      <c r="K1052" s="897"/>
      <c r="L1052" s="672"/>
      <c r="M1052" s="687"/>
      <c r="N1052" s="687"/>
      <c r="O1052" s="687"/>
    </row>
    <row r="1053" spans="1:15" s="75" customFormat="1" ht="14.5" x14ac:dyDescent="0.35">
      <c r="A1053" s="64">
        <v>2</v>
      </c>
      <c r="B1053" s="74" t="s">
        <v>936</v>
      </c>
      <c r="C1053" s="6"/>
      <c r="D1053" s="6"/>
      <c r="E1053" s="6"/>
      <c r="F1053" s="68"/>
      <c r="G1053" s="68"/>
      <c r="H1053" s="68"/>
      <c r="I1053" s="68"/>
      <c r="J1053" s="68"/>
      <c r="K1053" s="687"/>
      <c r="L1053" s="684"/>
      <c r="M1053" s="687"/>
      <c r="N1053" s="687"/>
      <c r="O1053" s="687"/>
    </row>
    <row r="1054" spans="1:15" s="75" customFormat="1" ht="14.5" x14ac:dyDescent="0.35">
      <c r="A1054" s="64">
        <v>3</v>
      </c>
      <c r="B1054" s="74" t="s">
        <v>937</v>
      </c>
      <c r="C1054" s="6"/>
      <c r="D1054" s="6"/>
      <c r="E1054" s="6"/>
      <c r="F1054" s="68"/>
      <c r="G1054" s="68"/>
      <c r="H1054" s="68"/>
      <c r="I1054" s="68"/>
      <c r="J1054" s="68"/>
      <c r="K1054" s="687"/>
      <c r="L1054" s="684"/>
      <c r="M1054" s="687"/>
      <c r="N1054" s="687"/>
      <c r="O1054" s="687"/>
    </row>
    <row r="1055" spans="1:15" s="75" customFormat="1" ht="14.5" x14ac:dyDescent="0.35">
      <c r="A1055" s="64">
        <v>4</v>
      </c>
      <c r="B1055" s="74" t="s">
        <v>938</v>
      </c>
      <c r="C1055" s="6"/>
      <c r="D1055" s="6"/>
      <c r="E1055" s="6"/>
      <c r="F1055" s="68"/>
      <c r="G1055" s="68"/>
      <c r="H1055" s="68"/>
      <c r="I1055" s="68"/>
      <c r="J1055" s="68"/>
      <c r="K1055" s="687"/>
      <c r="L1055" s="684"/>
      <c r="M1055" s="687"/>
      <c r="N1055" s="687"/>
      <c r="O1055" s="687"/>
    </row>
    <row r="1056" spans="1:15" s="75" customFormat="1" ht="14.5" x14ac:dyDescent="0.35">
      <c r="A1056" s="64">
        <v>5</v>
      </c>
      <c r="B1056" s="74" t="s">
        <v>939</v>
      </c>
      <c r="C1056" s="6"/>
      <c r="D1056" s="6"/>
      <c r="E1056" s="6"/>
      <c r="F1056" s="68"/>
      <c r="G1056" s="68"/>
      <c r="H1056" s="68"/>
      <c r="I1056" s="68"/>
      <c r="J1056" s="68"/>
      <c r="K1056" s="687"/>
      <c r="L1056" s="684"/>
      <c r="M1056" s="687"/>
      <c r="N1056" s="687"/>
      <c r="O1056" s="687"/>
    </row>
    <row r="1057" spans="1:15" s="75" customFormat="1" ht="14.5" x14ac:dyDescent="0.35">
      <c r="A1057" s="64">
        <v>6</v>
      </c>
      <c r="B1057" s="74" t="s">
        <v>940</v>
      </c>
      <c r="C1057" s="6"/>
      <c r="D1057" s="6"/>
      <c r="E1057" s="6"/>
      <c r="F1057" s="68"/>
      <c r="G1057" s="68"/>
      <c r="H1057" s="68"/>
      <c r="I1057" s="68"/>
      <c r="J1057" s="68"/>
      <c r="K1057" s="687"/>
      <c r="L1057" s="684"/>
      <c r="M1057" s="687"/>
      <c r="N1057" s="687"/>
      <c r="O1057" s="687"/>
    </row>
    <row r="1058" spans="1:15" s="75" customFormat="1" ht="14.5" x14ac:dyDescent="0.35">
      <c r="A1058" s="64">
        <v>7</v>
      </c>
      <c r="B1058" s="74" t="s">
        <v>943</v>
      </c>
      <c r="C1058" s="6"/>
      <c r="D1058" s="6"/>
      <c r="E1058" s="6"/>
      <c r="F1058" s="68"/>
      <c r="G1058" s="68"/>
      <c r="H1058" s="68"/>
      <c r="I1058" s="68"/>
      <c r="J1058" s="68"/>
      <c r="K1058" s="687"/>
      <c r="L1058" s="684"/>
      <c r="M1058" s="687"/>
      <c r="N1058" s="687"/>
      <c r="O1058" s="687"/>
    </row>
    <row r="1059" spans="1:15" s="75" customFormat="1" ht="14.5" x14ac:dyDescent="0.35">
      <c r="A1059" s="64">
        <v>8</v>
      </c>
      <c r="B1059" s="74" t="s">
        <v>1079</v>
      </c>
      <c r="C1059" s="6"/>
      <c r="D1059" s="6"/>
      <c r="E1059" s="6"/>
      <c r="F1059" s="68"/>
      <c r="G1059" s="68"/>
      <c r="H1059" s="68"/>
      <c r="I1059" s="68"/>
      <c r="J1059" s="68"/>
      <c r="K1059" s="687"/>
      <c r="L1059" s="684"/>
      <c r="M1059" s="687"/>
      <c r="N1059" s="687"/>
      <c r="O1059" s="687"/>
    </row>
    <row r="1060" spans="1:15" s="75" customFormat="1" ht="14.5" x14ac:dyDescent="0.35">
      <c r="A1060" s="64">
        <v>9</v>
      </c>
      <c r="B1060" s="74" t="s">
        <v>1114</v>
      </c>
      <c r="C1060" s="6"/>
      <c r="D1060" s="6"/>
      <c r="E1060" s="6"/>
      <c r="F1060" s="68"/>
      <c r="G1060" s="68"/>
      <c r="H1060" s="68"/>
      <c r="I1060" s="68"/>
      <c r="J1060" s="68"/>
      <c r="K1060" s="687"/>
      <c r="L1060" s="684"/>
      <c r="M1060" s="687"/>
      <c r="N1060" s="687"/>
      <c r="O1060" s="687"/>
    </row>
    <row r="1061" spans="1:15" s="88" customFormat="1" ht="14.5" x14ac:dyDescent="0.35">
      <c r="A1061" s="72">
        <v>10</v>
      </c>
      <c r="B1061" s="87" t="s">
        <v>1249</v>
      </c>
      <c r="C1061" s="73"/>
      <c r="D1061" s="73"/>
      <c r="E1061" s="73"/>
      <c r="F1061" s="685"/>
      <c r="G1061" s="685"/>
      <c r="H1061" s="685"/>
      <c r="I1061" s="685"/>
      <c r="J1061" s="685"/>
      <c r="K1061" s="701"/>
      <c r="L1061" s="675"/>
      <c r="M1061" s="701"/>
      <c r="N1061" s="701"/>
      <c r="O1061" s="701"/>
    </row>
    <row r="1063" spans="1:15" s="75" customFormat="1" ht="14.5" x14ac:dyDescent="0.35">
      <c r="A1063" s="27" t="s">
        <v>14</v>
      </c>
      <c r="B1063" s="27" t="s">
        <v>79</v>
      </c>
      <c r="C1063" s="27" t="s">
        <v>15</v>
      </c>
      <c r="D1063" s="74"/>
      <c r="E1063" s="74"/>
      <c r="F1063" s="686"/>
      <c r="G1063" s="686"/>
      <c r="H1063" s="686"/>
      <c r="I1063" s="686"/>
      <c r="J1063" s="686"/>
      <c r="K1063" s="891"/>
      <c r="L1063" s="891"/>
      <c r="M1063" s="687"/>
      <c r="N1063" s="687"/>
      <c r="O1063" s="687"/>
    </row>
    <row r="1064" spans="1:15" s="75" customFormat="1" ht="14.5" x14ac:dyDescent="0.35">
      <c r="A1064" s="29" t="s">
        <v>16</v>
      </c>
      <c r="B1064" s="27">
        <v>2016</v>
      </c>
      <c r="C1064" s="388">
        <v>2017</v>
      </c>
      <c r="D1064" s="27">
        <v>2018</v>
      </c>
      <c r="E1064" s="388">
        <v>2019</v>
      </c>
      <c r="F1064" s="666">
        <v>2020</v>
      </c>
      <c r="G1064" s="892">
        <v>2021</v>
      </c>
      <c r="H1064" s="892">
        <v>2022</v>
      </c>
      <c r="I1064" s="892">
        <v>2023</v>
      </c>
      <c r="J1064" s="892">
        <v>2024</v>
      </c>
      <c r="K1064" s="892">
        <v>2025</v>
      </c>
      <c r="L1064" s="892">
        <v>2026</v>
      </c>
      <c r="M1064" s="687"/>
      <c r="N1064" s="687"/>
      <c r="O1064" s="687"/>
    </row>
    <row r="1065" spans="1:15" s="75" customFormat="1" ht="14.5" x14ac:dyDescent="0.35">
      <c r="A1065" s="29" t="s">
        <v>17</v>
      </c>
      <c r="B1065" s="30">
        <v>2</v>
      </c>
      <c r="C1065" s="30">
        <v>2</v>
      </c>
      <c r="D1065" s="30">
        <v>2</v>
      </c>
      <c r="E1065" s="30">
        <v>2</v>
      </c>
      <c r="F1065" s="47">
        <v>2</v>
      </c>
      <c r="G1065" s="47">
        <v>2</v>
      </c>
      <c r="H1065" s="47">
        <v>2</v>
      </c>
      <c r="I1065" s="47">
        <v>2</v>
      </c>
      <c r="J1065" s="47">
        <v>2</v>
      </c>
      <c r="K1065" s="47">
        <v>2</v>
      </c>
      <c r="L1065" s="47">
        <v>2</v>
      </c>
      <c r="M1065" s="687"/>
      <c r="N1065" s="687"/>
      <c r="O1065" s="687"/>
    </row>
    <row r="1066" spans="1:15" s="75" customFormat="1" ht="14.5" x14ac:dyDescent="0.35">
      <c r="A1066" s="29" t="s">
        <v>18</v>
      </c>
      <c r="B1066" s="30"/>
      <c r="C1066" s="30">
        <f>C1065+B1069</f>
        <v>-11.25929</v>
      </c>
      <c r="D1066" s="30">
        <f>D1065+C1069</f>
        <v>-18.250970000000002</v>
      </c>
      <c r="E1066" s="30">
        <f>E1065+D1069</f>
        <v>-26.929000000000002</v>
      </c>
      <c r="F1066" s="47">
        <f>F1065+E1069</f>
        <v>-43.615989999999996</v>
      </c>
      <c r="G1066" s="47">
        <f>G1065+F1069</f>
        <v>-55.136309999999995</v>
      </c>
      <c r="H1066" s="47">
        <f>H1065+(1.25*G1069)</f>
        <v>-68.606637499999991</v>
      </c>
      <c r="I1066" s="47">
        <f t="shared" ref="I1066:L1066" si="58">I1065+(1.25*H1069)</f>
        <v>-89.647046874999987</v>
      </c>
      <c r="J1066" s="47">
        <f t="shared" si="58"/>
        <v>-125.87809609374997</v>
      </c>
      <c r="K1066" s="47">
        <f t="shared" si="58"/>
        <v>-161.04117511718746</v>
      </c>
      <c r="L1066" s="47">
        <f t="shared" si="58"/>
        <v>-207.87120014648434</v>
      </c>
      <c r="M1066" s="687"/>
      <c r="N1066" s="687"/>
      <c r="O1066" s="687"/>
    </row>
    <row r="1067" spans="1:15" s="75" customFormat="1" ht="14.5" x14ac:dyDescent="0.35">
      <c r="A1067" s="29" t="s">
        <v>19</v>
      </c>
      <c r="B1067" s="29"/>
      <c r="C1067" s="29">
        <v>1</v>
      </c>
      <c r="D1067" s="29">
        <v>2</v>
      </c>
      <c r="E1067" s="29">
        <v>3</v>
      </c>
      <c r="F1067" s="46">
        <v>4</v>
      </c>
      <c r="G1067" s="46">
        <v>5</v>
      </c>
      <c r="H1067" s="46">
        <v>6</v>
      </c>
      <c r="I1067" s="46">
        <v>7</v>
      </c>
      <c r="J1067" s="46">
        <v>8</v>
      </c>
      <c r="K1067" s="46">
        <v>9</v>
      </c>
      <c r="L1067" s="46">
        <v>10</v>
      </c>
      <c r="M1067" s="687"/>
      <c r="N1067" s="687"/>
      <c r="O1067" s="687"/>
    </row>
    <row r="1068" spans="1:15" s="75" customFormat="1" ht="15" x14ac:dyDescent="0.35">
      <c r="A1068" s="29" t="s">
        <v>20</v>
      </c>
      <c r="B1068" s="390">
        <v>15.25929</v>
      </c>
      <c r="C1068" s="390">
        <v>8.9916800000000006</v>
      </c>
      <c r="D1068" s="390">
        <v>10.67803</v>
      </c>
      <c r="E1068" s="390">
        <v>18.686989999999998</v>
      </c>
      <c r="F1068" s="895">
        <v>13.52032</v>
      </c>
      <c r="G1068" s="895">
        <v>1.349</v>
      </c>
      <c r="H1068" s="895">
        <v>4.7110000000000003</v>
      </c>
      <c r="I1068" s="694">
        <v>12.655430000000001</v>
      </c>
      <c r="J1068" s="694">
        <v>4.5548440000000001</v>
      </c>
      <c r="K1068" s="694">
        <v>6.855785</v>
      </c>
      <c r="L1068" s="694"/>
      <c r="M1068" s="687"/>
      <c r="N1068" s="687"/>
      <c r="O1068" s="687"/>
    </row>
    <row r="1069" spans="1:15" s="75" customFormat="1" ht="14.5" x14ac:dyDescent="0.35">
      <c r="A1069" s="29" t="s">
        <v>21</v>
      </c>
      <c r="B1069" s="30">
        <f>B1065-B1068</f>
        <v>-13.25929</v>
      </c>
      <c r="C1069" s="30">
        <f>C1066-C1068</f>
        <v>-20.250970000000002</v>
      </c>
      <c r="D1069" s="30">
        <f t="shared" ref="D1069:K1069" si="59">D1066-D1068</f>
        <v>-28.929000000000002</v>
      </c>
      <c r="E1069" s="30">
        <f t="shared" si="59"/>
        <v>-45.615989999999996</v>
      </c>
      <c r="F1069" s="47">
        <f t="shared" si="59"/>
        <v>-57.136309999999995</v>
      </c>
      <c r="G1069" s="47">
        <f t="shared" si="59"/>
        <v>-56.485309999999991</v>
      </c>
      <c r="H1069" s="47">
        <f t="shared" si="59"/>
        <v>-73.317637499999989</v>
      </c>
      <c r="I1069" s="47">
        <f t="shared" si="59"/>
        <v>-102.30247687499998</v>
      </c>
      <c r="J1069" s="47">
        <f t="shared" si="59"/>
        <v>-130.43294009374998</v>
      </c>
      <c r="K1069" s="47">
        <f t="shared" si="59"/>
        <v>-167.89696011718746</v>
      </c>
      <c r="L1069" s="47"/>
      <c r="M1069" s="687"/>
      <c r="N1069" s="687"/>
      <c r="O1069" s="687"/>
    </row>
    <row r="1070" spans="1:15" s="75" customFormat="1" ht="14.5" x14ac:dyDescent="0.35">
      <c r="A1070" s="90" t="s">
        <v>22</v>
      </c>
      <c r="B1070" s="90">
        <v>2017</v>
      </c>
      <c r="C1070" s="90">
        <v>2018</v>
      </c>
      <c r="D1070" s="90">
        <v>2019</v>
      </c>
      <c r="E1070" s="90">
        <v>2020</v>
      </c>
      <c r="F1070" s="703">
        <v>2021</v>
      </c>
      <c r="G1070" s="703">
        <v>2022</v>
      </c>
      <c r="H1070" s="703">
        <v>2023</v>
      </c>
      <c r="I1070" s="703">
        <v>2024</v>
      </c>
      <c r="J1070" s="703">
        <v>2025</v>
      </c>
      <c r="K1070" s="703">
        <v>2026</v>
      </c>
      <c r="L1070" s="703">
        <v>2027</v>
      </c>
      <c r="M1070" s="687"/>
      <c r="N1070" s="687"/>
      <c r="O1070" s="687"/>
    </row>
    <row r="1071" spans="1:15" s="75" customFormat="1" ht="14.5" x14ac:dyDescent="0.35">
      <c r="A1071" s="36">
        <v>1</v>
      </c>
      <c r="B1071" s="196" t="s">
        <v>935</v>
      </c>
      <c r="C1071" s="37"/>
      <c r="D1071" s="37"/>
      <c r="E1071" s="37"/>
      <c r="F1071" s="669"/>
      <c r="G1071" s="669"/>
      <c r="H1071" s="669"/>
      <c r="I1071" s="669"/>
      <c r="J1071" s="669"/>
      <c r="K1071" s="897"/>
      <c r="L1071" s="672"/>
      <c r="M1071" s="687"/>
      <c r="N1071" s="687"/>
      <c r="O1071" s="687"/>
    </row>
    <row r="1072" spans="1:15" s="75" customFormat="1" ht="14.5" x14ac:dyDescent="0.35">
      <c r="A1072" s="64">
        <v>2</v>
      </c>
      <c r="B1072" s="74" t="s">
        <v>936</v>
      </c>
      <c r="C1072" s="6"/>
      <c r="D1072" s="6"/>
      <c r="E1072" s="6"/>
      <c r="F1072" s="68"/>
      <c r="G1072" s="68"/>
      <c r="H1072" s="68"/>
      <c r="I1072" s="68"/>
      <c r="J1072" s="68"/>
      <c r="K1072" s="687"/>
      <c r="L1072" s="684"/>
      <c r="M1072" s="687"/>
      <c r="N1072" s="687"/>
      <c r="O1072" s="687"/>
    </row>
    <row r="1073" spans="1:20" s="75" customFormat="1" ht="14.5" x14ac:dyDescent="0.35">
      <c r="A1073" s="64">
        <v>3</v>
      </c>
      <c r="B1073" s="74" t="s">
        <v>937</v>
      </c>
      <c r="C1073" s="6"/>
      <c r="D1073" s="6"/>
      <c r="E1073" s="6"/>
      <c r="F1073" s="68"/>
      <c r="G1073" s="68"/>
      <c r="H1073" s="68"/>
      <c r="I1073" s="68"/>
      <c r="J1073" s="68"/>
      <c r="K1073" s="687"/>
      <c r="L1073" s="684"/>
      <c r="M1073" s="687"/>
      <c r="N1073" s="687"/>
      <c r="O1073" s="687"/>
    </row>
    <row r="1074" spans="1:20" s="75" customFormat="1" ht="14.5" x14ac:dyDescent="0.35">
      <c r="A1074" s="64">
        <v>4</v>
      </c>
      <c r="B1074" s="74" t="s">
        <v>938</v>
      </c>
      <c r="C1074" s="6"/>
      <c r="D1074" s="6"/>
      <c r="E1074" s="6"/>
      <c r="F1074" s="68"/>
      <c r="G1074" s="68"/>
      <c r="H1074" s="68"/>
      <c r="I1074" s="68"/>
      <c r="J1074" s="68"/>
      <c r="K1074" s="687"/>
      <c r="L1074" s="684"/>
      <c r="M1074" s="687"/>
      <c r="N1074" s="687"/>
      <c r="O1074" s="687"/>
    </row>
    <row r="1075" spans="1:20" s="75" customFormat="1" ht="14.5" x14ac:dyDescent="0.35">
      <c r="A1075" s="64">
        <v>5</v>
      </c>
      <c r="B1075" s="74" t="s">
        <v>939</v>
      </c>
      <c r="C1075" s="6"/>
      <c r="D1075" s="6"/>
      <c r="E1075" s="6"/>
      <c r="F1075" s="68"/>
      <c r="G1075" s="68"/>
      <c r="H1075" s="68"/>
      <c r="I1075" s="68"/>
      <c r="J1075" s="68"/>
      <c r="K1075" s="687"/>
      <c r="L1075" s="684"/>
      <c r="M1075" s="687"/>
      <c r="N1075" s="687"/>
      <c r="O1075" s="687"/>
    </row>
    <row r="1076" spans="1:20" s="75" customFormat="1" ht="14.5" x14ac:dyDescent="0.35">
      <c r="A1076" s="64">
        <v>6</v>
      </c>
      <c r="B1076" s="74" t="s">
        <v>940</v>
      </c>
      <c r="C1076" s="6"/>
      <c r="D1076" s="6"/>
      <c r="E1076" s="6"/>
      <c r="F1076" s="68"/>
      <c r="G1076" s="68"/>
      <c r="H1076" s="68"/>
      <c r="I1076" s="68"/>
      <c r="J1076" s="68"/>
      <c r="K1076" s="687"/>
      <c r="L1076" s="684"/>
      <c r="M1076" s="687"/>
      <c r="N1076" s="687"/>
      <c r="O1076" s="687"/>
    </row>
    <row r="1077" spans="1:20" s="75" customFormat="1" ht="14.5" x14ac:dyDescent="0.35">
      <c r="A1077" s="64">
        <v>7</v>
      </c>
      <c r="B1077" s="74" t="s">
        <v>941</v>
      </c>
      <c r="C1077" s="6"/>
      <c r="D1077" s="6"/>
      <c r="E1077" s="6"/>
      <c r="F1077" s="68"/>
      <c r="G1077" s="68"/>
      <c r="H1077" s="68"/>
      <c r="I1077" s="68"/>
      <c r="J1077" s="68"/>
      <c r="K1077" s="687"/>
      <c r="L1077" s="684"/>
      <c r="M1077" s="687"/>
      <c r="N1077" s="687"/>
      <c r="O1077" s="687"/>
    </row>
    <row r="1078" spans="1:20" s="75" customFormat="1" ht="14.5" x14ac:dyDescent="0.35">
      <c r="A1078" s="64">
        <v>8</v>
      </c>
      <c r="B1078" s="74" t="s">
        <v>1079</v>
      </c>
      <c r="C1078" s="6"/>
      <c r="D1078" s="6"/>
      <c r="E1078" s="6"/>
      <c r="F1078" s="68"/>
      <c r="G1078" s="68"/>
      <c r="H1078" s="68"/>
      <c r="I1078" s="68"/>
      <c r="J1078" s="68"/>
      <c r="K1078" s="687"/>
      <c r="L1078" s="684"/>
      <c r="M1078" s="687"/>
      <c r="N1078" s="687"/>
      <c r="O1078" s="687"/>
    </row>
    <row r="1079" spans="1:20" s="75" customFormat="1" ht="14.5" x14ac:dyDescent="0.35">
      <c r="A1079" s="64">
        <v>9</v>
      </c>
      <c r="B1079" s="74" t="s">
        <v>1079</v>
      </c>
      <c r="C1079" s="6"/>
      <c r="D1079" s="6"/>
      <c r="E1079" s="6"/>
      <c r="F1079" s="68"/>
      <c r="G1079" s="68"/>
      <c r="H1079" s="68"/>
      <c r="I1079" s="68"/>
      <c r="J1079" s="68"/>
      <c r="K1079" s="687"/>
      <c r="L1079" s="684"/>
      <c r="M1079" s="687"/>
      <c r="N1079" s="687"/>
      <c r="O1079" s="687"/>
    </row>
    <row r="1080" spans="1:20" s="88" customFormat="1" ht="14.5" x14ac:dyDescent="0.35">
      <c r="A1080" s="72">
        <v>10</v>
      </c>
      <c r="B1080" s="87" t="s">
        <v>1114</v>
      </c>
      <c r="C1080" s="73"/>
      <c r="D1080" s="73"/>
      <c r="E1080" s="73"/>
      <c r="F1080" s="685"/>
      <c r="G1080" s="685"/>
      <c r="H1080" s="685"/>
      <c r="I1080" s="685"/>
      <c r="J1080" s="685"/>
      <c r="K1080" s="701"/>
      <c r="L1080" s="675"/>
      <c r="M1080" s="701"/>
      <c r="N1080" s="701"/>
      <c r="O1080" s="701"/>
    </row>
    <row r="1082" spans="1:20" x14ac:dyDescent="0.25">
      <c r="A1082" s="362"/>
      <c r="C1082" s="387"/>
    </row>
    <row r="1083" spans="1:20" x14ac:dyDescent="0.25">
      <c r="A1083" s="395" t="s">
        <v>12</v>
      </c>
      <c r="B1083" s="396" t="s">
        <v>173</v>
      </c>
      <c r="C1083" s="397" t="s">
        <v>1031</v>
      </c>
      <c r="D1083" s="381"/>
      <c r="E1083" s="381"/>
      <c r="F1083" s="885"/>
      <c r="G1083" s="885"/>
      <c r="H1083" s="885"/>
      <c r="I1083" s="885"/>
      <c r="J1083" s="885"/>
      <c r="K1083" s="885"/>
      <c r="L1083" s="885"/>
    </row>
    <row r="1084" spans="1:20" x14ac:dyDescent="0.25">
      <c r="A1084" s="398" t="s">
        <v>14</v>
      </c>
      <c r="B1084" s="399" t="s">
        <v>624</v>
      </c>
      <c r="C1084" s="396" t="s">
        <v>15</v>
      </c>
      <c r="D1084" s="381"/>
      <c r="E1084" s="381"/>
      <c r="F1084" s="885"/>
      <c r="G1084" s="885"/>
      <c r="H1084" s="885"/>
      <c r="I1084" s="885"/>
      <c r="J1084" s="885"/>
      <c r="K1084" s="885"/>
      <c r="L1084" s="885"/>
    </row>
    <row r="1085" spans="1:20" s="75" customFormat="1" ht="14.5" x14ac:dyDescent="0.35">
      <c r="A1085" s="400" t="s">
        <v>16</v>
      </c>
      <c r="B1085" s="401">
        <v>2009</v>
      </c>
      <c r="C1085" s="402">
        <v>2010</v>
      </c>
      <c r="D1085" s="402">
        <v>2011</v>
      </c>
      <c r="E1085" s="402">
        <v>2012</v>
      </c>
      <c r="F1085" s="899">
        <v>2013</v>
      </c>
      <c r="G1085" s="899">
        <v>2014</v>
      </c>
      <c r="H1085" s="899">
        <v>2015</v>
      </c>
      <c r="I1085" s="899">
        <v>2016</v>
      </c>
      <c r="J1085" s="899">
        <v>2017</v>
      </c>
      <c r="K1085" s="899">
        <v>2018</v>
      </c>
      <c r="L1085" s="899">
        <v>2019</v>
      </c>
      <c r="M1085" s="899">
        <v>2020</v>
      </c>
      <c r="N1085" s="899">
        <v>2021</v>
      </c>
      <c r="O1085" s="899">
        <v>2022</v>
      </c>
      <c r="P1085" s="402">
        <v>2023</v>
      </c>
      <c r="Q1085" s="402">
        <v>2024</v>
      </c>
      <c r="R1085" s="402">
        <v>2025</v>
      </c>
      <c r="S1085" s="402">
        <v>2026</v>
      </c>
      <c r="T1085" s="402">
        <v>2027</v>
      </c>
    </row>
    <row r="1086" spans="1:20" s="75" customFormat="1" ht="14.5" x14ac:dyDescent="0.35">
      <c r="A1086" s="403" t="s">
        <v>17</v>
      </c>
      <c r="B1086" s="404"/>
      <c r="C1086" s="404"/>
      <c r="D1086" s="404"/>
      <c r="E1086" s="404"/>
      <c r="F1086" s="900"/>
      <c r="G1086" s="900"/>
      <c r="H1086" s="900"/>
      <c r="I1086" s="900"/>
      <c r="J1086" s="900"/>
      <c r="K1086" s="900"/>
      <c r="L1086" s="900"/>
      <c r="M1086" s="900"/>
      <c r="N1086" s="900"/>
      <c r="O1086" s="900"/>
      <c r="P1086" s="404"/>
      <c r="Q1086" s="389"/>
      <c r="R1086" s="389"/>
      <c r="S1086" s="389"/>
      <c r="T1086" s="389"/>
    </row>
    <row r="1087" spans="1:20" s="75" customFormat="1" ht="14.5" x14ac:dyDescent="0.35">
      <c r="A1087" s="403" t="s">
        <v>18</v>
      </c>
      <c r="B1087" s="404">
        <v>525.11158760000001</v>
      </c>
      <c r="C1087" s="404">
        <v>516.79334119999999</v>
      </c>
      <c r="D1087" s="404">
        <v>478.68400000000003</v>
      </c>
      <c r="E1087" s="404">
        <v>638.87599999999998</v>
      </c>
      <c r="F1087" s="900">
        <v>573.67999999999995</v>
      </c>
      <c r="G1087" s="900">
        <v>503.80800000000005</v>
      </c>
      <c r="H1087" s="900">
        <v>407.19200000000001</v>
      </c>
      <c r="I1087" s="900">
        <v>449.52</v>
      </c>
      <c r="J1087" s="900">
        <v>394.88799999999998</v>
      </c>
      <c r="K1087" s="900">
        <v>393.98364000000004</v>
      </c>
      <c r="L1087" s="900">
        <v>397.32737956000005</v>
      </c>
      <c r="M1087" s="900">
        <v>371.77199999999999</v>
      </c>
      <c r="N1087" s="900">
        <v>505.18</v>
      </c>
      <c r="O1087" s="900">
        <v>556.85249999999996</v>
      </c>
      <c r="P1087" s="404">
        <v>601.17999999999995</v>
      </c>
      <c r="Q1087" s="404">
        <v>496.62</v>
      </c>
      <c r="R1087" s="404">
        <v>377.15</v>
      </c>
      <c r="S1087" s="389" t="s">
        <v>1118</v>
      </c>
      <c r="T1087" s="389"/>
    </row>
    <row r="1088" spans="1:20" s="75" customFormat="1" ht="14.5" x14ac:dyDescent="0.35">
      <c r="A1088" s="403" t="s">
        <v>19</v>
      </c>
      <c r="B1088" s="404"/>
      <c r="C1088" s="404"/>
      <c r="D1088" s="404"/>
      <c r="E1088" s="404"/>
      <c r="F1088" s="900"/>
      <c r="G1088" s="900"/>
      <c r="H1088" s="900"/>
      <c r="I1088" s="900"/>
      <c r="J1088" s="900"/>
      <c r="K1088" s="900"/>
      <c r="L1088" s="900"/>
      <c r="M1088" s="900"/>
      <c r="N1088" s="900"/>
      <c r="O1088" s="900"/>
      <c r="P1088" s="404"/>
      <c r="Q1088" s="404"/>
      <c r="R1088" s="404"/>
      <c r="S1088" s="389"/>
      <c r="T1088" s="389"/>
    </row>
    <row r="1089" spans="1:20" s="75" customFormat="1" ht="14.5" x14ac:dyDescent="0.35">
      <c r="A1089" s="403" t="s">
        <v>20</v>
      </c>
      <c r="B1089" s="404">
        <v>419.55900000000003</v>
      </c>
      <c r="C1089" s="404">
        <v>483.41500000000002</v>
      </c>
      <c r="D1089" s="404">
        <v>285.3</v>
      </c>
      <c r="E1089" s="404">
        <v>1822.1</v>
      </c>
      <c r="F1089" s="900">
        <v>266.39999999999998</v>
      </c>
      <c r="G1089" s="900">
        <v>305.2</v>
      </c>
      <c r="H1089" s="900">
        <v>329.8</v>
      </c>
      <c r="I1089" s="900">
        <v>254.9</v>
      </c>
      <c r="J1089" s="900">
        <v>335</v>
      </c>
      <c r="K1089" s="900">
        <v>210.6</v>
      </c>
      <c r="L1089" s="900">
        <v>319.27300000000002</v>
      </c>
      <c r="M1089" s="900">
        <v>282.8</v>
      </c>
      <c r="N1089" s="900">
        <v>223.4</v>
      </c>
      <c r="O1089" s="900">
        <v>241.6</v>
      </c>
      <c r="P1089" s="404">
        <v>219.1</v>
      </c>
      <c r="Q1089" s="404">
        <v>194</v>
      </c>
      <c r="R1089" s="404">
        <v>287.10000000000002</v>
      </c>
      <c r="S1089" s="389" t="s">
        <v>1118</v>
      </c>
      <c r="T1089" s="389"/>
    </row>
    <row r="1090" spans="1:20" s="75" customFormat="1" ht="14.5" x14ac:dyDescent="0.35">
      <c r="A1090" s="405" t="s">
        <v>21</v>
      </c>
      <c r="B1090" s="406">
        <v>105.55258759999998</v>
      </c>
      <c r="C1090" s="406">
        <v>33.378341199999966</v>
      </c>
      <c r="D1090" s="406">
        <v>193.38400000000001</v>
      </c>
      <c r="E1090" s="407">
        <v>-1183.2239999999999</v>
      </c>
      <c r="F1090" s="901">
        <v>307.28000000000009</v>
      </c>
      <c r="G1090" s="901">
        <v>198.60800000000006</v>
      </c>
      <c r="H1090" s="901">
        <v>77.391999999999996</v>
      </c>
      <c r="I1090" s="901">
        <v>194.61999999999998</v>
      </c>
      <c r="J1090" s="901">
        <v>59.888000000000034</v>
      </c>
      <c r="K1090" s="901">
        <v>183.38364000000004</v>
      </c>
      <c r="L1090" s="901">
        <v>78.054379560000029</v>
      </c>
      <c r="M1090" s="901">
        <v>88.971999999999994</v>
      </c>
      <c r="N1090" s="901">
        <f>N1087-N1089</f>
        <v>281.77999999999997</v>
      </c>
      <c r="O1090" s="901">
        <f>O1087-O1089</f>
        <v>315.25249999999994</v>
      </c>
      <c r="P1090" s="404">
        <v>382.07999999999993</v>
      </c>
      <c r="Q1090" s="404">
        <v>302.62</v>
      </c>
      <c r="R1090" s="404">
        <f>R1087-R1089</f>
        <v>90.049999999999955</v>
      </c>
      <c r="S1090" s="391" t="s">
        <v>1118</v>
      </c>
      <c r="T1090" s="391"/>
    </row>
    <row r="1091" spans="1:20" s="75" customFormat="1" ht="14.5" x14ac:dyDescent="0.35">
      <c r="A1091" s="408" t="s">
        <v>22</v>
      </c>
      <c r="B1091" s="409"/>
      <c r="C1091" s="409"/>
      <c r="D1091" s="409"/>
      <c r="E1091" s="409"/>
      <c r="F1091" s="902"/>
      <c r="G1091" s="902"/>
      <c r="H1091" s="902"/>
      <c r="I1091" s="902"/>
      <c r="J1091" s="902"/>
      <c r="K1091" s="902"/>
      <c r="L1091" s="902"/>
      <c r="M1091" s="902"/>
      <c r="N1091" s="902"/>
      <c r="O1091" s="902"/>
      <c r="P1091" s="409"/>
      <c r="Q1091" s="392"/>
      <c r="R1091" s="392"/>
      <c r="S1091" s="392"/>
      <c r="T1091" s="410"/>
    </row>
    <row r="1092" spans="1:20" s="75" customFormat="1" ht="14.5" x14ac:dyDescent="0.35">
      <c r="A1092" s="408" t="s">
        <v>23</v>
      </c>
      <c r="B1092" s="411"/>
      <c r="C1092" s="411"/>
      <c r="D1092" s="411"/>
      <c r="E1092" s="411"/>
      <c r="F1092" s="903"/>
      <c r="G1092" s="903"/>
      <c r="H1092" s="903"/>
      <c r="I1092" s="903"/>
      <c r="J1092" s="903"/>
      <c r="K1092" s="903"/>
      <c r="L1092" s="903"/>
      <c r="M1092" s="903"/>
      <c r="N1092" s="903"/>
      <c r="O1092" s="903"/>
      <c r="P1092" s="412"/>
      <c r="Q1092" s="392"/>
      <c r="R1092" s="392"/>
      <c r="S1092" s="392"/>
      <c r="T1092" s="410"/>
    </row>
    <row r="1093" spans="1:20" s="75" customFormat="1" ht="14.5" x14ac:dyDescent="0.35">
      <c r="A1093" s="413" t="s">
        <v>174</v>
      </c>
      <c r="B1093" s="381"/>
      <c r="C1093" s="381"/>
      <c r="D1093" s="381"/>
      <c r="E1093" s="381"/>
      <c r="F1093" s="885"/>
      <c r="G1093" s="885"/>
      <c r="H1093" s="885"/>
      <c r="I1093" s="885"/>
      <c r="J1093" s="885"/>
      <c r="K1093" s="885"/>
      <c r="L1093" s="885"/>
      <c r="M1093" s="885"/>
      <c r="N1093" s="885"/>
      <c r="O1093" s="885"/>
      <c r="P1093" s="414"/>
      <c r="T1093" s="86"/>
    </row>
    <row r="1094" spans="1:20" s="75" customFormat="1" ht="14.5" x14ac:dyDescent="0.35">
      <c r="A1094" s="64" t="s">
        <v>220</v>
      </c>
      <c r="B1094" s="381"/>
      <c r="C1094" s="381"/>
      <c r="D1094" s="381"/>
      <c r="E1094" s="381"/>
      <c r="F1094" s="885"/>
      <c r="G1094" s="885"/>
      <c r="H1094" s="885"/>
      <c r="I1094" s="885"/>
      <c r="J1094" s="885"/>
      <c r="K1094" s="885"/>
      <c r="L1094" s="885"/>
      <c r="M1094" s="885"/>
      <c r="N1094" s="885"/>
      <c r="O1094" s="885"/>
      <c r="P1094" s="414"/>
      <c r="T1094" s="86"/>
    </row>
    <row r="1095" spans="1:20" s="75" customFormat="1" ht="14.5" x14ac:dyDescent="0.35">
      <c r="A1095" s="413" t="s">
        <v>270</v>
      </c>
      <c r="B1095" s="381"/>
      <c r="C1095" s="381"/>
      <c r="D1095" s="381"/>
      <c r="E1095" s="381"/>
      <c r="F1095" s="885"/>
      <c r="G1095" s="885"/>
      <c r="H1095" s="885"/>
      <c r="I1095" s="885"/>
      <c r="J1095" s="885"/>
      <c r="K1095" s="885"/>
      <c r="L1095" s="885"/>
      <c r="M1095" s="885"/>
      <c r="N1095" s="885"/>
      <c r="O1095" s="885"/>
      <c r="P1095" s="414"/>
      <c r="T1095" s="86"/>
    </row>
    <row r="1096" spans="1:20" s="75" customFormat="1" ht="14.5" x14ac:dyDescent="0.35">
      <c r="A1096" s="413" t="s">
        <v>460</v>
      </c>
      <c r="B1096" s="381"/>
      <c r="C1096" s="381"/>
      <c r="D1096" s="381"/>
      <c r="E1096" s="381"/>
      <c r="F1096" s="885"/>
      <c r="G1096" s="885"/>
      <c r="H1096" s="885"/>
      <c r="I1096" s="885"/>
      <c r="J1096" s="885"/>
      <c r="K1096" s="885"/>
      <c r="L1096" s="885"/>
      <c r="M1096" s="885"/>
      <c r="N1096" s="885"/>
      <c r="O1096" s="885"/>
      <c r="P1096" s="414"/>
      <c r="T1096" s="86"/>
    </row>
    <row r="1097" spans="1:20" s="75" customFormat="1" ht="14.5" x14ac:dyDescent="0.35">
      <c r="A1097" s="413" t="s">
        <v>707</v>
      </c>
      <c r="B1097" s="381"/>
      <c r="C1097" s="381"/>
      <c r="D1097" s="381"/>
      <c r="E1097" s="381"/>
      <c r="F1097" s="885"/>
      <c r="G1097" s="885"/>
      <c r="H1097" s="885"/>
      <c r="I1097" s="885"/>
      <c r="J1097" s="885"/>
      <c r="K1097" s="885"/>
      <c r="L1097" s="885"/>
      <c r="M1097" s="885"/>
      <c r="N1097" s="885"/>
      <c r="O1097" s="885"/>
      <c r="P1097" s="414"/>
      <c r="T1097" s="86"/>
    </row>
    <row r="1098" spans="1:20" s="75" customFormat="1" ht="14.5" x14ac:dyDescent="0.35">
      <c r="A1098" s="413" t="s">
        <v>804</v>
      </c>
      <c r="B1098" s="381"/>
      <c r="C1098" s="381"/>
      <c r="D1098" s="381"/>
      <c r="E1098" s="381"/>
      <c r="F1098" s="885"/>
      <c r="G1098" s="885"/>
      <c r="H1098" s="885"/>
      <c r="I1098" s="885"/>
      <c r="J1098" s="885"/>
      <c r="K1098" s="885"/>
      <c r="L1098" s="885"/>
      <c r="M1098" s="885"/>
      <c r="N1098" s="885"/>
      <c r="O1098" s="885"/>
      <c r="P1098" s="414"/>
      <c r="T1098" s="86"/>
    </row>
    <row r="1099" spans="1:20" s="75" customFormat="1" ht="14.5" x14ac:dyDescent="0.35">
      <c r="A1099" s="413" t="s">
        <v>1024</v>
      </c>
      <c r="B1099" s="381"/>
      <c r="C1099" s="381"/>
      <c r="D1099" s="381"/>
      <c r="E1099" s="381"/>
      <c r="F1099" s="885"/>
      <c r="G1099" s="885"/>
      <c r="H1099" s="885"/>
      <c r="I1099" s="885"/>
      <c r="J1099" s="885"/>
      <c r="K1099" s="885"/>
      <c r="L1099" s="885"/>
      <c r="M1099" s="885"/>
      <c r="N1099" s="885"/>
      <c r="O1099" s="885"/>
      <c r="P1099" s="414"/>
      <c r="T1099" s="86"/>
    </row>
    <row r="1100" spans="1:20" s="75" customFormat="1" ht="14.5" x14ac:dyDescent="0.35">
      <c r="A1100" s="413" t="s">
        <v>1157</v>
      </c>
      <c r="B1100" s="381"/>
      <c r="C1100" s="381"/>
      <c r="D1100" s="381"/>
      <c r="E1100" s="381"/>
      <c r="F1100" s="885"/>
      <c r="G1100" s="885"/>
      <c r="H1100" s="885"/>
      <c r="I1100" s="885"/>
      <c r="J1100" s="885"/>
      <c r="K1100" s="885"/>
      <c r="L1100" s="885"/>
      <c r="M1100" s="885"/>
      <c r="N1100" s="885"/>
      <c r="O1100" s="885"/>
      <c r="P1100" s="414"/>
      <c r="T1100" s="86"/>
    </row>
    <row r="1101" spans="1:20" s="75" customFormat="1" ht="14.5" x14ac:dyDescent="0.35">
      <c r="A1101" s="413" t="s">
        <v>1158</v>
      </c>
      <c r="B1101" s="381"/>
      <c r="C1101" s="381"/>
      <c r="D1101" s="381"/>
      <c r="E1101" s="381"/>
      <c r="F1101" s="885"/>
      <c r="G1101" s="885"/>
      <c r="H1101" s="885"/>
      <c r="I1101" s="885"/>
      <c r="J1101" s="885"/>
      <c r="K1101" s="885"/>
      <c r="L1101" s="885"/>
      <c r="M1101" s="885"/>
      <c r="N1101" s="885"/>
      <c r="O1101" s="885"/>
      <c r="P1101" s="414"/>
      <c r="T1101" s="86"/>
    </row>
    <row r="1102" spans="1:20" s="416" customFormat="1" ht="13" x14ac:dyDescent="0.3">
      <c r="A1102" s="415" t="s">
        <v>1200</v>
      </c>
      <c r="B1102" s="381"/>
      <c r="C1102" s="381"/>
      <c r="D1102" s="381"/>
      <c r="E1102" s="381"/>
      <c r="F1102" s="885"/>
      <c r="G1102" s="885"/>
      <c r="H1102" s="885"/>
      <c r="I1102" s="885"/>
      <c r="J1102" s="885"/>
      <c r="K1102" s="885"/>
      <c r="L1102" s="68"/>
      <c r="M1102" s="68"/>
      <c r="N1102" s="885"/>
      <c r="O1102" s="885"/>
      <c r="T1102" s="417"/>
    </row>
    <row r="1103" spans="1:20" s="75" customFormat="1" ht="14.5" x14ac:dyDescent="0.35">
      <c r="A1103" s="413"/>
      <c r="B1103" s="381"/>
      <c r="C1103" s="381"/>
      <c r="D1103" s="381"/>
      <c r="E1103" s="381"/>
      <c r="F1103" s="885" t="s">
        <v>175</v>
      </c>
      <c r="G1103" s="885"/>
      <c r="H1103" s="885"/>
      <c r="I1103" s="885"/>
      <c r="J1103" s="885"/>
      <c r="K1103" s="885"/>
      <c r="L1103" s="885"/>
      <c r="M1103" s="885"/>
      <c r="N1103" s="885"/>
      <c r="O1103" s="885"/>
      <c r="P1103" s="414"/>
      <c r="T1103" s="86"/>
    </row>
    <row r="1104" spans="1:20" s="75" customFormat="1" ht="14.5" x14ac:dyDescent="0.35">
      <c r="A1104" s="413"/>
      <c r="B1104" s="418" t="s">
        <v>176</v>
      </c>
      <c r="C1104" s="419">
        <f>R1089/M1106</f>
        <v>3.4254829203106921E-2</v>
      </c>
      <c r="D1104" s="6"/>
      <c r="E1104" s="381"/>
      <c r="F1104" s="885" t="s">
        <v>177</v>
      </c>
      <c r="G1104" s="905">
        <v>2019</v>
      </c>
      <c r="H1104" s="905">
        <v>2020</v>
      </c>
      <c r="I1104" s="905">
        <v>2021</v>
      </c>
      <c r="J1104" s="905">
        <v>2022</v>
      </c>
      <c r="K1104" s="905">
        <v>2023</v>
      </c>
      <c r="L1104" s="905">
        <v>2024</v>
      </c>
      <c r="M1104" s="905">
        <v>2025</v>
      </c>
      <c r="N1104" s="885">
        <v>2026</v>
      </c>
      <c r="O1104" s="885"/>
      <c r="P1104" s="414"/>
      <c r="T1104" s="86"/>
    </row>
    <row r="1105" spans="1:20" s="75" customFormat="1" ht="14.5" x14ac:dyDescent="0.35">
      <c r="A1105" s="413"/>
      <c r="B1105" s="381"/>
      <c r="C1105" s="381"/>
      <c r="D1105" s="381"/>
      <c r="E1105" s="381"/>
      <c r="F1105" s="885" t="s">
        <v>14</v>
      </c>
      <c r="G1105" s="905" t="s">
        <v>66</v>
      </c>
      <c r="H1105" s="905" t="s">
        <v>66</v>
      </c>
      <c r="I1105" s="905" t="s">
        <v>66</v>
      </c>
      <c r="J1105" s="905" t="s">
        <v>66</v>
      </c>
      <c r="K1105" s="905" t="s">
        <v>66</v>
      </c>
      <c r="L1105" s="905" t="s">
        <v>66</v>
      </c>
      <c r="M1105" s="905" t="s">
        <v>66</v>
      </c>
      <c r="N1105" s="885" t="s">
        <v>66</v>
      </c>
      <c r="O1105" s="885"/>
      <c r="P1105" s="414"/>
      <c r="T1105" s="86"/>
    </row>
    <row r="1106" spans="1:20" s="75" customFormat="1" ht="14.5" x14ac:dyDescent="0.35">
      <c r="A1106" s="413"/>
      <c r="B1106" s="381"/>
      <c r="C1106" s="381"/>
      <c r="D1106" s="381"/>
      <c r="E1106" s="381"/>
      <c r="F1106" s="885" t="s">
        <v>178</v>
      </c>
      <c r="G1106" s="906">
        <v>9933.1844890000011</v>
      </c>
      <c r="H1106" s="906">
        <v>9294.2999999999993</v>
      </c>
      <c r="I1106" s="906">
        <v>11226.4</v>
      </c>
      <c r="J1106" s="906">
        <v>12374.5</v>
      </c>
      <c r="K1106" s="906">
        <v>13359.6</v>
      </c>
      <c r="L1106" s="905">
        <v>11036</v>
      </c>
      <c r="M1106" s="905">
        <v>8381.2999999999993</v>
      </c>
      <c r="N1106" s="885" t="s">
        <v>1118</v>
      </c>
      <c r="O1106" s="885"/>
      <c r="P1106" s="414"/>
      <c r="T1106" s="86"/>
    </row>
    <row r="1107" spans="1:20" s="75" customFormat="1" ht="14.5" x14ac:dyDescent="0.35">
      <c r="A1107" s="400"/>
      <c r="B1107" s="421"/>
      <c r="C1107" s="421"/>
      <c r="D1107" s="421"/>
      <c r="E1107" s="421"/>
      <c r="F1107" s="907"/>
      <c r="G1107" s="907"/>
      <c r="H1107" s="907"/>
      <c r="I1107" s="907"/>
      <c r="J1107" s="907"/>
      <c r="K1107" s="907"/>
      <c r="L1107" s="907"/>
      <c r="M1107" s="907"/>
      <c r="N1107" s="907"/>
      <c r="O1107" s="907"/>
      <c r="P1107" s="422"/>
      <c r="Q1107" s="88"/>
      <c r="R1107" s="88"/>
      <c r="S1107" s="88"/>
      <c r="T1107" s="89"/>
    </row>
    <row r="1108" spans="1:20" x14ac:dyDescent="0.25">
      <c r="A1108" s="362"/>
      <c r="C1108" s="387"/>
    </row>
    <row r="1109" spans="1:20" x14ac:dyDescent="0.25">
      <c r="A1109" s="395" t="s">
        <v>14</v>
      </c>
      <c r="B1109" s="396" t="s">
        <v>638</v>
      </c>
      <c r="C1109" s="396" t="s">
        <v>15</v>
      </c>
      <c r="D1109" s="381"/>
      <c r="E1109" s="381"/>
      <c r="F1109" s="885"/>
      <c r="G1109" s="885"/>
      <c r="H1109" s="885"/>
      <c r="I1109" s="885"/>
      <c r="J1109" s="885"/>
      <c r="K1109" s="885"/>
      <c r="L1109" s="885"/>
      <c r="M1109" s="885"/>
      <c r="N1109" s="885"/>
      <c r="O1109" s="885"/>
      <c r="P1109" s="381"/>
      <c r="Q1109" s="381"/>
      <c r="R1109" s="381"/>
    </row>
    <row r="1110" spans="1:20" s="423" customFormat="1" ht="14" x14ac:dyDescent="0.3">
      <c r="A1110" s="400" t="s">
        <v>16</v>
      </c>
      <c r="B1110" s="401">
        <v>2009</v>
      </c>
      <c r="C1110" s="402">
        <v>2010</v>
      </c>
      <c r="D1110" s="402">
        <v>2011</v>
      </c>
      <c r="E1110" s="402">
        <v>2012</v>
      </c>
      <c r="F1110" s="899">
        <v>2013</v>
      </c>
      <c r="G1110" s="899">
        <v>2014</v>
      </c>
      <c r="H1110" s="899">
        <v>2015</v>
      </c>
      <c r="I1110" s="899">
        <v>2016</v>
      </c>
      <c r="J1110" s="899">
        <v>2017</v>
      </c>
      <c r="K1110" s="899">
        <v>2018</v>
      </c>
      <c r="L1110" s="899">
        <v>2019</v>
      </c>
      <c r="M1110" s="899">
        <v>2020</v>
      </c>
      <c r="N1110" s="899">
        <v>2021</v>
      </c>
      <c r="O1110" s="899">
        <v>2022</v>
      </c>
      <c r="P1110" s="402">
        <v>2023</v>
      </c>
      <c r="Q1110" s="402">
        <v>2024</v>
      </c>
      <c r="R1110" s="402">
        <v>2025</v>
      </c>
      <c r="S1110" s="402">
        <v>2026</v>
      </c>
      <c r="T1110" s="402">
        <v>2027</v>
      </c>
    </row>
    <row r="1111" spans="1:20" s="423" customFormat="1" ht="14" x14ac:dyDescent="0.3">
      <c r="A1111" s="403" t="s">
        <v>17</v>
      </c>
      <c r="B1111" s="424"/>
      <c r="C1111" s="424"/>
      <c r="D1111" s="424"/>
      <c r="E1111" s="424"/>
      <c r="F1111" s="908"/>
      <c r="G1111" s="908">
        <v>1355</v>
      </c>
      <c r="H1111" s="908">
        <v>1355</v>
      </c>
      <c r="I1111" s="908">
        <v>1355</v>
      </c>
      <c r="J1111" s="908">
        <v>1355</v>
      </c>
      <c r="K1111" s="908">
        <v>1355</v>
      </c>
      <c r="L1111" s="908">
        <v>1355</v>
      </c>
      <c r="M1111" s="908">
        <v>1355</v>
      </c>
      <c r="N1111" s="908">
        <v>1355</v>
      </c>
      <c r="O1111" s="908">
        <v>1355</v>
      </c>
      <c r="P1111" s="424">
        <v>1630</v>
      </c>
      <c r="Q1111" s="424">
        <v>1630</v>
      </c>
      <c r="R1111" s="424">
        <v>1630</v>
      </c>
      <c r="S1111" s="424">
        <v>1630</v>
      </c>
      <c r="T1111" s="424">
        <v>1630</v>
      </c>
    </row>
    <row r="1112" spans="1:20" s="423" customFormat="1" ht="14" x14ac:dyDescent="0.3">
      <c r="A1112" s="403" t="s">
        <v>18</v>
      </c>
      <c r="B1112" s="424">
        <v>237.31834029985683</v>
      </c>
      <c r="C1112" s="424">
        <v>315.5295404143024</v>
      </c>
      <c r="D1112" s="424">
        <v>275.05599999999998</v>
      </c>
      <c r="E1112" s="424">
        <v>415.68</v>
      </c>
      <c r="F1112" s="908">
        <v>341.67599999999999</v>
      </c>
      <c r="G1112" s="908">
        <v>1725</v>
      </c>
      <c r="H1112" s="908">
        <v>1555</v>
      </c>
      <c r="I1112" s="908">
        <v>1693.75</v>
      </c>
      <c r="J1112" s="908">
        <v>1717.1</v>
      </c>
      <c r="K1112" s="908">
        <v>1893.75</v>
      </c>
      <c r="L1112" s="908">
        <v>1936.3</v>
      </c>
      <c r="M1112" s="908">
        <v>2693.75</v>
      </c>
      <c r="N1112" s="908">
        <f>N1111+0.25*L1111</f>
        <v>1693.75</v>
      </c>
      <c r="O1112" s="908">
        <v>1693.75</v>
      </c>
      <c r="P1112" s="424">
        <f>P1111+N1115+300</f>
        <v>2136.15</v>
      </c>
      <c r="Q1112" s="424">
        <f>Q1111+O1115+100+100+100</f>
        <v>1882.55</v>
      </c>
      <c r="R1112" s="424">
        <f>R1111+P1115+100+100+100+148.15</f>
        <v>2337.5000000000005</v>
      </c>
      <c r="S1112" s="424">
        <f>S1111+Q1115+100+100+100+148.15</f>
        <v>2099.1999999999998</v>
      </c>
      <c r="T1112" s="424">
        <v>1630</v>
      </c>
    </row>
    <row r="1113" spans="1:20" s="423" customFormat="1" ht="14" x14ac:dyDescent="0.3">
      <c r="A1113" s="403" t="s">
        <v>19</v>
      </c>
      <c r="B1113" s="424"/>
      <c r="C1113" s="424"/>
      <c r="D1113" s="424"/>
      <c r="E1113" s="424"/>
      <c r="F1113" s="908"/>
      <c r="G1113" s="908"/>
      <c r="H1113" s="908"/>
      <c r="I1113" s="908"/>
      <c r="J1113" s="908"/>
      <c r="K1113" s="908"/>
      <c r="L1113" s="908"/>
      <c r="M1113" s="908"/>
      <c r="N1113" s="908"/>
      <c r="O1113" s="908"/>
      <c r="P1113" s="424"/>
      <c r="Q1113" s="424"/>
      <c r="R1113" s="424"/>
      <c r="S1113" s="424"/>
      <c r="T1113" s="424"/>
    </row>
    <row r="1114" spans="1:20" s="423" customFormat="1" ht="14" x14ac:dyDescent="0.3">
      <c r="A1114" s="403" t="s">
        <v>20</v>
      </c>
      <c r="B1114" s="424">
        <v>958.10900000000004</v>
      </c>
      <c r="C1114" s="424">
        <v>1217.827</v>
      </c>
      <c r="D1114" s="424">
        <v>1776.4</v>
      </c>
      <c r="E1114" s="424">
        <v>3550.6</v>
      </c>
      <c r="F1114" s="908">
        <v>1713.8</v>
      </c>
      <c r="G1114" s="908">
        <v>1198.9000000000001</v>
      </c>
      <c r="H1114" s="908">
        <v>1392.9</v>
      </c>
      <c r="I1114" s="908">
        <v>1212.8</v>
      </c>
      <c r="J1114" s="908">
        <v>2135.8000000000002</v>
      </c>
      <c r="K1114" s="908">
        <v>1654.5</v>
      </c>
      <c r="L1114" s="908">
        <v>1465.57</v>
      </c>
      <c r="M1114" s="908">
        <v>1621.8</v>
      </c>
      <c r="N1114" s="908">
        <v>1487.6</v>
      </c>
      <c r="O1114" s="908">
        <v>1741.2</v>
      </c>
      <c r="P1114" s="424">
        <v>1876.8</v>
      </c>
      <c r="Q1114" s="424">
        <v>1861.5</v>
      </c>
      <c r="R1114" s="424">
        <v>589.5</v>
      </c>
      <c r="S1114" s="424"/>
      <c r="T1114" s="424"/>
    </row>
    <row r="1115" spans="1:20" s="423" customFormat="1" ht="14" x14ac:dyDescent="0.3">
      <c r="A1115" s="403" t="s">
        <v>21</v>
      </c>
      <c r="B1115" s="424">
        <v>-720.79065970014324</v>
      </c>
      <c r="C1115" s="424">
        <v>-902.29745958569765</v>
      </c>
      <c r="D1115" s="424">
        <v>-1501.3440000000001</v>
      </c>
      <c r="E1115" s="424">
        <v>-3134.92</v>
      </c>
      <c r="F1115" s="908">
        <v>-1372.124</v>
      </c>
      <c r="G1115" s="908">
        <v>526.09999999999991</v>
      </c>
      <c r="H1115" s="908">
        <v>162.09999999999991</v>
      </c>
      <c r="I1115" s="908">
        <v>480.95000000000005</v>
      </c>
      <c r="J1115" s="908">
        <v>-418.70000000000027</v>
      </c>
      <c r="K1115" s="908">
        <v>239.25</v>
      </c>
      <c r="L1115" s="908">
        <v>470.73</v>
      </c>
      <c r="M1115" s="908">
        <v>1071.95</v>
      </c>
      <c r="N1115" s="908">
        <f>N1112-N1114</f>
        <v>206.15000000000009</v>
      </c>
      <c r="O1115" s="908">
        <f>O1112-O1114</f>
        <v>-47.450000000000045</v>
      </c>
      <c r="P1115" s="424">
        <f>P1112-P1114</f>
        <v>259.35000000000014</v>
      </c>
      <c r="Q1115" s="424">
        <v>21.049999999999955</v>
      </c>
      <c r="R1115" s="424">
        <f>R1112-R1114</f>
        <v>1748.0000000000005</v>
      </c>
      <c r="S1115" s="424"/>
      <c r="T1115" s="424"/>
    </row>
    <row r="1116" spans="1:20" s="423" customFormat="1" ht="14" x14ac:dyDescent="0.3">
      <c r="A1116" s="425" t="s">
        <v>22</v>
      </c>
      <c r="B1116" s="426"/>
      <c r="C1116" s="426"/>
      <c r="D1116" s="426"/>
      <c r="E1116" s="426"/>
      <c r="F1116" s="909"/>
      <c r="G1116" s="910">
        <v>2016</v>
      </c>
      <c r="H1116" s="910">
        <v>2017</v>
      </c>
      <c r="I1116" s="910">
        <v>2018</v>
      </c>
      <c r="J1116" s="910">
        <v>2019</v>
      </c>
      <c r="K1116" s="910">
        <v>2020</v>
      </c>
      <c r="L1116" s="910">
        <v>2021</v>
      </c>
      <c r="M1116" s="910">
        <v>2022</v>
      </c>
      <c r="N1116" s="910">
        <v>2023</v>
      </c>
      <c r="O1116" s="910">
        <v>2024</v>
      </c>
      <c r="P1116" s="427">
        <v>2025</v>
      </c>
      <c r="Q1116" s="427">
        <v>2026</v>
      </c>
      <c r="R1116" s="427">
        <v>2027</v>
      </c>
      <c r="S1116" s="427">
        <v>2028</v>
      </c>
      <c r="T1116" s="427">
        <v>2029</v>
      </c>
    </row>
    <row r="1117" spans="1:20" s="423" customFormat="1" ht="14" x14ac:dyDescent="0.3">
      <c r="A1117" s="408" t="s">
        <v>179</v>
      </c>
      <c r="B1117" s="411"/>
      <c r="C1117" s="411"/>
      <c r="D1117" s="411"/>
      <c r="E1117" s="411"/>
      <c r="F1117" s="903"/>
      <c r="G1117" s="903"/>
      <c r="H1117" s="903"/>
      <c r="I1117" s="903"/>
      <c r="J1117" s="903"/>
      <c r="K1117" s="903"/>
      <c r="L1117" s="903"/>
      <c r="M1117" s="903"/>
      <c r="N1117" s="903"/>
      <c r="O1117" s="903"/>
      <c r="P1117" s="411"/>
      <c r="Q1117" s="411"/>
      <c r="R1117" s="411"/>
      <c r="S1117" s="428"/>
      <c r="T1117" s="429"/>
    </row>
    <row r="1118" spans="1:20" s="423" customFormat="1" ht="14" x14ac:dyDescent="0.3">
      <c r="A1118" s="408" t="s">
        <v>180</v>
      </c>
      <c r="B1118" s="411"/>
      <c r="C1118" s="411"/>
      <c r="D1118" s="411"/>
      <c r="E1118" s="411"/>
      <c r="F1118" s="903"/>
      <c r="G1118" s="903"/>
      <c r="H1118" s="903"/>
      <c r="I1118" s="903"/>
      <c r="J1118" s="903"/>
      <c r="K1118" s="903"/>
      <c r="L1118" s="903"/>
      <c r="M1118" s="903"/>
      <c r="N1118" s="903"/>
      <c r="O1118" s="903"/>
      <c r="P1118" s="411"/>
      <c r="Q1118" s="411"/>
      <c r="R1118" s="411"/>
      <c r="S1118" s="428"/>
      <c r="T1118" s="429"/>
    </row>
    <row r="1119" spans="1:20" s="423" customFormat="1" ht="14" x14ac:dyDescent="0.3">
      <c r="A1119" s="413" t="s">
        <v>181</v>
      </c>
      <c r="B1119" s="381"/>
      <c r="C1119" s="381"/>
      <c r="D1119" s="381"/>
      <c r="E1119" s="381"/>
      <c r="F1119" s="885"/>
      <c r="G1119" s="885"/>
      <c r="H1119" s="885"/>
      <c r="I1119" s="885"/>
      <c r="J1119" s="885"/>
      <c r="K1119" s="885"/>
      <c r="L1119" s="885"/>
      <c r="M1119" s="885"/>
      <c r="N1119" s="885"/>
      <c r="O1119" s="885"/>
      <c r="P1119" s="381"/>
      <c r="Q1119" s="381"/>
      <c r="R1119" s="381"/>
      <c r="T1119" s="430"/>
    </row>
    <row r="1120" spans="1:20" s="423" customFormat="1" ht="14" x14ac:dyDescent="0.3">
      <c r="A1120" s="413" t="s">
        <v>182</v>
      </c>
      <c r="B1120" s="381"/>
      <c r="C1120" s="381"/>
      <c r="D1120" s="381"/>
      <c r="E1120" s="381"/>
      <c r="F1120" s="885"/>
      <c r="G1120" s="885"/>
      <c r="H1120" s="885"/>
      <c r="I1120" s="885"/>
      <c r="J1120" s="885"/>
      <c r="K1120" s="885"/>
      <c r="L1120" s="885"/>
      <c r="M1120" s="885"/>
      <c r="N1120" s="885"/>
      <c r="O1120" s="885"/>
      <c r="P1120" s="381"/>
      <c r="Q1120" s="381"/>
      <c r="R1120" s="381"/>
      <c r="T1120" s="430"/>
    </row>
    <row r="1121" spans="1:20" s="423" customFormat="1" ht="14" x14ac:dyDescent="0.3">
      <c r="A1121" s="413" t="s">
        <v>183</v>
      </c>
      <c r="B1121" s="418"/>
      <c r="C1121" s="420"/>
      <c r="D1121" s="419"/>
      <c r="E1121" s="381"/>
      <c r="F1121" s="885"/>
      <c r="G1121" s="905"/>
      <c r="H1121" s="885"/>
      <c r="I1121" s="885"/>
      <c r="J1121" s="885"/>
      <c r="K1121" s="885"/>
      <c r="L1121" s="885"/>
      <c r="M1121" s="885"/>
      <c r="N1121" s="885"/>
      <c r="O1121" s="885"/>
      <c r="P1121" s="381"/>
      <c r="Q1121" s="381"/>
      <c r="R1121" s="381"/>
      <c r="T1121" s="430"/>
    </row>
    <row r="1122" spans="1:20" s="423" customFormat="1" ht="14" x14ac:dyDescent="0.3">
      <c r="A1122" s="413" t="s">
        <v>184</v>
      </c>
      <c r="B1122" s="381"/>
      <c r="C1122" s="381"/>
      <c r="D1122" s="381"/>
      <c r="E1122" s="381"/>
      <c r="F1122" s="885"/>
      <c r="G1122" s="885"/>
      <c r="H1122" s="885"/>
      <c r="I1122" s="885"/>
      <c r="J1122" s="885"/>
      <c r="K1122" s="885"/>
      <c r="L1122" s="885"/>
      <c r="M1122" s="885"/>
      <c r="N1122" s="885"/>
      <c r="O1122" s="885"/>
      <c r="P1122" s="381"/>
      <c r="Q1122" s="381"/>
      <c r="R1122" s="381"/>
      <c r="T1122" s="430"/>
    </row>
    <row r="1123" spans="1:20" s="423" customFormat="1" ht="14" x14ac:dyDescent="0.3">
      <c r="A1123" s="413" t="s">
        <v>185</v>
      </c>
      <c r="B1123" s="381"/>
      <c r="C1123" s="381"/>
      <c r="D1123" s="381"/>
      <c r="E1123" s="381"/>
      <c r="F1123" s="885"/>
      <c r="G1123" s="885"/>
      <c r="H1123" s="885"/>
      <c r="I1123" s="885"/>
      <c r="J1123" s="885"/>
      <c r="K1123" s="885"/>
      <c r="L1123" s="885"/>
      <c r="M1123" s="885"/>
      <c r="N1123" s="885"/>
      <c r="O1123" s="885"/>
      <c r="P1123" s="381"/>
      <c r="Q1123" s="381"/>
      <c r="R1123" s="381"/>
      <c r="T1123" s="430"/>
    </row>
    <row r="1124" spans="1:20" s="423" customFormat="1" ht="14" x14ac:dyDescent="0.3">
      <c r="A1124" s="431" t="s">
        <v>221</v>
      </c>
      <c r="B1124" s="381"/>
      <c r="C1124" s="381"/>
      <c r="D1124" s="381"/>
      <c r="E1124" s="381"/>
      <c r="F1124" s="885"/>
      <c r="G1124" s="885"/>
      <c r="H1124" s="885"/>
      <c r="I1124" s="885"/>
      <c r="J1124" s="885"/>
      <c r="K1124" s="885"/>
      <c r="L1124" s="885"/>
      <c r="M1124" s="885"/>
      <c r="N1124" s="885"/>
      <c r="O1124" s="885"/>
      <c r="P1124" s="381"/>
      <c r="Q1124" s="381"/>
      <c r="R1124" s="381"/>
      <c r="T1124" s="430"/>
    </row>
    <row r="1125" spans="1:20" s="423" customFormat="1" ht="14" x14ac:dyDescent="0.3">
      <c r="A1125" s="413" t="s">
        <v>222</v>
      </c>
      <c r="B1125" s="381"/>
      <c r="C1125" s="381"/>
      <c r="D1125" s="381"/>
      <c r="E1125" s="381"/>
      <c r="F1125" s="885"/>
      <c r="G1125" s="905"/>
      <c r="H1125" s="885"/>
      <c r="I1125" s="885"/>
      <c r="J1125" s="885"/>
      <c r="K1125" s="885"/>
      <c r="L1125" s="885"/>
      <c r="M1125" s="885"/>
      <c r="N1125" s="885"/>
      <c r="O1125" s="885"/>
      <c r="P1125" s="381"/>
      <c r="Q1125" s="381"/>
      <c r="R1125" s="381"/>
      <c r="T1125" s="430"/>
    </row>
    <row r="1126" spans="1:20" s="432" customFormat="1" x14ac:dyDescent="0.25">
      <c r="A1126" s="413" t="s">
        <v>223</v>
      </c>
      <c r="B1126" s="397"/>
      <c r="C1126" s="397"/>
      <c r="D1126" s="397"/>
      <c r="E1126" s="397"/>
      <c r="F1126" s="898"/>
      <c r="G1126" s="911"/>
      <c r="H1126" s="898"/>
      <c r="I1126" s="898"/>
      <c r="J1126" s="898"/>
      <c r="K1126" s="898"/>
      <c r="L1126" s="898"/>
      <c r="M1126" s="898"/>
      <c r="N1126" s="898"/>
      <c r="O1126" s="898"/>
      <c r="P1126" s="397"/>
      <c r="Q1126" s="397"/>
      <c r="R1126" s="397"/>
      <c r="T1126" s="433"/>
    </row>
    <row r="1127" spans="1:20" s="432" customFormat="1" x14ac:dyDescent="0.25">
      <c r="A1127" s="413" t="s">
        <v>224</v>
      </c>
      <c r="B1127" s="397"/>
      <c r="C1127" s="397"/>
      <c r="D1127" s="397"/>
      <c r="E1127" s="397"/>
      <c r="F1127" s="898"/>
      <c r="G1127" s="912"/>
      <c r="H1127" s="898"/>
      <c r="I1127" s="898"/>
      <c r="J1127" s="898"/>
      <c r="K1127" s="898"/>
      <c r="L1127" s="898"/>
      <c r="M1127" s="898"/>
      <c r="N1127" s="898"/>
      <c r="O1127" s="898"/>
      <c r="P1127" s="397"/>
      <c r="Q1127" s="397"/>
      <c r="R1127" s="397"/>
      <c r="T1127" s="433"/>
    </row>
    <row r="1128" spans="1:20" s="432" customFormat="1" x14ac:dyDescent="0.25">
      <c r="A1128" s="413" t="s">
        <v>271</v>
      </c>
      <c r="B1128" s="397"/>
      <c r="C1128" s="397"/>
      <c r="D1128" s="397"/>
      <c r="E1128" s="397"/>
      <c r="F1128" s="898"/>
      <c r="G1128" s="912"/>
      <c r="H1128" s="898"/>
      <c r="I1128" s="898"/>
      <c r="J1128" s="898"/>
      <c r="K1128" s="898"/>
      <c r="L1128" s="898"/>
      <c r="M1128" s="898"/>
      <c r="N1128" s="898"/>
      <c r="O1128" s="898"/>
      <c r="P1128" s="397"/>
      <c r="Q1128" s="397"/>
      <c r="R1128" s="397"/>
      <c r="T1128" s="433"/>
    </row>
    <row r="1129" spans="1:20" s="423" customFormat="1" ht="14" x14ac:dyDescent="0.3">
      <c r="A1129" s="434" t="s">
        <v>225</v>
      </c>
      <c r="B1129" s="435"/>
      <c r="C1129" s="435"/>
      <c r="D1129" s="435"/>
      <c r="E1129" s="435"/>
      <c r="F1129" s="913"/>
      <c r="G1129" s="913"/>
      <c r="H1129" s="913"/>
      <c r="I1129" s="913"/>
      <c r="J1129" s="913"/>
      <c r="K1129" s="913"/>
      <c r="L1129" s="913"/>
      <c r="M1129" s="913"/>
      <c r="N1129" s="913"/>
      <c r="O1129" s="913"/>
      <c r="P1129" s="381"/>
      <c r="Q1129" s="381"/>
      <c r="R1129" s="381"/>
      <c r="T1129" s="430"/>
    </row>
    <row r="1130" spans="1:20" s="423" customFormat="1" ht="27" customHeight="1" x14ac:dyDescent="0.3">
      <c r="A1130" s="436" t="s">
        <v>347</v>
      </c>
      <c r="B1130" s="437"/>
      <c r="C1130" s="437"/>
      <c r="D1130" s="437"/>
      <c r="E1130" s="437"/>
      <c r="F1130" s="437"/>
      <c r="G1130" s="437"/>
      <c r="H1130" s="437"/>
      <c r="I1130" s="437"/>
      <c r="J1130" s="437"/>
      <c r="K1130" s="437"/>
      <c r="L1130" s="437"/>
      <c r="M1130" s="437"/>
      <c r="N1130" s="437"/>
      <c r="O1130" s="913"/>
      <c r="P1130" s="381"/>
      <c r="Q1130" s="381"/>
      <c r="R1130" s="381"/>
      <c r="T1130" s="430"/>
    </row>
    <row r="1131" spans="1:20" s="423" customFormat="1" ht="14.15" customHeight="1" x14ac:dyDescent="0.3">
      <c r="A1131" s="434" t="s">
        <v>406</v>
      </c>
      <c r="B1131" s="435"/>
      <c r="C1131" s="435"/>
      <c r="D1131" s="435"/>
      <c r="E1131" s="435"/>
      <c r="F1131" s="913"/>
      <c r="G1131" s="913"/>
      <c r="H1131" s="913"/>
      <c r="I1131" s="913"/>
      <c r="J1131" s="913"/>
      <c r="K1131" s="913"/>
      <c r="L1131" s="913"/>
      <c r="M1131" s="913"/>
      <c r="N1131" s="913"/>
      <c r="O1131" s="913"/>
      <c r="P1131" s="381"/>
      <c r="Q1131" s="381"/>
      <c r="R1131" s="381"/>
      <c r="T1131" s="430"/>
    </row>
    <row r="1132" spans="1:20" s="423" customFormat="1" ht="14.15" customHeight="1" x14ac:dyDescent="0.3">
      <c r="A1132" s="434" t="s">
        <v>639</v>
      </c>
      <c r="B1132" s="435"/>
      <c r="C1132" s="435"/>
      <c r="D1132" s="435"/>
      <c r="E1132" s="435"/>
      <c r="F1132" s="913"/>
      <c r="G1132" s="913"/>
      <c r="H1132" s="913"/>
      <c r="I1132" s="913"/>
      <c r="J1132" s="913"/>
      <c r="K1132" s="913"/>
      <c r="L1132" s="913"/>
      <c r="M1132" s="913"/>
      <c r="N1132" s="913"/>
      <c r="O1132" s="913"/>
      <c r="P1132" s="381"/>
      <c r="Q1132" s="381"/>
      <c r="R1132" s="381"/>
      <c r="T1132" s="430"/>
    </row>
    <row r="1133" spans="1:20" s="423" customFormat="1" ht="14.15" customHeight="1" x14ac:dyDescent="0.3">
      <c r="A1133" s="434" t="s">
        <v>805</v>
      </c>
      <c r="B1133" s="435"/>
      <c r="C1133" s="435"/>
      <c r="D1133" s="435"/>
      <c r="E1133" s="435"/>
      <c r="F1133" s="913"/>
      <c r="G1133" s="913"/>
      <c r="H1133" s="913"/>
      <c r="I1133" s="913"/>
      <c r="J1133" s="913"/>
      <c r="K1133" s="913"/>
      <c r="L1133" s="913"/>
      <c r="M1133" s="913"/>
      <c r="N1133" s="913"/>
      <c r="O1133" s="913"/>
      <c r="P1133" s="381"/>
      <c r="Q1133" s="381"/>
      <c r="R1133" s="381"/>
      <c r="T1133" s="430"/>
    </row>
    <row r="1134" spans="1:20" s="423" customFormat="1" ht="14.15" customHeight="1" x14ac:dyDescent="0.3">
      <c r="A1134" s="434" t="s">
        <v>1025</v>
      </c>
      <c r="B1134" s="435"/>
      <c r="C1134" s="435"/>
      <c r="D1134" s="435"/>
      <c r="E1134" s="435"/>
      <c r="F1134" s="913"/>
      <c r="G1134" s="913"/>
      <c r="H1134" s="913"/>
      <c r="I1134" s="913"/>
      <c r="J1134" s="913"/>
      <c r="K1134" s="913"/>
      <c r="L1134" s="913"/>
      <c r="M1134" s="913"/>
      <c r="N1134" s="913"/>
      <c r="O1134" s="913"/>
      <c r="P1134" s="381"/>
      <c r="Q1134" s="381"/>
      <c r="R1134" s="381"/>
      <c r="T1134" s="430"/>
    </row>
    <row r="1135" spans="1:20" s="423" customFormat="1" ht="14.15" customHeight="1" x14ac:dyDescent="0.3">
      <c r="A1135" s="434" t="s">
        <v>1159</v>
      </c>
      <c r="B1135" s="435"/>
      <c r="C1135" s="435"/>
      <c r="D1135" s="435"/>
      <c r="E1135" s="435"/>
      <c r="F1135" s="913"/>
      <c r="G1135" s="913"/>
      <c r="H1135" s="913"/>
      <c r="I1135" s="913"/>
      <c r="J1135" s="913"/>
      <c r="K1135" s="913"/>
      <c r="L1135" s="913"/>
      <c r="M1135" s="913"/>
      <c r="N1135" s="913"/>
      <c r="O1135" s="913"/>
      <c r="P1135" s="381"/>
      <c r="Q1135" s="381"/>
      <c r="R1135" s="381"/>
      <c r="T1135" s="430"/>
    </row>
    <row r="1136" spans="1:20" s="443" customFormat="1" ht="14.15" customHeight="1" x14ac:dyDescent="0.3">
      <c r="A1136" s="438" t="s">
        <v>1330</v>
      </c>
      <c r="B1136" s="439"/>
      <c r="C1136" s="439"/>
      <c r="D1136" s="439"/>
      <c r="E1136" s="439"/>
      <c r="F1136" s="914"/>
      <c r="G1136" s="914"/>
      <c r="H1136" s="914"/>
      <c r="I1136" s="914"/>
      <c r="J1136" s="914"/>
      <c r="K1136" s="914"/>
      <c r="L1136" s="914"/>
      <c r="M1136" s="914"/>
      <c r="N1136" s="914"/>
      <c r="O1136" s="914"/>
      <c r="P1136" s="440"/>
      <c r="Q1136" s="440"/>
      <c r="R1136" s="440"/>
      <c r="S1136" s="441"/>
      <c r="T1136" s="442"/>
    </row>
    <row r="1137" spans="1:20" x14ac:dyDescent="0.25">
      <c r="A1137" s="362"/>
      <c r="C1137" s="387"/>
    </row>
    <row r="1138" spans="1:20" x14ac:dyDescent="0.25">
      <c r="A1138" s="395" t="s">
        <v>14</v>
      </c>
      <c r="B1138" s="396" t="s">
        <v>623</v>
      </c>
      <c r="C1138" s="396" t="s">
        <v>15</v>
      </c>
      <c r="D1138" s="381"/>
      <c r="E1138" s="381"/>
      <c r="F1138" s="885"/>
      <c r="G1138" s="885"/>
      <c r="H1138" s="885"/>
      <c r="I1138" s="885"/>
      <c r="J1138" s="885"/>
      <c r="K1138" s="885"/>
      <c r="L1138" s="885"/>
      <c r="M1138" s="885"/>
      <c r="N1138" s="885"/>
      <c r="O1138" s="885"/>
      <c r="P1138" s="381"/>
      <c r="Q1138" s="381"/>
      <c r="R1138" s="381"/>
    </row>
    <row r="1139" spans="1:20" x14ac:dyDescent="0.25">
      <c r="A1139" s="400" t="s">
        <v>16</v>
      </c>
      <c r="B1139" s="444">
        <v>2009</v>
      </c>
      <c r="C1139" s="445">
        <v>2010</v>
      </c>
      <c r="D1139" s="445">
        <v>2011</v>
      </c>
      <c r="E1139" s="445">
        <v>2012</v>
      </c>
      <c r="F1139" s="915">
        <v>2013</v>
      </c>
      <c r="G1139" s="915">
        <v>2014</v>
      </c>
      <c r="H1139" s="915">
        <v>2015</v>
      </c>
      <c r="I1139" s="915">
        <v>2016</v>
      </c>
      <c r="J1139" s="915">
        <v>2017</v>
      </c>
      <c r="K1139" s="915">
        <v>2018</v>
      </c>
      <c r="L1139" s="915">
        <v>2019</v>
      </c>
      <c r="M1139" s="915">
        <v>2020</v>
      </c>
      <c r="N1139" s="899">
        <v>2021</v>
      </c>
      <c r="O1139" s="899">
        <v>2022</v>
      </c>
      <c r="P1139" s="402">
        <v>2023</v>
      </c>
      <c r="Q1139" s="402">
        <v>2024</v>
      </c>
      <c r="R1139" s="446">
        <v>2025</v>
      </c>
      <c r="S1139" s="446">
        <v>2026</v>
      </c>
      <c r="T1139" s="446">
        <v>2027</v>
      </c>
    </row>
    <row r="1140" spans="1:20" x14ac:dyDescent="0.25">
      <c r="A1140" s="403" t="s">
        <v>17</v>
      </c>
      <c r="B1140" s="424">
        <v>842</v>
      </c>
      <c r="C1140" s="424">
        <v>842</v>
      </c>
      <c r="D1140" s="424">
        <v>842</v>
      </c>
      <c r="E1140" s="424">
        <v>842</v>
      </c>
      <c r="F1140" s="908">
        <v>842</v>
      </c>
      <c r="G1140" s="908">
        <v>842</v>
      </c>
      <c r="H1140" s="908">
        <v>842</v>
      </c>
      <c r="I1140" s="908">
        <v>842</v>
      </c>
      <c r="J1140" s="908">
        <v>842</v>
      </c>
      <c r="K1140" s="908">
        <v>842</v>
      </c>
      <c r="L1140" s="908">
        <v>842</v>
      </c>
      <c r="M1140" s="908">
        <v>842</v>
      </c>
      <c r="N1140" s="908">
        <v>842</v>
      </c>
      <c r="O1140" s="908">
        <v>842</v>
      </c>
      <c r="P1140" s="424">
        <v>842</v>
      </c>
      <c r="Q1140" s="424">
        <v>842</v>
      </c>
      <c r="R1140" s="1">
        <v>842</v>
      </c>
      <c r="S1140" s="1">
        <v>842</v>
      </c>
      <c r="T1140" s="1">
        <v>842</v>
      </c>
    </row>
    <row r="1141" spans="1:20" x14ac:dyDescent="0.25">
      <c r="A1141" s="403" t="s">
        <v>18</v>
      </c>
      <c r="B1141" s="424">
        <v>2717.74</v>
      </c>
      <c r="C1141" s="424">
        <v>2596.7442299999998</v>
      </c>
      <c r="D1141" s="424">
        <v>2707.4306399999996</v>
      </c>
      <c r="E1141" s="424">
        <v>2795.2306399999998</v>
      </c>
      <c r="F1141" s="908">
        <v>3114.7264100000002</v>
      </c>
      <c r="G1141" s="908">
        <v>3408.0264100000004</v>
      </c>
      <c r="H1141" s="908">
        <f>1.15*H1140-(50+35+25)</f>
        <v>858.3</v>
      </c>
      <c r="I1141" s="908">
        <f>I1140+H1144-50-35-25</f>
        <v>1138.1999999999998</v>
      </c>
      <c r="J1141" s="908">
        <f>J1140+I1144-100-35-25</f>
        <v>1422.4999999999998</v>
      </c>
      <c r="K1141" s="908">
        <f>K1140*1.15-100-35</f>
        <v>833.3</v>
      </c>
      <c r="L1141" s="908">
        <f>L1140+K1144-100-35-25</f>
        <v>1226</v>
      </c>
      <c r="M1141" s="908">
        <f>M1140+L1144-150-35-25</f>
        <v>1463.0075420000001</v>
      </c>
      <c r="N1141" s="908">
        <f>N1140+M1144-150-35-25</f>
        <v>1688.2075420000001</v>
      </c>
      <c r="O1141" s="908">
        <f>O1140+N1144-150-35-25</f>
        <v>2032.807542</v>
      </c>
      <c r="P1141" s="424">
        <f>P1140+O1144-150-35-25</f>
        <v>2219.807542</v>
      </c>
      <c r="Q1141" s="424">
        <f>Q1140+P1144-150-35-25</f>
        <v>2355.5075420000003</v>
      </c>
      <c r="R1141" s="1">
        <f>R1140+Q1144-150-25</f>
        <v>2649.5075420000003</v>
      </c>
      <c r="S1141" s="1">
        <v>3092.9100000000003</v>
      </c>
      <c r="T1141" s="1">
        <v>842</v>
      </c>
    </row>
    <row r="1142" spans="1:20" x14ac:dyDescent="0.25">
      <c r="A1142" s="403" t="s">
        <v>19</v>
      </c>
      <c r="B1142" s="424"/>
      <c r="C1142" s="424"/>
      <c r="D1142" s="424"/>
      <c r="E1142" s="424"/>
      <c r="F1142" s="908"/>
      <c r="G1142" s="908"/>
      <c r="H1142" s="916"/>
      <c r="I1142" s="916"/>
      <c r="J1142" s="916"/>
      <c r="K1142" s="916"/>
      <c r="L1142" s="916"/>
      <c r="M1142" s="916"/>
      <c r="N1142" s="916"/>
      <c r="O1142" s="916"/>
      <c r="P1142" s="447"/>
      <c r="Q1142" s="447"/>
      <c r="R1142" s="1"/>
      <c r="S1142" s="101"/>
      <c r="T1142" s="101"/>
    </row>
    <row r="1143" spans="1:20" x14ac:dyDescent="0.25">
      <c r="A1143" s="403" t="s">
        <v>20</v>
      </c>
      <c r="B1143" s="424">
        <v>962.99576999999999</v>
      </c>
      <c r="C1143" s="424">
        <v>681.31358999999998</v>
      </c>
      <c r="D1143" s="424">
        <v>669.2</v>
      </c>
      <c r="E1143" s="424">
        <v>437.5</v>
      </c>
      <c r="F1143" s="908">
        <v>438.7</v>
      </c>
      <c r="G1143" s="908">
        <v>392.9</v>
      </c>
      <c r="H1143" s="908">
        <v>452.1</v>
      </c>
      <c r="I1143" s="908">
        <v>397.7</v>
      </c>
      <c r="J1143" s="908">
        <v>406</v>
      </c>
      <c r="K1143" s="908">
        <v>289.3</v>
      </c>
      <c r="L1143" s="908">
        <v>394.992458</v>
      </c>
      <c r="M1143" s="908">
        <v>406.79999999999995</v>
      </c>
      <c r="N1143" s="908">
        <v>287.39999999999998</v>
      </c>
      <c r="O1143" s="908">
        <v>445</v>
      </c>
      <c r="P1143" s="424">
        <v>496.3</v>
      </c>
      <c r="Q1143" s="424">
        <v>373</v>
      </c>
      <c r="R1143" s="448">
        <v>223.6</v>
      </c>
      <c r="S1143" s="101"/>
      <c r="T1143" s="101"/>
    </row>
    <row r="1144" spans="1:20" x14ac:dyDescent="0.25">
      <c r="A1144" s="403" t="s">
        <v>21</v>
      </c>
      <c r="B1144" s="424">
        <v>1754.7442299999998</v>
      </c>
      <c r="C1144" s="424">
        <v>1915.4306399999998</v>
      </c>
      <c r="D1144" s="424">
        <v>2038.2306399999995</v>
      </c>
      <c r="E1144" s="424">
        <v>2357.7264100000002</v>
      </c>
      <c r="F1144" s="908">
        <v>2676.0264100000004</v>
      </c>
      <c r="G1144" s="908">
        <v>3015.1264100000003</v>
      </c>
      <c r="H1144" s="908">
        <f t="shared" ref="H1144:R1144" si="60">H1141-H1143</f>
        <v>406.19999999999993</v>
      </c>
      <c r="I1144" s="908">
        <f t="shared" si="60"/>
        <v>740.49999999999977</v>
      </c>
      <c r="J1144" s="908">
        <f t="shared" si="60"/>
        <v>1016.4999999999998</v>
      </c>
      <c r="K1144" s="908">
        <f t="shared" si="60"/>
        <v>544</v>
      </c>
      <c r="L1144" s="908">
        <f t="shared" si="60"/>
        <v>831.00754200000006</v>
      </c>
      <c r="M1144" s="908">
        <f t="shared" si="60"/>
        <v>1056.2075420000001</v>
      </c>
      <c r="N1144" s="908">
        <f t="shared" si="60"/>
        <v>1400.807542</v>
      </c>
      <c r="O1144" s="908">
        <f t="shared" si="60"/>
        <v>1587.807542</v>
      </c>
      <c r="P1144" s="424">
        <f t="shared" si="60"/>
        <v>1723.5075420000001</v>
      </c>
      <c r="Q1144" s="424">
        <f t="shared" si="60"/>
        <v>1982.5075420000003</v>
      </c>
      <c r="R1144" s="449">
        <f t="shared" si="60"/>
        <v>2425.9075420000004</v>
      </c>
      <c r="S1144" s="101"/>
      <c r="T1144" s="101"/>
    </row>
    <row r="1145" spans="1:20" x14ac:dyDescent="0.25">
      <c r="A1145" s="405" t="s">
        <v>22</v>
      </c>
      <c r="B1145" s="450"/>
      <c r="C1145" s="450"/>
      <c r="D1145" s="450"/>
      <c r="E1145" s="450"/>
      <c r="F1145" s="917"/>
      <c r="G1145" s="917"/>
      <c r="H1145" s="918">
        <v>2016</v>
      </c>
      <c r="I1145" s="918">
        <v>2017</v>
      </c>
      <c r="J1145" s="918">
        <v>2018</v>
      </c>
      <c r="K1145" s="918">
        <v>2019</v>
      </c>
      <c r="L1145" s="918">
        <v>2020</v>
      </c>
      <c r="M1145" s="918">
        <v>2021</v>
      </c>
      <c r="N1145" s="918">
        <v>2022</v>
      </c>
      <c r="O1145" s="918">
        <v>2023</v>
      </c>
      <c r="P1145" s="451">
        <v>2024</v>
      </c>
      <c r="Q1145" s="451">
        <v>2025</v>
      </c>
      <c r="R1145" s="452">
        <v>2026</v>
      </c>
      <c r="S1145" s="90">
        <v>2027</v>
      </c>
      <c r="T1145" s="90">
        <v>2028</v>
      </c>
    </row>
    <row r="1146" spans="1:20" x14ac:dyDescent="0.25">
      <c r="A1146" s="408" t="s">
        <v>179</v>
      </c>
      <c r="B1146" s="411"/>
      <c r="C1146" s="411"/>
      <c r="D1146" s="411"/>
      <c r="E1146" s="411"/>
      <c r="F1146" s="903"/>
      <c r="G1146" s="903"/>
      <c r="H1146" s="903"/>
      <c r="I1146" s="903"/>
      <c r="J1146" s="903"/>
      <c r="K1146" s="903"/>
      <c r="L1146" s="903"/>
      <c r="M1146" s="903"/>
      <c r="N1146" s="903"/>
      <c r="O1146" s="903"/>
      <c r="P1146" s="411"/>
      <c r="Q1146" s="411"/>
      <c r="R1146" s="411"/>
      <c r="S1146" s="37"/>
      <c r="T1146" s="40"/>
    </row>
    <row r="1147" spans="1:20" x14ac:dyDescent="0.25">
      <c r="A1147" s="408" t="s">
        <v>186</v>
      </c>
      <c r="B1147" s="411"/>
      <c r="C1147" s="411"/>
      <c r="D1147" s="411"/>
      <c r="E1147" s="411"/>
      <c r="F1147" s="903"/>
      <c r="G1147" s="903"/>
      <c r="H1147" s="903"/>
      <c r="I1147" s="903"/>
      <c r="J1147" s="903"/>
      <c r="K1147" s="903"/>
      <c r="L1147" s="903"/>
      <c r="M1147" s="903"/>
      <c r="N1147" s="903"/>
      <c r="O1147" s="903"/>
      <c r="P1147" s="411"/>
      <c r="Q1147" s="411"/>
      <c r="R1147" s="411"/>
      <c r="S1147" s="37"/>
      <c r="T1147" s="40"/>
    </row>
    <row r="1148" spans="1:20" x14ac:dyDescent="0.25">
      <c r="A1148" s="413" t="s">
        <v>187</v>
      </c>
      <c r="B1148" s="381"/>
      <c r="C1148" s="381"/>
      <c r="D1148" s="381"/>
      <c r="E1148" s="381"/>
      <c r="F1148" s="885"/>
      <c r="G1148" s="885"/>
      <c r="H1148" s="885"/>
      <c r="I1148" s="885"/>
      <c r="J1148" s="885"/>
      <c r="K1148" s="885"/>
      <c r="L1148" s="885"/>
      <c r="M1148" s="885"/>
      <c r="N1148" s="885"/>
      <c r="O1148" s="885"/>
      <c r="P1148" s="381"/>
      <c r="Q1148" s="381"/>
      <c r="R1148" s="381"/>
      <c r="T1148" s="66"/>
    </row>
    <row r="1149" spans="1:20" x14ac:dyDescent="0.25">
      <c r="A1149" s="453" t="s">
        <v>188</v>
      </c>
      <c r="B1149" s="381"/>
      <c r="C1149" s="381"/>
      <c r="D1149" s="381"/>
      <c r="E1149" s="381"/>
      <c r="F1149" s="885"/>
      <c r="G1149" s="885"/>
      <c r="H1149" s="885"/>
      <c r="I1149" s="885"/>
      <c r="J1149" s="885"/>
      <c r="K1149" s="885"/>
      <c r="L1149" s="885"/>
      <c r="M1149" s="885"/>
      <c r="N1149" s="885"/>
      <c r="O1149" s="885"/>
      <c r="P1149" s="381"/>
      <c r="Q1149" s="381"/>
      <c r="R1149" s="381"/>
      <c r="T1149" s="66"/>
    </row>
    <row r="1150" spans="1:20" x14ac:dyDescent="0.25">
      <c r="A1150" s="453" t="s">
        <v>189</v>
      </c>
      <c r="B1150" s="381"/>
      <c r="C1150" s="381"/>
      <c r="D1150" s="381"/>
      <c r="E1150" s="381"/>
      <c r="F1150" s="885"/>
      <c r="G1150" s="885"/>
      <c r="H1150" s="885"/>
      <c r="I1150" s="885"/>
      <c r="J1150" s="885"/>
      <c r="K1150" s="885"/>
      <c r="L1150" s="885"/>
      <c r="M1150" s="885"/>
      <c r="N1150" s="885"/>
      <c r="O1150" s="885"/>
      <c r="P1150" s="381"/>
      <c r="Q1150" s="381"/>
      <c r="R1150" s="381"/>
      <c r="T1150" s="66"/>
    </row>
    <row r="1151" spans="1:20" x14ac:dyDescent="0.25">
      <c r="A1151" s="453" t="s">
        <v>1027</v>
      </c>
      <c r="B1151" s="381"/>
      <c r="C1151" s="381"/>
      <c r="D1151" s="381"/>
      <c r="E1151" s="381"/>
      <c r="F1151" s="885"/>
      <c r="G1151" s="885"/>
      <c r="H1151" s="885"/>
      <c r="I1151" s="885"/>
      <c r="J1151" s="885"/>
      <c r="K1151" s="885"/>
      <c r="L1151" s="885"/>
      <c r="M1151" s="885"/>
      <c r="N1151" s="885"/>
      <c r="O1151" s="885"/>
      <c r="P1151" s="381"/>
      <c r="Q1151" s="381"/>
      <c r="R1151" s="381"/>
      <c r="T1151" s="66"/>
    </row>
    <row r="1152" spans="1:20" x14ac:dyDescent="0.25">
      <c r="A1152" s="431" t="s">
        <v>226</v>
      </c>
      <c r="B1152" s="381"/>
      <c r="C1152" s="381"/>
      <c r="D1152" s="381"/>
      <c r="E1152" s="381"/>
      <c r="F1152" s="885"/>
      <c r="G1152" s="905"/>
      <c r="H1152" s="885"/>
      <c r="I1152" s="885"/>
      <c r="J1152" s="885"/>
      <c r="K1152" s="885"/>
      <c r="L1152" s="885"/>
      <c r="M1152" s="885"/>
      <c r="N1152" s="885"/>
      <c r="O1152" s="885"/>
      <c r="P1152" s="381"/>
      <c r="Q1152" s="381"/>
      <c r="R1152" s="381"/>
      <c r="T1152" s="66"/>
    </row>
    <row r="1153" spans="1:20" x14ac:dyDescent="0.25">
      <c r="A1153" s="431" t="s">
        <v>227</v>
      </c>
      <c r="B1153" s="381"/>
      <c r="C1153" s="381"/>
      <c r="D1153" s="381"/>
      <c r="E1153" s="381"/>
      <c r="F1153" s="885"/>
      <c r="G1153" s="905"/>
      <c r="H1153" s="885"/>
      <c r="I1153" s="885"/>
      <c r="J1153" s="885"/>
      <c r="K1153" s="885"/>
      <c r="L1153" s="885"/>
      <c r="M1153" s="885"/>
      <c r="N1153" s="885"/>
      <c r="O1153" s="885"/>
      <c r="P1153" s="381"/>
      <c r="Q1153" s="381"/>
      <c r="R1153" s="381"/>
      <c r="T1153" s="66"/>
    </row>
    <row r="1154" spans="1:20" x14ac:dyDescent="0.25">
      <c r="A1154" s="413" t="s">
        <v>190</v>
      </c>
      <c r="B1154" s="418"/>
      <c r="C1154" s="420"/>
      <c r="D1154" s="419"/>
      <c r="E1154" s="381"/>
      <c r="F1154" s="885"/>
      <c r="G1154" s="905"/>
      <c r="H1154" s="885"/>
      <c r="I1154" s="885"/>
      <c r="J1154" s="885"/>
      <c r="K1154" s="885"/>
      <c r="L1154" s="885"/>
      <c r="M1154" s="885"/>
      <c r="N1154" s="885"/>
      <c r="O1154" s="885"/>
      <c r="P1154" s="381"/>
      <c r="Q1154" s="381"/>
      <c r="R1154" s="381"/>
      <c r="T1154" s="66"/>
    </row>
    <row r="1155" spans="1:20" x14ac:dyDescent="0.25">
      <c r="A1155" s="413" t="s">
        <v>191</v>
      </c>
      <c r="B1155" s="381"/>
      <c r="C1155" s="381"/>
      <c r="D1155" s="381"/>
      <c r="E1155" s="381"/>
      <c r="F1155" s="885"/>
      <c r="G1155" s="905"/>
      <c r="H1155" s="885"/>
      <c r="I1155" s="885"/>
      <c r="J1155" s="885"/>
      <c r="K1155" s="885"/>
      <c r="L1155" s="885"/>
      <c r="M1155" s="885"/>
      <c r="N1155" s="885"/>
      <c r="O1155" s="885"/>
      <c r="P1155" s="381"/>
      <c r="Q1155" s="381"/>
      <c r="R1155" s="381"/>
      <c r="T1155" s="66"/>
    </row>
    <row r="1156" spans="1:20" x14ac:dyDescent="0.25">
      <c r="A1156" s="431" t="s">
        <v>384</v>
      </c>
      <c r="B1156" s="381"/>
      <c r="C1156" s="381"/>
      <c r="D1156" s="381"/>
      <c r="E1156" s="381"/>
      <c r="F1156" s="885"/>
      <c r="G1156" s="905"/>
      <c r="H1156" s="885"/>
      <c r="I1156" s="885"/>
      <c r="J1156" s="885"/>
      <c r="K1156" s="885"/>
      <c r="L1156" s="885"/>
      <c r="M1156" s="885"/>
      <c r="N1156" s="885"/>
      <c r="O1156" s="885"/>
      <c r="P1156" s="381"/>
      <c r="Q1156" s="381"/>
      <c r="R1156" s="381"/>
      <c r="T1156" s="66"/>
    </row>
    <row r="1157" spans="1:20" x14ac:dyDescent="0.25">
      <c r="A1157" s="431" t="s">
        <v>385</v>
      </c>
      <c r="B1157" s="381"/>
      <c r="C1157" s="381"/>
      <c r="D1157" s="381"/>
      <c r="E1157" s="381"/>
      <c r="F1157" s="885"/>
      <c r="G1157" s="905"/>
      <c r="H1157" s="885"/>
      <c r="I1157" s="885"/>
      <c r="J1157" s="885"/>
      <c r="K1157" s="885"/>
      <c r="L1157" s="885"/>
      <c r="M1157" s="885"/>
      <c r="N1157" s="885"/>
      <c r="O1157" s="885"/>
      <c r="P1157" s="381"/>
      <c r="Q1157" s="381"/>
      <c r="R1157" s="381"/>
      <c r="T1157" s="66"/>
    </row>
    <row r="1158" spans="1:20" x14ac:dyDescent="0.25">
      <c r="A1158" s="431" t="s">
        <v>386</v>
      </c>
      <c r="B1158" s="381"/>
      <c r="C1158" s="381"/>
      <c r="D1158" s="381"/>
      <c r="E1158" s="381"/>
      <c r="F1158" s="885"/>
      <c r="G1158" s="905"/>
      <c r="H1158" s="885"/>
      <c r="I1158" s="885"/>
      <c r="J1158" s="885"/>
      <c r="K1158" s="885"/>
      <c r="L1158" s="885"/>
      <c r="M1158" s="885"/>
      <c r="N1158" s="885"/>
      <c r="O1158" s="885"/>
      <c r="P1158" s="381"/>
      <c r="Q1158" s="381"/>
      <c r="R1158" s="381"/>
      <c r="T1158" s="66"/>
    </row>
    <row r="1159" spans="1:20" x14ac:dyDescent="0.25">
      <c r="A1159" s="431" t="s">
        <v>387</v>
      </c>
      <c r="B1159" s="381"/>
      <c r="C1159" s="381"/>
      <c r="D1159" s="381"/>
      <c r="E1159" s="381"/>
      <c r="F1159" s="885"/>
      <c r="G1159" s="920"/>
      <c r="H1159" s="885"/>
      <c r="I1159" s="885"/>
      <c r="J1159" s="885"/>
      <c r="K1159" s="885"/>
      <c r="L1159" s="885"/>
      <c r="M1159" s="885"/>
      <c r="N1159" s="885"/>
      <c r="O1159" s="885"/>
      <c r="P1159" s="381"/>
      <c r="Q1159" s="381"/>
      <c r="R1159" s="381"/>
      <c r="T1159" s="66"/>
    </row>
    <row r="1160" spans="1:20" ht="13.4" customHeight="1" x14ac:dyDescent="0.25">
      <c r="A1160" s="434" t="s">
        <v>388</v>
      </c>
      <c r="B1160" s="454"/>
      <c r="C1160" s="454"/>
      <c r="D1160" s="454"/>
      <c r="E1160" s="454"/>
      <c r="F1160" s="921"/>
      <c r="G1160" s="921"/>
      <c r="H1160" s="921"/>
      <c r="I1160" s="921"/>
      <c r="J1160" s="921"/>
      <c r="K1160" s="921"/>
      <c r="L1160" s="921"/>
      <c r="M1160" s="921"/>
      <c r="N1160" s="921"/>
      <c r="O1160" s="921"/>
      <c r="P1160" s="381"/>
      <c r="Q1160" s="381"/>
      <c r="R1160" s="381"/>
      <c r="T1160" s="66"/>
    </row>
    <row r="1161" spans="1:20" ht="13.4" customHeight="1" x14ac:dyDescent="0.25">
      <c r="A1161" s="434" t="s">
        <v>389</v>
      </c>
      <c r="B1161" s="454"/>
      <c r="C1161" s="454"/>
      <c r="D1161" s="454"/>
      <c r="E1161" s="454"/>
      <c r="F1161" s="921"/>
      <c r="G1161" s="921"/>
      <c r="H1161" s="921"/>
      <c r="I1161" s="921"/>
      <c r="J1161" s="921"/>
      <c r="K1161" s="921"/>
      <c r="L1161" s="921"/>
      <c r="M1161" s="921"/>
      <c r="N1161" s="921"/>
      <c r="O1161" s="921"/>
      <c r="P1161" s="381"/>
      <c r="Q1161" s="381"/>
      <c r="R1161" s="381"/>
      <c r="T1161" s="66"/>
    </row>
    <row r="1162" spans="1:20" ht="13.4" customHeight="1" x14ac:dyDescent="0.25">
      <c r="A1162" s="434" t="s">
        <v>569</v>
      </c>
      <c r="B1162" s="454"/>
      <c r="C1162" s="454"/>
      <c r="D1162" s="454"/>
      <c r="E1162" s="454"/>
      <c r="F1162" s="921"/>
      <c r="G1162" s="921"/>
      <c r="H1162" s="921"/>
      <c r="I1162" s="921"/>
      <c r="J1162" s="921"/>
      <c r="K1162" s="921"/>
      <c r="L1162" s="921"/>
      <c r="M1162" s="921"/>
      <c r="N1162" s="921"/>
      <c r="O1162" s="921"/>
      <c r="P1162" s="381"/>
      <c r="Q1162" s="381"/>
      <c r="R1162" s="381"/>
      <c r="T1162" s="66"/>
    </row>
    <row r="1163" spans="1:20" ht="13.4" customHeight="1" x14ac:dyDescent="0.25">
      <c r="A1163" s="434" t="s">
        <v>708</v>
      </c>
      <c r="B1163" s="454"/>
      <c r="C1163" s="454"/>
      <c r="D1163" s="454"/>
      <c r="E1163" s="454"/>
      <c r="F1163" s="921"/>
      <c r="G1163" s="921"/>
      <c r="H1163" s="921"/>
      <c r="I1163" s="921"/>
      <c r="J1163" s="921"/>
      <c r="K1163" s="921"/>
      <c r="L1163" s="921"/>
      <c r="M1163" s="921"/>
      <c r="N1163" s="921"/>
      <c r="O1163" s="921"/>
      <c r="P1163" s="381"/>
      <c r="Q1163" s="381"/>
      <c r="R1163" s="381"/>
      <c r="T1163" s="66"/>
    </row>
    <row r="1164" spans="1:20" ht="13.4" customHeight="1" x14ac:dyDescent="0.25">
      <c r="A1164" s="434" t="s">
        <v>1026</v>
      </c>
      <c r="B1164" s="454"/>
      <c r="C1164" s="454"/>
      <c r="D1164" s="454"/>
      <c r="E1164" s="454"/>
      <c r="F1164" s="921"/>
      <c r="G1164" s="921"/>
      <c r="H1164" s="921"/>
      <c r="I1164" s="921"/>
      <c r="J1164" s="921"/>
      <c r="K1164" s="921"/>
      <c r="L1164" s="921"/>
      <c r="M1164" s="921"/>
      <c r="N1164" s="921"/>
      <c r="O1164" s="921"/>
      <c r="P1164" s="381"/>
      <c r="Q1164" s="381"/>
      <c r="R1164" s="381"/>
      <c r="T1164" s="66"/>
    </row>
    <row r="1165" spans="1:20" ht="13.4" customHeight="1" x14ac:dyDescent="0.25">
      <c r="A1165" s="434" t="s">
        <v>1073</v>
      </c>
      <c r="B1165" s="454"/>
      <c r="C1165" s="454"/>
      <c r="D1165" s="454"/>
      <c r="E1165" s="454"/>
      <c r="F1165" s="921"/>
      <c r="G1165" s="921"/>
      <c r="H1165" s="921"/>
      <c r="I1165" s="921"/>
      <c r="J1165" s="921"/>
      <c r="K1165" s="921"/>
      <c r="L1165" s="921"/>
      <c r="M1165" s="921"/>
      <c r="N1165" s="921"/>
      <c r="O1165" s="921"/>
      <c r="P1165" s="381"/>
      <c r="Q1165" s="381"/>
      <c r="R1165" s="381"/>
      <c r="T1165" s="66"/>
    </row>
    <row r="1166" spans="1:20" ht="13.4" customHeight="1" x14ac:dyDescent="0.25">
      <c r="A1166" s="434" t="s">
        <v>1160</v>
      </c>
      <c r="B1166" s="454"/>
      <c r="C1166" s="454"/>
      <c r="D1166" s="454"/>
      <c r="E1166" s="454"/>
      <c r="F1166" s="921"/>
      <c r="G1166" s="921"/>
      <c r="H1166" s="921"/>
      <c r="I1166" s="921"/>
      <c r="J1166" s="921"/>
      <c r="K1166" s="921"/>
      <c r="L1166" s="921"/>
      <c r="M1166" s="921"/>
      <c r="N1166" s="921"/>
      <c r="O1166" s="921"/>
      <c r="P1166" s="381"/>
      <c r="Q1166" s="381"/>
      <c r="R1166" s="381"/>
      <c r="T1166" s="66"/>
    </row>
    <row r="1167" spans="1:20" s="416" customFormat="1" ht="13" x14ac:dyDescent="0.3">
      <c r="A1167" s="438" t="s">
        <v>1331</v>
      </c>
      <c r="B1167" s="455"/>
      <c r="C1167" s="455"/>
      <c r="D1167" s="455"/>
      <c r="E1167" s="455"/>
      <c r="F1167" s="914"/>
      <c r="G1167" s="914"/>
      <c r="H1167" s="914"/>
      <c r="I1167" s="914"/>
      <c r="J1167" s="914"/>
      <c r="K1167" s="914"/>
      <c r="L1167" s="914"/>
      <c r="M1167" s="914"/>
      <c r="N1167" s="914"/>
      <c r="O1167" s="914"/>
      <c r="P1167" s="455"/>
      <c r="Q1167" s="456"/>
      <c r="R1167" s="456"/>
      <c r="S1167" s="456"/>
      <c r="T1167" s="457"/>
    </row>
    <row r="1168" spans="1:20" x14ac:dyDescent="0.25">
      <c r="A1168" s="362"/>
      <c r="C1168" s="387"/>
    </row>
    <row r="1169" spans="1:20" x14ac:dyDescent="0.25">
      <c r="A1169" s="395" t="s">
        <v>14</v>
      </c>
      <c r="B1169" s="396" t="s">
        <v>641</v>
      </c>
      <c r="C1169" s="396" t="s">
        <v>15</v>
      </c>
      <c r="D1169" s="381"/>
      <c r="E1169" s="381"/>
      <c r="F1169" s="885"/>
      <c r="G1169" s="885"/>
      <c r="H1169" s="885"/>
      <c r="I1169" s="885"/>
      <c r="J1169" s="885"/>
      <c r="K1169" s="885"/>
      <c r="L1169" s="885"/>
      <c r="M1169" s="885"/>
      <c r="N1169" s="885"/>
      <c r="O1169" s="885"/>
      <c r="P1169" s="381"/>
    </row>
    <row r="1170" spans="1:20" x14ac:dyDescent="0.25">
      <c r="A1170" s="400" t="s">
        <v>16</v>
      </c>
      <c r="B1170" s="401">
        <v>2009</v>
      </c>
      <c r="C1170" s="402">
        <v>2010</v>
      </c>
      <c r="D1170" s="402">
        <v>2011</v>
      </c>
      <c r="E1170" s="402">
        <v>2012</v>
      </c>
      <c r="F1170" s="899">
        <v>2013</v>
      </c>
      <c r="G1170" s="899">
        <v>2014</v>
      </c>
      <c r="H1170" s="899">
        <v>2015</v>
      </c>
      <c r="I1170" s="899">
        <v>2016</v>
      </c>
      <c r="J1170" s="915">
        <v>2017</v>
      </c>
      <c r="K1170" s="915">
        <v>2018</v>
      </c>
      <c r="L1170" s="915">
        <v>2019</v>
      </c>
      <c r="M1170" s="915">
        <v>2020</v>
      </c>
      <c r="N1170" s="899">
        <v>2021</v>
      </c>
      <c r="O1170" s="899">
        <v>2022</v>
      </c>
      <c r="P1170" s="402">
        <v>2023</v>
      </c>
      <c r="Q1170" s="402">
        <v>2024</v>
      </c>
      <c r="R1170" s="402">
        <v>2025</v>
      </c>
      <c r="S1170" s="402">
        <v>2026</v>
      </c>
      <c r="T1170" s="402">
        <v>2027</v>
      </c>
    </row>
    <row r="1171" spans="1:20" x14ac:dyDescent="0.25">
      <c r="A1171" s="403" t="s">
        <v>17</v>
      </c>
      <c r="B1171" s="424">
        <v>1080</v>
      </c>
      <c r="C1171" s="424">
        <v>901</v>
      </c>
      <c r="D1171" s="424">
        <v>901</v>
      </c>
      <c r="E1171" s="424">
        <v>901</v>
      </c>
      <c r="F1171" s="908">
        <v>901</v>
      </c>
      <c r="G1171" s="908">
        <v>901</v>
      </c>
      <c r="H1171" s="908">
        <v>901</v>
      </c>
      <c r="I1171" s="908">
        <v>901</v>
      </c>
      <c r="J1171" s="908">
        <v>901</v>
      </c>
      <c r="K1171" s="908">
        <v>901</v>
      </c>
      <c r="L1171" s="908">
        <v>901</v>
      </c>
      <c r="M1171" s="908">
        <v>901</v>
      </c>
      <c r="N1171" s="900">
        <v>901</v>
      </c>
      <c r="O1171" s="900">
        <v>901</v>
      </c>
      <c r="P1171" s="404">
        <v>901</v>
      </c>
      <c r="Q1171" s="404">
        <v>901</v>
      </c>
      <c r="R1171" s="404">
        <v>901</v>
      </c>
      <c r="S1171" s="404">
        <v>901</v>
      </c>
      <c r="T1171" s="404">
        <v>901</v>
      </c>
    </row>
    <row r="1172" spans="1:20" x14ac:dyDescent="0.25">
      <c r="A1172" s="403" t="s">
        <v>18</v>
      </c>
      <c r="B1172" s="424">
        <v>1775.91</v>
      </c>
      <c r="C1172" s="424">
        <v>1651</v>
      </c>
      <c r="D1172" s="424">
        <v>851</v>
      </c>
      <c r="E1172" s="424">
        <v>1288.26477</v>
      </c>
      <c r="F1172" s="908">
        <v>425.70000000000005</v>
      </c>
      <c r="G1172" s="908">
        <v>1298.56477</v>
      </c>
      <c r="H1172" s="908">
        <v>318.5</v>
      </c>
      <c r="I1172" s="908">
        <v>1359.46477</v>
      </c>
      <c r="J1172" s="908">
        <v>999.7</v>
      </c>
      <c r="K1172" s="908">
        <v>1339.56477</v>
      </c>
      <c r="L1172" s="908">
        <v>1191.2</v>
      </c>
      <c r="M1172" s="908">
        <v>1451</v>
      </c>
      <c r="N1172" s="908">
        <v>1380.1631280000001</v>
      </c>
      <c r="O1172" s="908">
        <f t="shared" ref="O1172:T1172" si="61">O1171+600-50</f>
        <v>1451</v>
      </c>
      <c r="P1172" s="424">
        <f t="shared" si="61"/>
        <v>1451</v>
      </c>
      <c r="Q1172" s="424">
        <f t="shared" si="61"/>
        <v>1451</v>
      </c>
      <c r="R1172" s="424">
        <f t="shared" si="61"/>
        <v>1451</v>
      </c>
      <c r="S1172" s="424">
        <f t="shared" si="61"/>
        <v>1451</v>
      </c>
      <c r="T1172" s="424">
        <f t="shared" si="61"/>
        <v>1451</v>
      </c>
    </row>
    <row r="1173" spans="1:20" x14ac:dyDescent="0.25">
      <c r="A1173" s="403" t="s">
        <v>19</v>
      </c>
      <c r="B1173" s="424"/>
      <c r="C1173" s="424"/>
      <c r="D1173" s="424"/>
      <c r="E1173" s="424"/>
      <c r="F1173" s="908"/>
      <c r="G1173" s="908"/>
      <c r="H1173" s="908"/>
      <c r="I1173" s="908"/>
      <c r="J1173" s="908"/>
      <c r="K1173" s="908"/>
      <c r="L1173" s="908"/>
      <c r="M1173" s="908"/>
      <c r="N1173" s="900"/>
      <c r="O1173" s="900"/>
      <c r="P1173" s="404"/>
      <c r="Q1173" s="404"/>
      <c r="R1173" s="404"/>
      <c r="S1173" s="404"/>
      <c r="T1173" s="404"/>
    </row>
    <row r="1174" spans="1:20" x14ac:dyDescent="0.25">
      <c r="A1174" s="403" t="s">
        <v>20</v>
      </c>
      <c r="B1174" s="424">
        <v>900.11276999999995</v>
      </c>
      <c r="C1174" s="424">
        <v>1213.73523</v>
      </c>
      <c r="D1174" s="424">
        <v>1276.3</v>
      </c>
      <c r="E1174" s="424">
        <v>840.7</v>
      </c>
      <c r="F1174" s="908">
        <v>958.2</v>
      </c>
      <c r="G1174" s="908">
        <v>790.1</v>
      </c>
      <c r="H1174" s="908">
        <v>569.79999999999995</v>
      </c>
      <c r="I1174" s="908">
        <v>870.9</v>
      </c>
      <c r="J1174" s="908">
        <v>659.5</v>
      </c>
      <c r="K1174" s="908">
        <v>698</v>
      </c>
      <c r="L1174" s="908">
        <v>662.0368719999999</v>
      </c>
      <c r="M1174" s="908">
        <v>444</v>
      </c>
      <c r="N1174" s="900">
        <v>659</v>
      </c>
      <c r="O1174" s="900">
        <v>516.5</v>
      </c>
      <c r="P1174" s="404">
        <v>332.1</v>
      </c>
      <c r="Q1174" s="404">
        <v>385.7</v>
      </c>
      <c r="R1174" s="404">
        <v>190.5</v>
      </c>
      <c r="S1174" s="404" t="s">
        <v>1118</v>
      </c>
      <c r="T1174" s="404" t="s">
        <v>1118</v>
      </c>
    </row>
    <row r="1175" spans="1:20" x14ac:dyDescent="0.25">
      <c r="A1175" s="403" t="s">
        <v>21</v>
      </c>
      <c r="B1175" s="424">
        <v>875.79723000000013</v>
      </c>
      <c r="C1175" s="424">
        <v>437.26477</v>
      </c>
      <c r="D1175" s="424">
        <v>425.3</v>
      </c>
      <c r="E1175" s="424">
        <v>447.56476999999995</v>
      </c>
      <c r="F1175" s="908">
        <v>532.5</v>
      </c>
      <c r="G1175" s="908">
        <v>508.46476999999993</v>
      </c>
      <c r="H1175" s="908">
        <v>148.70000000000005</v>
      </c>
      <c r="I1175" s="908">
        <v>488.56477000000007</v>
      </c>
      <c r="J1175" s="908">
        <v>340.20000000000005</v>
      </c>
      <c r="K1175" s="908">
        <v>641.56476999999995</v>
      </c>
      <c r="L1175" s="908">
        <v>529.16312800000014</v>
      </c>
      <c r="M1175" s="908">
        <f t="shared" ref="M1175:R1175" si="62">M1172-M1174</f>
        <v>1007</v>
      </c>
      <c r="N1175" s="900">
        <f t="shared" si="62"/>
        <v>721.16312800000014</v>
      </c>
      <c r="O1175" s="900">
        <f t="shared" si="62"/>
        <v>934.5</v>
      </c>
      <c r="P1175" s="404">
        <f t="shared" si="62"/>
        <v>1118.9000000000001</v>
      </c>
      <c r="Q1175" s="404">
        <f t="shared" si="62"/>
        <v>1065.3</v>
      </c>
      <c r="R1175" s="404">
        <f t="shared" si="62"/>
        <v>1260.5</v>
      </c>
      <c r="S1175" s="404" t="s">
        <v>1118</v>
      </c>
      <c r="T1175" s="404" t="s">
        <v>1118</v>
      </c>
    </row>
    <row r="1176" spans="1:20" x14ac:dyDescent="0.25">
      <c r="A1176" s="425" t="s">
        <v>22</v>
      </c>
      <c r="B1176" s="426">
        <v>2011</v>
      </c>
      <c r="C1176" s="426">
        <v>2012</v>
      </c>
      <c r="D1176" s="426">
        <v>2013</v>
      </c>
      <c r="E1176" s="426">
        <v>2014</v>
      </c>
      <c r="F1176" s="909">
        <v>2015</v>
      </c>
      <c r="G1176" s="909">
        <v>2016</v>
      </c>
      <c r="H1176" s="909">
        <v>2017</v>
      </c>
      <c r="I1176" s="909">
        <v>2018</v>
      </c>
      <c r="J1176" s="909">
        <v>2019</v>
      </c>
      <c r="K1176" s="909">
        <v>2020</v>
      </c>
      <c r="L1176" s="909">
        <v>2021</v>
      </c>
      <c r="M1176" s="909">
        <v>2022</v>
      </c>
      <c r="N1176" s="909">
        <v>2023</v>
      </c>
      <c r="O1176" s="909">
        <v>2024</v>
      </c>
      <c r="P1176" s="426">
        <v>2025</v>
      </c>
      <c r="Q1176" s="426">
        <v>2026</v>
      </c>
      <c r="R1176" s="426">
        <v>2027</v>
      </c>
      <c r="S1176" s="426">
        <v>2028</v>
      </c>
      <c r="T1176" s="426">
        <v>2029</v>
      </c>
    </row>
    <row r="1177" spans="1:20" x14ac:dyDescent="0.25">
      <c r="A1177" s="408" t="s">
        <v>179</v>
      </c>
      <c r="B1177" s="411"/>
      <c r="C1177" s="411"/>
      <c r="D1177" s="411"/>
      <c r="E1177" s="411"/>
      <c r="F1177" s="903"/>
      <c r="G1177" s="903"/>
      <c r="H1177" s="903"/>
      <c r="I1177" s="903"/>
      <c r="J1177" s="903"/>
      <c r="K1177" s="903"/>
      <c r="L1177" s="903"/>
      <c r="M1177" s="903"/>
      <c r="N1177" s="903"/>
      <c r="O1177" s="903"/>
      <c r="P1177" s="411"/>
      <c r="Q1177" s="411"/>
      <c r="R1177" s="411"/>
      <c r="S1177" s="37"/>
      <c r="T1177" s="40"/>
    </row>
    <row r="1178" spans="1:20" x14ac:dyDescent="0.25">
      <c r="A1178" s="408" t="s">
        <v>416</v>
      </c>
      <c r="B1178" s="411"/>
      <c r="C1178" s="411"/>
      <c r="D1178" s="411"/>
      <c r="E1178" s="411"/>
      <c r="F1178" s="903"/>
      <c r="G1178" s="903"/>
      <c r="H1178" s="903"/>
      <c r="I1178" s="903"/>
      <c r="J1178" s="903"/>
      <c r="K1178" s="903"/>
      <c r="L1178" s="903"/>
      <c r="M1178" s="903"/>
      <c r="N1178" s="903"/>
      <c r="O1178" s="903"/>
      <c r="P1178" s="411"/>
      <c r="Q1178" s="411"/>
      <c r="R1178" s="411"/>
      <c r="S1178" s="37"/>
      <c r="T1178" s="40"/>
    </row>
    <row r="1179" spans="1:20" x14ac:dyDescent="0.25">
      <c r="A1179" s="413" t="s">
        <v>417</v>
      </c>
      <c r="B1179" s="381"/>
      <c r="C1179" s="381"/>
      <c r="D1179" s="381"/>
      <c r="E1179" s="381"/>
      <c r="F1179" s="885"/>
      <c r="G1179" s="885"/>
      <c r="H1179" s="885"/>
      <c r="I1179" s="885"/>
      <c r="J1179" s="885"/>
      <c r="K1179" s="885"/>
      <c r="L1179" s="885"/>
      <c r="M1179" s="885"/>
      <c r="N1179" s="885"/>
      <c r="O1179" s="885"/>
      <c r="P1179" s="381"/>
      <c r="Q1179" s="381"/>
      <c r="R1179" s="381"/>
      <c r="T1179" s="66"/>
    </row>
    <row r="1180" spans="1:20" x14ac:dyDescent="0.25">
      <c r="A1180" s="413" t="s">
        <v>418</v>
      </c>
      <c r="B1180" s="381"/>
      <c r="C1180" s="381"/>
      <c r="D1180" s="381"/>
      <c r="E1180" s="381"/>
      <c r="F1180" s="885"/>
      <c r="G1180" s="885"/>
      <c r="H1180" s="885"/>
      <c r="I1180" s="885"/>
      <c r="J1180" s="885"/>
      <c r="K1180" s="885"/>
      <c r="L1180" s="885"/>
      <c r="M1180" s="885"/>
      <c r="N1180" s="885"/>
      <c r="O1180" s="885"/>
      <c r="P1180" s="381"/>
      <c r="Q1180" s="381"/>
      <c r="R1180" s="381"/>
      <c r="T1180" s="66"/>
    </row>
    <row r="1181" spans="1:20" x14ac:dyDescent="0.25">
      <c r="A1181" s="413" t="s">
        <v>419</v>
      </c>
      <c r="B1181" s="381"/>
      <c r="C1181" s="381"/>
      <c r="D1181" s="381"/>
      <c r="E1181" s="381"/>
      <c r="F1181" s="885"/>
      <c r="G1181" s="885"/>
      <c r="H1181" s="885"/>
      <c r="I1181" s="885"/>
      <c r="J1181" s="885"/>
      <c r="K1181" s="885"/>
      <c r="L1181" s="885"/>
      <c r="M1181" s="885"/>
      <c r="N1181" s="885"/>
      <c r="O1181" s="885"/>
      <c r="P1181" s="381"/>
      <c r="Q1181" s="381"/>
      <c r="R1181" s="381"/>
      <c r="T1181" s="66"/>
    </row>
    <row r="1182" spans="1:20" x14ac:dyDescent="0.25">
      <c r="A1182" s="413" t="s">
        <v>420</v>
      </c>
      <c r="B1182" s="418"/>
      <c r="C1182" s="420"/>
      <c r="D1182" s="419"/>
      <c r="E1182" s="381"/>
      <c r="F1182" s="885"/>
      <c r="G1182" s="905"/>
      <c r="H1182" s="885"/>
      <c r="I1182" s="885"/>
      <c r="J1182" s="885"/>
      <c r="K1182" s="885"/>
      <c r="L1182" s="885"/>
      <c r="M1182" s="885"/>
      <c r="N1182" s="885"/>
      <c r="O1182" s="885"/>
      <c r="P1182" s="381"/>
      <c r="Q1182" s="381"/>
      <c r="R1182" s="381"/>
      <c r="T1182" s="66"/>
    </row>
    <row r="1183" spans="1:20" x14ac:dyDescent="0.25">
      <c r="A1183" s="413" t="s">
        <v>421</v>
      </c>
      <c r="B1183" s="381"/>
      <c r="C1183" s="381"/>
      <c r="D1183" s="381"/>
      <c r="E1183" s="381"/>
      <c r="F1183" s="885"/>
      <c r="G1183" s="905"/>
      <c r="H1183" s="885"/>
      <c r="I1183" s="885"/>
      <c r="J1183" s="885"/>
      <c r="K1183" s="885"/>
      <c r="L1183" s="885"/>
      <c r="M1183" s="885"/>
      <c r="N1183" s="885"/>
      <c r="O1183" s="885"/>
      <c r="P1183" s="381"/>
      <c r="Q1183" s="381"/>
      <c r="R1183" s="381"/>
      <c r="T1183" s="66"/>
    </row>
    <row r="1184" spans="1:20" x14ac:dyDescent="0.25">
      <c r="A1184" s="413" t="s">
        <v>422</v>
      </c>
      <c r="B1184" s="381"/>
      <c r="C1184" s="381"/>
      <c r="D1184" s="381"/>
      <c r="E1184" s="381"/>
      <c r="F1184" s="885"/>
      <c r="G1184" s="905"/>
      <c r="H1184" s="885"/>
      <c r="I1184" s="885"/>
      <c r="J1184" s="885"/>
      <c r="K1184" s="885"/>
      <c r="L1184" s="885"/>
      <c r="M1184" s="885"/>
      <c r="N1184" s="885"/>
      <c r="O1184" s="885"/>
      <c r="P1184" s="381"/>
      <c r="Q1184" s="381"/>
      <c r="R1184" s="381"/>
      <c r="T1184" s="66"/>
    </row>
    <row r="1185" spans="1:20" x14ac:dyDescent="0.25">
      <c r="A1185" s="413" t="s">
        <v>423</v>
      </c>
      <c r="B1185" s="381"/>
      <c r="C1185" s="381"/>
      <c r="D1185" s="381"/>
      <c r="E1185" s="381"/>
      <c r="F1185" s="885"/>
      <c r="G1185" s="905"/>
      <c r="H1185" s="885"/>
      <c r="I1185" s="885"/>
      <c r="J1185" s="885"/>
      <c r="K1185" s="885"/>
      <c r="L1185" s="885"/>
      <c r="M1185" s="885"/>
      <c r="N1185" s="885"/>
      <c r="O1185" s="885"/>
      <c r="P1185" s="381"/>
      <c r="Q1185" s="381"/>
      <c r="R1185" s="381"/>
      <c r="T1185" s="66"/>
    </row>
    <row r="1186" spans="1:20" x14ac:dyDescent="0.25">
      <c r="A1186" s="453" t="s">
        <v>424</v>
      </c>
      <c r="B1186" s="381"/>
      <c r="C1186" s="381"/>
      <c r="D1186" s="381"/>
      <c r="E1186" s="381"/>
      <c r="F1186" s="885"/>
      <c r="G1186" s="920"/>
      <c r="H1186" s="885"/>
      <c r="I1186" s="885"/>
      <c r="J1186" s="885"/>
      <c r="K1186" s="885"/>
      <c r="L1186" s="885"/>
      <c r="M1186" s="885"/>
      <c r="N1186" s="885"/>
      <c r="O1186" s="885"/>
      <c r="P1186" s="381"/>
      <c r="Q1186" s="381"/>
      <c r="R1186" s="381"/>
      <c r="T1186" s="66"/>
    </row>
    <row r="1187" spans="1:20" x14ac:dyDescent="0.25">
      <c r="A1187" s="431" t="s">
        <v>228</v>
      </c>
      <c r="B1187" s="381"/>
      <c r="C1187" s="381"/>
      <c r="D1187" s="381"/>
      <c r="E1187" s="381"/>
      <c r="F1187" s="885"/>
      <c r="G1187" s="885"/>
      <c r="H1187" s="885"/>
      <c r="I1187" s="885"/>
      <c r="J1187" s="885"/>
      <c r="K1187" s="885"/>
      <c r="L1187" s="885"/>
      <c r="M1187" s="885"/>
      <c r="N1187" s="885"/>
      <c r="O1187" s="885"/>
      <c r="P1187" s="381"/>
      <c r="Q1187" s="381"/>
      <c r="R1187" s="381"/>
      <c r="T1187" s="66"/>
    </row>
    <row r="1188" spans="1:20" x14ac:dyDescent="0.25">
      <c r="A1188" s="431" t="s">
        <v>229</v>
      </c>
      <c r="B1188" s="381"/>
      <c r="C1188" s="381"/>
      <c r="D1188" s="381"/>
      <c r="E1188" s="381"/>
      <c r="F1188" s="885"/>
      <c r="G1188" s="885"/>
      <c r="H1188" s="885"/>
      <c r="I1188" s="885"/>
      <c r="J1188" s="885"/>
      <c r="K1188" s="885"/>
      <c r="L1188" s="885"/>
      <c r="M1188" s="885"/>
      <c r="N1188" s="885"/>
      <c r="O1188" s="885"/>
      <c r="P1188" s="381"/>
      <c r="Q1188" s="381"/>
      <c r="R1188" s="381"/>
      <c r="T1188" s="66"/>
    </row>
    <row r="1189" spans="1:20" x14ac:dyDescent="0.25">
      <c r="A1189" s="431" t="s">
        <v>425</v>
      </c>
      <c r="B1189" s="381"/>
      <c r="C1189" s="381"/>
      <c r="D1189" s="381"/>
      <c r="E1189" s="381"/>
      <c r="F1189" s="885"/>
      <c r="G1189" s="885"/>
      <c r="H1189" s="885"/>
      <c r="I1189" s="885"/>
      <c r="J1189" s="885"/>
      <c r="K1189" s="885"/>
      <c r="L1189" s="885"/>
      <c r="M1189" s="885"/>
      <c r="N1189" s="885"/>
      <c r="O1189" s="885"/>
      <c r="P1189" s="381"/>
      <c r="Q1189" s="381"/>
      <c r="R1189" s="381"/>
      <c r="T1189" s="66"/>
    </row>
    <row r="1190" spans="1:20" x14ac:dyDescent="0.25">
      <c r="A1190" s="431" t="s">
        <v>640</v>
      </c>
      <c r="B1190" s="381"/>
      <c r="C1190" s="381"/>
      <c r="D1190" s="381"/>
      <c r="E1190" s="381"/>
      <c r="F1190" s="885"/>
      <c r="G1190" s="885"/>
      <c r="H1190" s="885"/>
      <c r="I1190" s="885"/>
      <c r="J1190" s="885"/>
      <c r="K1190" s="885"/>
      <c r="L1190" s="885"/>
      <c r="M1190" s="885"/>
      <c r="N1190" s="885"/>
      <c r="O1190" s="885"/>
      <c r="P1190" s="381"/>
      <c r="Q1190" s="381"/>
      <c r="R1190" s="381"/>
      <c r="T1190" s="66"/>
    </row>
    <row r="1191" spans="1:20" x14ac:dyDescent="0.25">
      <c r="A1191" s="431" t="s">
        <v>806</v>
      </c>
      <c r="B1191" s="381"/>
      <c r="C1191" s="381"/>
      <c r="D1191" s="381"/>
      <c r="E1191" s="381"/>
      <c r="F1191" s="885"/>
      <c r="G1191" s="885"/>
      <c r="H1191" s="885"/>
      <c r="I1191" s="885"/>
      <c r="J1191" s="885"/>
      <c r="K1191" s="885"/>
      <c r="L1191" s="885"/>
      <c r="M1191" s="885"/>
      <c r="N1191" s="885"/>
      <c r="O1191" s="885"/>
      <c r="P1191" s="381"/>
      <c r="Q1191" s="381"/>
      <c r="R1191" s="381"/>
      <c r="T1191" s="66"/>
    </row>
    <row r="1192" spans="1:20" x14ac:dyDescent="0.25">
      <c r="A1192" s="431" t="s">
        <v>1028</v>
      </c>
      <c r="B1192" s="381"/>
      <c r="C1192" s="381"/>
      <c r="D1192" s="381"/>
      <c r="E1192" s="381"/>
      <c r="F1192" s="885"/>
      <c r="G1192" s="885"/>
      <c r="H1192" s="885"/>
      <c r="I1192" s="885"/>
      <c r="J1192" s="885"/>
      <c r="K1192" s="885"/>
      <c r="L1192" s="885"/>
      <c r="M1192" s="885"/>
      <c r="N1192" s="885"/>
      <c r="O1192" s="885"/>
      <c r="P1192" s="381"/>
      <c r="Q1192" s="381"/>
      <c r="R1192" s="381"/>
      <c r="T1192" s="66"/>
    </row>
    <row r="1193" spans="1:20" x14ac:dyDescent="0.25">
      <c r="A1193" s="431" t="s">
        <v>1074</v>
      </c>
      <c r="B1193" s="381"/>
      <c r="C1193" s="381"/>
      <c r="D1193" s="381"/>
      <c r="E1193" s="381"/>
      <c r="F1193" s="885"/>
      <c r="G1193" s="885"/>
      <c r="H1193" s="885"/>
      <c r="I1193" s="885"/>
      <c r="J1193" s="885"/>
      <c r="K1193" s="885"/>
      <c r="L1193" s="885"/>
      <c r="M1193" s="885"/>
      <c r="N1193" s="885"/>
      <c r="O1193" s="885"/>
      <c r="P1193" s="381"/>
      <c r="Q1193" s="381"/>
      <c r="R1193" s="381"/>
      <c r="T1193" s="66"/>
    </row>
    <row r="1194" spans="1:20" x14ac:dyDescent="0.25">
      <c r="A1194" s="458" t="s">
        <v>1332</v>
      </c>
      <c r="B1194" s="421"/>
      <c r="C1194" s="421"/>
      <c r="D1194" s="421"/>
      <c r="E1194" s="421"/>
      <c r="F1194" s="907"/>
      <c r="G1194" s="907"/>
      <c r="H1194" s="907"/>
      <c r="I1194" s="907"/>
      <c r="J1194" s="907"/>
      <c r="K1194" s="907"/>
      <c r="L1194" s="907"/>
      <c r="M1194" s="907"/>
      <c r="N1194" s="907"/>
      <c r="O1194" s="907"/>
      <c r="P1194" s="421"/>
      <c r="Q1194" s="421"/>
      <c r="R1194" s="421"/>
      <c r="S1194" s="73"/>
      <c r="T1194" s="45"/>
    </row>
    <row r="1195" spans="1:20" x14ac:dyDescent="0.25">
      <c r="A1195" s="362"/>
      <c r="C1195" s="387"/>
    </row>
    <row r="1196" spans="1:20" x14ac:dyDescent="0.25">
      <c r="A1196" s="395" t="s">
        <v>14</v>
      </c>
      <c r="B1196" s="396" t="s">
        <v>642</v>
      </c>
      <c r="C1196" s="459" t="s">
        <v>15</v>
      </c>
      <c r="D1196" s="381"/>
      <c r="E1196" s="381"/>
      <c r="F1196" s="885"/>
      <c r="G1196" s="885"/>
      <c r="H1196" s="885"/>
      <c r="I1196" s="885"/>
      <c r="J1196" s="885"/>
      <c r="K1196" s="885"/>
      <c r="L1196" s="885"/>
      <c r="M1196" s="885"/>
    </row>
    <row r="1197" spans="1:20" s="75" customFormat="1" ht="14.5" x14ac:dyDescent="0.35">
      <c r="A1197" s="403" t="s">
        <v>16</v>
      </c>
      <c r="B1197" s="402">
        <v>2009</v>
      </c>
      <c r="C1197" s="402">
        <v>2010</v>
      </c>
      <c r="D1197" s="402">
        <v>2011</v>
      </c>
      <c r="E1197" s="402">
        <v>2012</v>
      </c>
      <c r="F1197" s="899">
        <v>2013</v>
      </c>
      <c r="G1197" s="899">
        <v>2014</v>
      </c>
      <c r="H1197" s="899">
        <v>2015</v>
      </c>
      <c r="I1197" s="899">
        <v>2016</v>
      </c>
      <c r="J1197" s="899">
        <v>2017</v>
      </c>
      <c r="K1197" s="899">
        <v>2018</v>
      </c>
      <c r="L1197" s="899">
        <v>2019</v>
      </c>
      <c r="M1197" s="899">
        <v>2020</v>
      </c>
      <c r="N1197" s="899">
        <v>2021</v>
      </c>
      <c r="O1197" s="899">
        <v>2022</v>
      </c>
      <c r="P1197" s="402">
        <v>2023</v>
      </c>
      <c r="Q1197" s="402">
        <v>2024</v>
      </c>
      <c r="R1197" s="402">
        <v>2025</v>
      </c>
      <c r="S1197" s="402">
        <v>2026</v>
      </c>
    </row>
    <row r="1198" spans="1:20" s="75" customFormat="1" ht="14.5" x14ac:dyDescent="0.35">
      <c r="A1198" s="403" t="s">
        <v>17</v>
      </c>
      <c r="B1198" s="449">
        <v>1871.44</v>
      </c>
      <c r="C1198" s="449">
        <v>1148.05</v>
      </c>
      <c r="D1198" s="449">
        <v>1097.03</v>
      </c>
      <c r="E1198" s="449">
        <v>1097.03</v>
      </c>
      <c r="F1198" s="466">
        <v>1139.55</v>
      </c>
      <c r="G1198" s="466">
        <v>1139.55</v>
      </c>
      <c r="H1198" s="466">
        <v>1345.44</v>
      </c>
      <c r="I1198" s="466">
        <v>1608.21</v>
      </c>
      <c r="J1198" s="466">
        <v>1930.88</v>
      </c>
      <c r="K1198" s="466">
        <v>2279</v>
      </c>
      <c r="L1198" s="466">
        <v>2544</v>
      </c>
      <c r="M1198" s="466">
        <v>2819</v>
      </c>
      <c r="N1198" s="908">
        <v>2819</v>
      </c>
      <c r="O1198" s="908">
        <v>2819</v>
      </c>
      <c r="P1198" s="424">
        <v>3114</v>
      </c>
      <c r="Q1198" s="424">
        <v>3114</v>
      </c>
      <c r="R1198" s="424">
        <v>3114</v>
      </c>
      <c r="S1198" s="424">
        <v>3559.41</v>
      </c>
      <c r="T1198" s="460"/>
    </row>
    <row r="1199" spans="1:20" s="75" customFormat="1" ht="14.5" x14ac:dyDescent="0.35">
      <c r="A1199" s="403" t="s">
        <v>18</v>
      </c>
      <c r="B1199" s="449">
        <v>1871.44</v>
      </c>
      <c r="C1199" s="449">
        <v>1148.05</v>
      </c>
      <c r="D1199" s="449">
        <v>1097.03</v>
      </c>
      <c r="E1199" s="449">
        <v>1097.03</v>
      </c>
      <c r="F1199" s="466">
        <v>1139.55</v>
      </c>
      <c r="G1199" s="466">
        <v>1139.55</v>
      </c>
      <c r="H1199" s="466">
        <v>1390.44</v>
      </c>
      <c r="I1199" s="466">
        <v>1583.21</v>
      </c>
      <c r="J1199" s="466">
        <v>1910.88</v>
      </c>
      <c r="K1199" s="466">
        <v>2279</v>
      </c>
      <c r="L1199" s="466">
        <v>2544</v>
      </c>
      <c r="M1199" s="466">
        <v>2839.27</v>
      </c>
      <c r="N1199" s="908">
        <f>N1198+M1202</f>
        <v>2876.6439600000003</v>
      </c>
      <c r="O1199" s="908">
        <f>O1198+N1202</f>
        <v>2915.6539600000006</v>
      </c>
      <c r="P1199" s="424">
        <f>P1198+O1202</f>
        <v>3158.3939600000003</v>
      </c>
      <c r="Q1199" s="424">
        <v>3184.4</v>
      </c>
      <c r="R1199" s="424">
        <v>3269.7</v>
      </c>
      <c r="S1199" s="424">
        <v>3935.05</v>
      </c>
      <c r="T1199" s="460"/>
    </row>
    <row r="1200" spans="1:20" s="75" customFormat="1" ht="14.5" x14ac:dyDescent="0.35">
      <c r="A1200" s="403" t="s">
        <v>19</v>
      </c>
      <c r="B1200" s="424"/>
      <c r="C1200" s="424"/>
      <c r="D1200" s="424"/>
      <c r="E1200" s="424"/>
      <c r="F1200" s="908"/>
      <c r="G1200" s="908"/>
      <c r="H1200" s="908"/>
      <c r="I1200" s="908"/>
      <c r="J1200" s="908"/>
      <c r="K1200" s="908"/>
      <c r="L1200" s="908"/>
      <c r="M1200" s="908"/>
      <c r="N1200" s="908"/>
      <c r="O1200" s="908"/>
      <c r="P1200" s="424"/>
      <c r="Q1200" s="424"/>
      <c r="R1200" s="424"/>
      <c r="S1200" s="424"/>
    </row>
    <row r="1201" spans="1:19" s="75" customFormat="1" ht="14.5" x14ac:dyDescent="0.35">
      <c r="A1201" s="403" t="s">
        <v>20</v>
      </c>
      <c r="B1201" s="449">
        <v>1858.2</v>
      </c>
      <c r="C1201" s="424">
        <v>1139.2777599999999</v>
      </c>
      <c r="D1201" s="424">
        <v>1088.8235599999998</v>
      </c>
      <c r="E1201" s="424">
        <v>1092.5993599999999</v>
      </c>
      <c r="F1201" s="908">
        <v>1128.97</v>
      </c>
      <c r="G1201" s="908">
        <v>1134.47</v>
      </c>
      <c r="H1201" s="908">
        <v>1385.92</v>
      </c>
      <c r="I1201" s="908">
        <v>1578.37</v>
      </c>
      <c r="J1201" s="908">
        <v>1910.65104</v>
      </c>
      <c r="K1201" s="908">
        <v>2269.7609000000002</v>
      </c>
      <c r="L1201" s="908">
        <v>2523.73</v>
      </c>
      <c r="M1201" s="908">
        <v>2781.6260399999996</v>
      </c>
      <c r="N1201" s="908">
        <v>2779.99</v>
      </c>
      <c r="O1201" s="908">
        <v>2871.26</v>
      </c>
      <c r="P1201" s="424">
        <v>3087.99</v>
      </c>
      <c r="Q1201" s="424">
        <v>2988.88</v>
      </c>
      <c r="R1201" s="424">
        <v>2879.06</v>
      </c>
      <c r="S1201" s="424" t="s">
        <v>1118</v>
      </c>
    </row>
    <row r="1202" spans="1:19" s="75" customFormat="1" ht="14.5" x14ac:dyDescent="0.35">
      <c r="A1202" s="403" t="s">
        <v>21</v>
      </c>
      <c r="B1202" s="424">
        <v>13.240000000000009</v>
      </c>
      <c r="C1202" s="424">
        <v>8.7722400000000107</v>
      </c>
      <c r="D1202" s="424">
        <v>8.2064400000001569</v>
      </c>
      <c r="E1202" s="424">
        <v>4.4306400000000394</v>
      </c>
      <c r="F1202" s="908">
        <v>10.579999999999927</v>
      </c>
      <c r="G1202" s="908">
        <v>5.0799999999999272</v>
      </c>
      <c r="H1202" s="908">
        <v>4.5199999999999818</v>
      </c>
      <c r="I1202" s="908">
        <v>4.8400000000001455</v>
      </c>
      <c r="J1202" s="908">
        <v>0.22896000000014283</v>
      </c>
      <c r="K1202" s="908">
        <v>9.2390999999997803</v>
      </c>
      <c r="L1202" s="908">
        <v>20.269999999999982</v>
      </c>
      <c r="M1202" s="908">
        <v>57.643960000000334</v>
      </c>
      <c r="N1202" s="908">
        <f>N1199-N1201</f>
        <v>96.653960000000552</v>
      </c>
      <c r="O1202" s="908">
        <f>O1199-O1201</f>
        <v>44.393960000000334</v>
      </c>
      <c r="P1202" s="424">
        <f>P1199-P1201</f>
        <v>70.403960000000552</v>
      </c>
      <c r="Q1202" s="424">
        <v>195.51999999999998</v>
      </c>
      <c r="R1202" s="424">
        <f>R1199-R1201</f>
        <v>390.63999999999987</v>
      </c>
      <c r="S1202" s="424" t="s">
        <v>1118</v>
      </c>
    </row>
    <row r="1203" spans="1:19" s="75" customFormat="1" ht="14.5" x14ac:dyDescent="0.35">
      <c r="A1203" s="425" t="s">
        <v>22</v>
      </c>
      <c r="B1203" s="426"/>
      <c r="C1203" s="426"/>
      <c r="D1203" s="426"/>
      <c r="E1203" s="426"/>
      <c r="F1203" s="909"/>
      <c r="G1203" s="909"/>
      <c r="H1203" s="909"/>
      <c r="I1203" s="909"/>
      <c r="J1203" s="909"/>
      <c r="K1203" s="909"/>
      <c r="L1203" s="909">
        <v>2020</v>
      </c>
      <c r="M1203" s="909">
        <v>2021</v>
      </c>
      <c r="N1203" s="909">
        <v>2022</v>
      </c>
      <c r="O1203" s="909">
        <v>2023</v>
      </c>
      <c r="P1203" s="426">
        <v>2024</v>
      </c>
      <c r="Q1203" s="426">
        <v>2025</v>
      </c>
      <c r="R1203" s="426">
        <v>2026</v>
      </c>
      <c r="S1203" s="426">
        <v>2027</v>
      </c>
    </row>
    <row r="1204" spans="1:19" s="75" customFormat="1" ht="14.5" x14ac:dyDescent="0.35">
      <c r="A1204" s="408" t="s">
        <v>179</v>
      </c>
      <c r="B1204" s="411"/>
      <c r="C1204" s="411"/>
      <c r="D1204" s="411"/>
      <c r="E1204" s="411"/>
      <c r="F1204" s="903"/>
      <c r="G1204" s="903"/>
      <c r="H1204" s="903"/>
      <c r="I1204" s="903"/>
      <c r="J1204" s="903"/>
      <c r="K1204" s="903"/>
      <c r="L1204" s="903"/>
      <c r="M1204" s="903"/>
      <c r="N1204" s="903"/>
      <c r="O1204" s="903"/>
      <c r="P1204" s="411"/>
      <c r="Q1204" s="411"/>
      <c r="R1204" s="392"/>
      <c r="S1204" s="410"/>
    </row>
    <row r="1205" spans="1:19" s="75" customFormat="1" ht="14.5" x14ac:dyDescent="0.35">
      <c r="A1205" s="408" t="s">
        <v>192</v>
      </c>
      <c r="B1205" s="411"/>
      <c r="C1205" s="411"/>
      <c r="D1205" s="411"/>
      <c r="E1205" s="411"/>
      <c r="F1205" s="903"/>
      <c r="G1205" s="903"/>
      <c r="H1205" s="903"/>
      <c r="I1205" s="903"/>
      <c r="J1205" s="903"/>
      <c r="K1205" s="903"/>
      <c r="L1205" s="903"/>
      <c r="M1205" s="903"/>
      <c r="N1205" s="903"/>
      <c r="O1205" s="903"/>
      <c r="P1205" s="411"/>
      <c r="Q1205" s="411"/>
      <c r="R1205" s="392"/>
      <c r="S1205" s="410"/>
    </row>
    <row r="1206" spans="1:19" s="75" customFormat="1" ht="14.5" x14ac:dyDescent="0.35">
      <c r="A1206" s="413" t="s">
        <v>193</v>
      </c>
      <c r="B1206" s="381"/>
      <c r="C1206" s="381"/>
      <c r="D1206" s="381"/>
      <c r="E1206" s="381"/>
      <c r="F1206" s="885"/>
      <c r="G1206" s="885"/>
      <c r="H1206" s="885"/>
      <c r="I1206" s="885"/>
      <c r="J1206" s="885"/>
      <c r="K1206" s="885"/>
      <c r="L1206" s="885"/>
      <c r="M1206" s="885"/>
      <c r="N1206" s="885"/>
      <c r="O1206" s="885"/>
      <c r="P1206" s="381"/>
      <c r="Q1206" s="381"/>
      <c r="S1206" s="86"/>
    </row>
    <row r="1207" spans="1:19" s="75" customFormat="1" ht="14.5" x14ac:dyDescent="0.35">
      <c r="A1207" s="413" t="s">
        <v>194</v>
      </c>
      <c r="B1207" s="381"/>
      <c r="C1207" s="381"/>
      <c r="D1207" s="381"/>
      <c r="E1207" s="381"/>
      <c r="F1207" s="885"/>
      <c r="G1207" s="885"/>
      <c r="H1207" s="885"/>
      <c r="I1207" s="885"/>
      <c r="J1207" s="885"/>
      <c r="K1207" s="885"/>
      <c r="L1207" s="885"/>
      <c r="M1207" s="885"/>
      <c r="N1207" s="885"/>
      <c r="O1207" s="885"/>
      <c r="P1207" s="381"/>
      <c r="Q1207" s="381"/>
      <c r="S1207" s="86"/>
    </row>
    <row r="1208" spans="1:19" s="75" customFormat="1" ht="14.5" x14ac:dyDescent="0.35">
      <c r="A1208" s="413" t="s">
        <v>195</v>
      </c>
      <c r="B1208" s="381"/>
      <c r="C1208" s="381"/>
      <c r="D1208" s="381"/>
      <c r="E1208" s="381"/>
      <c r="F1208" s="885"/>
      <c r="G1208" s="885"/>
      <c r="H1208" s="885"/>
      <c r="I1208" s="885"/>
      <c r="J1208" s="885"/>
      <c r="K1208" s="885"/>
      <c r="L1208" s="885"/>
      <c r="M1208" s="885"/>
      <c r="N1208" s="885"/>
      <c r="O1208" s="885"/>
      <c r="P1208" s="381"/>
      <c r="Q1208" s="381"/>
      <c r="S1208" s="86"/>
    </row>
    <row r="1209" spans="1:19" s="75" customFormat="1" ht="14.5" x14ac:dyDescent="0.35">
      <c r="A1209" s="431" t="s">
        <v>230</v>
      </c>
      <c r="B1209" s="418"/>
      <c r="C1209" s="420"/>
      <c r="D1209" s="419"/>
      <c r="E1209" s="381"/>
      <c r="F1209" s="885"/>
      <c r="G1209" s="905"/>
      <c r="H1209" s="885"/>
      <c r="I1209" s="885"/>
      <c r="J1209" s="885"/>
      <c r="K1209" s="885"/>
      <c r="L1209" s="885"/>
      <c r="M1209" s="885"/>
      <c r="N1209" s="885"/>
      <c r="O1209" s="885"/>
      <c r="P1209" s="381"/>
      <c r="Q1209" s="381"/>
      <c r="S1209" s="86"/>
    </row>
    <row r="1210" spans="1:19" s="75" customFormat="1" ht="14.5" x14ac:dyDescent="0.35">
      <c r="A1210" s="431" t="s">
        <v>272</v>
      </c>
      <c r="B1210" s="418"/>
      <c r="C1210" s="420"/>
      <c r="D1210" s="419"/>
      <c r="E1210" s="381"/>
      <c r="F1210" s="885"/>
      <c r="G1210" s="905"/>
      <c r="H1210" s="885"/>
      <c r="I1210" s="885"/>
      <c r="J1210" s="885"/>
      <c r="K1210" s="885"/>
      <c r="L1210" s="885"/>
      <c r="M1210" s="885"/>
      <c r="N1210" s="885"/>
      <c r="O1210" s="885"/>
      <c r="P1210" s="381"/>
      <c r="Q1210" s="381"/>
      <c r="S1210" s="86"/>
    </row>
    <row r="1211" spans="1:19" s="75" customFormat="1" ht="14.5" x14ac:dyDescent="0.35">
      <c r="A1211" s="431" t="s">
        <v>461</v>
      </c>
      <c r="B1211" s="418"/>
      <c r="C1211" s="420"/>
      <c r="D1211" s="419"/>
      <c r="E1211" s="381"/>
      <c r="F1211" s="885"/>
      <c r="G1211" s="905"/>
      <c r="H1211" s="885"/>
      <c r="I1211" s="885"/>
      <c r="J1211" s="885"/>
      <c r="K1211" s="885"/>
      <c r="L1211" s="885"/>
      <c r="M1211" s="885"/>
      <c r="N1211" s="885"/>
      <c r="O1211" s="885"/>
      <c r="P1211" s="381"/>
      <c r="Q1211" s="381"/>
      <c r="S1211" s="86"/>
    </row>
    <row r="1212" spans="1:19" s="75" customFormat="1" ht="14.5" x14ac:dyDescent="0.35">
      <c r="A1212" s="431" t="s">
        <v>643</v>
      </c>
      <c r="B1212" s="418"/>
      <c r="C1212" s="420"/>
      <c r="D1212" s="419"/>
      <c r="E1212" s="381"/>
      <c r="F1212" s="885"/>
      <c r="G1212" s="905"/>
      <c r="H1212" s="885"/>
      <c r="I1212" s="885"/>
      <c r="J1212" s="885"/>
      <c r="K1212" s="885"/>
      <c r="L1212" s="885"/>
      <c r="M1212" s="885"/>
      <c r="N1212" s="885"/>
      <c r="O1212" s="885"/>
      <c r="P1212" s="381"/>
      <c r="Q1212" s="381"/>
      <c r="S1212" s="86"/>
    </row>
    <row r="1213" spans="1:19" s="75" customFormat="1" ht="14.5" x14ac:dyDescent="0.35">
      <c r="A1213" s="431" t="s">
        <v>231</v>
      </c>
      <c r="B1213" s="418"/>
      <c r="C1213" s="420"/>
      <c r="D1213" s="419"/>
      <c r="E1213" s="381"/>
      <c r="F1213" s="885"/>
      <c r="G1213" s="905"/>
      <c r="H1213" s="885"/>
      <c r="I1213" s="885"/>
      <c r="J1213" s="885"/>
      <c r="K1213" s="885"/>
      <c r="L1213" s="885"/>
      <c r="M1213" s="885"/>
      <c r="N1213" s="885"/>
      <c r="O1213" s="885"/>
      <c r="P1213" s="381"/>
      <c r="Q1213" s="381"/>
      <c r="S1213" s="86"/>
    </row>
    <row r="1214" spans="1:19" s="75" customFormat="1" ht="14.5" x14ac:dyDescent="0.35">
      <c r="A1214" s="431" t="s">
        <v>273</v>
      </c>
      <c r="B1214" s="418"/>
      <c r="C1214" s="420"/>
      <c r="D1214" s="419"/>
      <c r="E1214" s="381"/>
      <c r="F1214" s="885"/>
      <c r="G1214" s="905"/>
      <c r="H1214" s="885"/>
      <c r="I1214" s="885"/>
      <c r="J1214" s="885"/>
      <c r="K1214" s="885"/>
      <c r="L1214" s="885"/>
      <c r="M1214" s="885"/>
      <c r="N1214" s="885"/>
      <c r="O1214" s="885"/>
      <c r="P1214" s="381"/>
      <c r="Q1214" s="381"/>
      <c r="S1214" s="86"/>
    </row>
    <row r="1215" spans="1:19" s="75" customFormat="1" ht="14.5" x14ac:dyDescent="0.35">
      <c r="A1215" s="431" t="s">
        <v>462</v>
      </c>
      <c r="B1215" s="418"/>
      <c r="C1215" s="420"/>
      <c r="D1215" s="419"/>
      <c r="E1215" s="381"/>
      <c r="F1215" s="885"/>
      <c r="G1215" s="905"/>
      <c r="H1215" s="885"/>
      <c r="I1215" s="885"/>
      <c r="J1215" s="885"/>
      <c r="K1215" s="885"/>
      <c r="L1215" s="885"/>
      <c r="M1215" s="885"/>
      <c r="N1215" s="885"/>
      <c r="O1215" s="885"/>
      <c r="P1215" s="381"/>
      <c r="Q1215" s="381"/>
      <c r="S1215" s="86"/>
    </row>
    <row r="1216" spans="1:19" s="75" customFormat="1" ht="14.5" x14ac:dyDescent="0.35">
      <c r="A1216" s="431" t="s">
        <v>644</v>
      </c>
      <c r="B1216" s="418"/>
      <c r="C1216" s="420"/>
      <c r="D1216" s="419"/>
      <c r="E1216" s="381"/>
      <c r="F1216" s="885"/>
      <c r="G1216" s="905"/>
      <c r="H1216" s="885"/>
      <c r="I1216" s="885"/>
      <c r="J1216" s="885"/>
      <c r="K1216" s="885"/>
      <c r="L1216" s="885"/>
      <c r="M1216" s="885"/>
      <c r="N1216" s="885"/>
      <c r="O1216" s="885"/>
      <c r="P1216" s="381"/>
      <c r="Q1216" s="381"/>
      <c r="S1216" s="86"/>
    </row>
    <row r="1217" spans="1:20" s="75" customFormat="1" ht="14.5" x14ac:dyDescent="0.35">
      <c r="A1217" s="431" t="s">
        <v>807</v>
      </c>
      <c r="B1217" s="418"/>
      <c r="C1217" s="420"/>
      <c r="D1217" s="419"/>
      <c r="E1217" s="381"/>
      <c r="F1217" s="885"/>
      <c r="G1217" s="905"/>
      <c r="H1217" s="885"/>
      <c r="I1217" s="885"/>
      <c r="J1217" s="885"/>
      <c r="K1217" s="885"/>
      <c r="L1217" s="885"/>
      <c r="M1217" s="885"/>
      <c r="N1217" s="885"/>
      <c r="O1217" s="885"/>
      <c r="P1217" s="381"/>
      <c r="Q1217" s="381"/>
      <c r="S1217" s="86"/>
    </row>
    <row r="1218" spans="1:20" s="75" customFormat="1" ht="14.5" x14ac:dyDescent="0.35">
      <c r="A1218" s="431" t="s">
        <v>1075</v>
      </c>
      <c r="B1218" s="381"/>
      <c r="C1218" s="381"/>
      <c r="D1218" s="381"/>
      <c r="E1218" s="381"/>
      <c r="F1218" s="885"/>
      <c r="G1218" s="905"/>
      <c r="H1218" s="885"/>
      <c r="I1218" s="885"/>
      <c r="J1218" s="885"/>
      <c r="K1218" s="885"/>
      <c r="L1218" s="885"/>
      <c r="M1218" s="885"/>
      <c r="N1218" s="885"/>
      <c r="O1218" s="885"/>
      <c r="P1218" s="381"/>
      <c r="Q1218" s="381"/>
      <c r="S1218" s="86"/>
    </row>
    <row r="1219" spans="1:20" s="75" customFormat="1" ht="14.5" x14ac:dyDescent="0.35">
      <c r="A1219" s="431" t="s">
        <v>1119</v>
      </c>
      <c r="B1219" s="381"/>
      <c r="C1219" s="381"/>
      <c r="D1219" s="381"/>
      <c r="E1219" s="381"/>
      <c r="F1219" s="885"/>
      <c r="G1219" s="905"/>
      <c r="H1219" s="885"/>
      <c r="I1219" s="885"/>
      <c r="J1219" s="885"/>
      <c r="K1219" s="885"/>
      <c r="L1219" s="885"/>
      <c r="M1219" s="885"/>
      <c r="N1219" s="885"/>
      <c r="O1219" s="885"/>
      <c r="P1219" s="381"/>
      <c r="Q1219" s="381"/>
      <c r="S1219" s="86"/>
    </row>
    <row r="1220" spans="1:20" s="416" customFormat="1" ht="13" x14ac:dyDescent="0.3">
      <c r="A1220" s="458" t="s">
        <v>1333</v>
      </c>
      <c r="B1220" s="421"/>
      <c r="C1220" s="421"/>
      <c r="D1220" s="421"/>
      <c r="E1220" s="421"/>
      <c r="F1220" s="907"/>
      <c r="G1220" s="922"/>
      <c r="H1220" s="907"/>
      <c r="I1220" s="907"/>
      <c r="J1220" s="907"/>
      <c r="K1220" s="907"/>
      <c r="L1220" s="907"/>
      <c r="M1220" s="907"/>
      <c r="N1220" s="907"/>
      <c r="O1220" s="907"/>
      <c r="P1220" s="421"/>
      <c r="Q1220" s="456"/>
      <c r="R1220" s="456"/>
      <c r="S1220" s="457"/>
    </row>
    <row r="1221" spans="1:20" x14ac:dyDescent="0.25">
      <c r="A1221" s="362"/>
      <c r="C1221" s="387"/>
    </row>
    <row r="1222" spans="1:20" x14ac:dyDescent="0.25">
      <c r="A1222" s="461" t="s">
        <v>14</v>
      </c>
      <c r="B1222" s="396" t="s">
        <v>645</v>
      </c>
      <c r="C1222" s="459" t="s">
        <v>15</v>
      </c>
      <c r="D1222" s="381"/>
      <c r="E1222" s="381"/>
      <c r="F1222" s="885"/>
      <c r="G1222" s="885"/>
      <c r="H1222" s="885"/>
      <c r="I1222" s="885"/>
      <c r="J1222" s="885"/>
      <c r="K1222" s="885"/>
      <c r="L1222" s="885"/>
      <c r="M1222" s="885"/>
    </row>
    <row r="1223" spans="1:20" x14ac:dyDescent="0.25">
      <c r="A1223" s="462" t="s">
        <v>16</v>
      </c>
      <c r="B1223" s="463">
        <v>2009</v>
      </c>
      <c r="C1223" s="464">
        <v>2010</v>
      </c>
      <c r="D1223" s="464">
        <v>2011</v>
      </c>
      <c r="E1223" s="464">
        <v>2012</v>
      </c>
      <c r="F1223" s="924">
        <v>2013</v>
      </c>
      <c r="G1223" s="924">
        <v>2014</v>
      </c>
      <c r="H1223" s="923">
        <v>2015</v>
      </c>
      <c r="I1223" s="923">
        <v>2016</v>
      </c>
      <c r="J1223" s="923">
        <v>2017</v>
      </c>
      <c r="K1223" s="923">
        <v>2018</v>
      </c>
      <c r="L1223" s="923">
        <v>2019</v>
      </c>
      <c r="M1223" s="923">
        <v>2020</v>
      </c>
      <c r="N1223" s="923">
        <v>2021</v>
      </c>
      <c r="O1223" s="923">
        <v>2022</v>
      </c>
      <c r="P1223" s="463">
        <v>2023</v>
      </c>
      <c r="Q1223" s="463">
        <v>2024</v>
      </c>
      <c r="R1223" s="463">
        <v>2025</v>
      </c>
      <c r="S1223" s="463">
        <v>2026</v>
      </c>
    </row>
    <row r="1224" spans="1:20" x14ac:dyDescent="0.25">
      <c r="A1224" s="400" t="s">
        <v>17</v>
      </c>
      <c r="B1224" s="404">
        <v>329.79</v>
      </c>
      <c r="C1224" s="424">
        <v>311.02</v>
      </c>
      <c r="D1224" s="424">
        <v>301.64</v>
      </c>
      <c r="E1224" s="424">
        <v>301.64</v>
      </c>
      <c r="F1224" s="908">
        <v>301.64</v>
      </c>
      <c r="G1224" s="908">
        <v>301.64</v>
      </c>
      <c r="H1224" s="908">
        <v>345.74</v>
      </c>
      <c r="I1224" s="908">
        <v>345.74</v>
      </c>
      <c r="J1224" s="466">
        <v>345.74</v>
      </c>
      <c r="K1224" s="466">
        <v>407.48</v>
      </c>
      <c r="L1224" s="466">
        <v>407.48</v>
      </c>
      <c r="M1224" s="925">
        <v>407.48</v>
      </c>
      <c r="N1224" s="926">
        <v>407.48</v>
      </c>
      <c r="O1224" s="926">
        <v>664.52</v>
      </c>
      <c r="P1224" s="465">
        <v>664.52</v>
      </c>
      <c r="Q1224" s="465">
        <v>664.52</v>
      </c>
      <c r="R1224" s="465">
        <v>664.52</v>
      </c>
      <c r="S1224" s="465">
        <v>762.39</v>
      </c>
      <c r="T1224" s="79"/>
    </row>
    <row r="1225" spans="1:20" x14ac:dyDescent="0.25">
      <c r="A1225" s="403" t="s">
        <v>18</v>
      </c>
      <c r="B1225" s="404">
        <v>402.56000000000006</v>
      </c>
      <c r="C1225" s="424">
        <v>431.91</v>
      </c>
      <c r="D1225" s="424">
        <v>308.37</v>
      </c>
      <c r="E1225" s="424">
        <v>306.06</v>
      </c>
      <c r="F1225" s="908">
        <v>304.12</v>
      </c>
      <c r="G1225" s="908">
        <v>303.5</v>
      </c>
      <c r="H1225" s="908">
        <v>346.61</v>
      </c>
      <c r="I1225" s="908">
        <v>346.83000000000004</v>
      </c>
      <c r="J1225" s="466">
        <v>347.08035600000011</v>
      </c>
      <c r="K1225" s="466">
        <v>408.73035600000014</v>
      </c>
      <c r="L1225" s="466">
        <v>409.20815600000014</v>
      </c>
      <c r="M1225" s="925">
        <v>410.39696779704036</v>
      </c>
      <c r="N1225" s="926">
        <v>410.3</v>
      </c>
      <c r="O1225" s="926">
        <f>O1224+N1228</f>
        <v>665.25</v>
      </c>
      <c r="P1225" s="465">
        <f>P1224+O1228</f>
        <v>671.97</v>
      </c>
      <c r="Q1225" s="465">
        <v>711.8</v>
      </c>
      <c r="R1225" s="465">
        <v>683.66424833498388</v>
      </c>
      <c r="S1225" s="465">
        <v>764.54</v>
      </c>
    </row>
    <row r="1226" spans="1:20" x14ac:dyDescent="0.25">
      <c r="A1226" s="403" t="s">
        <v>19</v>
      </c>
      <c r="B1226" s="404"/>
      <c r="C1226" s="424"/>
      <c r="D1226" s="424"/>
      <c r="E1226" s="424"/>
      <c r="F1226" s="908"/>
      <c r="G1226" s="908"/>
      <c r="H1226" s="908"/>
      <c r="I1226" s="908"/>
      <c r="J1226" s="908"/>
      <c r="K1226" s="908"/>
      <c r="L1226" s="908"/>
      <c r="M1226" s="926"/>
      <c r="N1226" s="926"/>
      <c r="O1226" s="926"/>
      <c r="P1226" s="465"/>
      <c r="Q1226" s="465"/>
      <c r="R1226" s="465"/>
      <c r="S1226" s="465"/>
    </row>
    <row r="1227" spans="1:20" x14ac:dyDescent="0.25">
      <c r="A1227" s="403" t="s">
        <v>20</v>
      </c>
      <c r="B1227" s="404">
        <v>281.67</v>
      </c>
      <c r="C1227" s="424">
        <v>425.18</v>
      </c>
      <c r="D1227" s="424">
        <v>303.95</v>
      </c>
      <c r="E1227" s="424">
        <v>303.58</v>
      </c>
      <c r="F1227" s="908">
        <v>302.26</v>
      </c>
      <c r="G1227" s="908">
        <v>302.63</v>
      </c>
      <c r="H1227" s="908">
        <v>345.52</v>
      </c>
      <c r="I1227" s="908">
        <v>345.48964399999994</v>
      </c>
      <c r="J1227" s="908">
        <v>345.83</v>
      </c>
      <c r="K1227" s="908">
        <v>407.00220000000002</v>
      </c>
      <c r="L1227" s="908">
        <v>406.2911882029598</v>
      </c>
      <c r="M1227" s="926">
        <v>407.58140000000009</v>
      </c>
      <c r="N1227" s="926">
        <v>409.57</v>
      </c>
      <c r="O1227" s="926">
        <v>657.8</v>
      </c>
      <c r="P1227" s="465">
        <v>624.67999999999995</v>
      </c>
      <c r="Q1227" s="465">
        <v>692.65575166501606</v>
      </c>
      <c r="R1227" s="465">
        <v>681.51</v>
      </c>
      <c r="S1227" s="465" t="s">
        <v>1118</v>
      </c>
    </row>
    <row r="1228" spans="1:20" x14ac:dyDescent="0.25">
      <c r="A1228" s="403" t="s">
        <v>21</v>
      </c>
      <c r="B1228" s="404">
        <v>120.89000000000004</v>
      </c>
      <c r="C1228" s="424">
        <v>6.7300000000000182</v>
      </c>
      <c r="D1228" s="424">
        <v>4.4200000000000159</v>
      </c>
      <c r="E1228" s="424">
        <v>2.4800000000000182</v>
      </c>
      <c r="F1228" s="908">
        <v>1.8600000000000136</v>
      </c>
      <c r="G1228" s="908">
        <v>0.87000000000000455</v>
      </c>
      <c r="H1228" s="908">
        <v>1.0900000000000318</v>
      </c>
      <c r="I1228" s="908">
        <v>1.3403560000000994</v>
      </c>
      <c r="J1228" s="908">
        <v>1.2503560000001244</v>
      </c>
      <c r="K1228" s="908">
        <v>1.7281560000001264</v>
      </c>
      <c r="L1228" s="908">
        <v>2.9169677970403427</v>
      </c>
      <c r="M1228" s="926">
        <v>2.8155677970402735</v>
      </c>
      <c r="N1228" s="926">
        <f>N1225-N1227</f>
        <v>0.73000000000001819</v>
      </c>
      <c r="O1228" s="926">
        <f>O1225-O1227</f>
        <v>7.4500000000000455</v>
      </c>
      <c r="P1228" s="465">
        <v>47.28</v>
      </c>
      <c r="Q1228" s="465">
        <v>19.144248334983899</v>
      </c>
      <c r="R1228" s="465">
        <f>R1225-R1227</f>
        <v>2.1542483349838903</v>
      </c>
      <c r="S1228" s="465" t="s">
        <v>1118</v>
      </c>
    </row>
    <row r="1229" spans="1:20" x14ac:dyDescent="0.25">
      <c r="A1229" s="425" t="s">
        <v>22</v>
      </c>
      <c r="B1229" s="426"/>
      <c r="C1229" s="426"/>
      <c r="D1229" s="426"/>
      <c r="E1229" s="426"/>
      <c r="F1229" s="909"/>
      <c r="G1229" s="909"/>
      <c r="H1229" s="909"/>
      <c r="I1229" s="909"/>
      <c r="J1229" s="909"/>
      <c r="K1229" s="909">
        <v>2019</v>
      </c>
      <c r="L1229" s="909">
        <v>2020</v>
      </c>
      <c r="M1229" s="909">
        <v>2021</v>
      </c>
      <c r="N1229" s="909">
        <v>2022</v>
      </c>
      <c r="O1229" s="909">
        <v>2023</v>
      </c>
      <c r="P1229" s="426">
        <v>2024</v>
      </c>
      <c r="Q1229" s="426">
        <v>2025</v>
      </c>
      <c r="R1229" s="426">
        <v>2026</v>
      </c>
      <c r="S1229" s="426">
        <v>2027</v>
      </c>
    </row>
    <row r="1230" spans="1:20" x14ac:dyDescent="0.25">
      <c r="A1230" s="408" t="s">
        <v>179</v>
      </c>
      <c r="B1230" s="411"/>
      <c r="C1230" s="411"/>
      <c r="D1230" s="411"/>
      <c r="E1230" s="411"/>
      <c r="F1230" s="903"/>
      <c r="G1230" s="903"/>
      <c r="H1230" s="903"/>
      <c r="I1230" s="903"/>
      <c r="J1230" s="903"/>
      <c r="K1230" s="903"/>
      <c r="L1230" s="903"/>
      <c r="M1230" s="903"/>
      <c r="N1230" s="903"/>
      <c r="O1230" s="903"/>
      <c r="P1230" s="411"/>
      <c r="Q1230" s="411"/>
      <c r="R1230" s="37"/>
      <c r="S1230" s="40"/>
    </row>
    <row r="1231" spans="1:20" x14ac:dyDescent="0.25">
      <c r="A1231" s="408" t="s">
        <v>210</v>
      </c>
      <c r="B1231" s="411"/>
      <c r="C1231" s="411"/>
      <c r="D1231" s="411"/>
      <c r="E1231" s="411"/>
      <c r="F1231" s="903"/>
      <c r="G1231" s="903"/>
      <c r="H1231" s="903"/>
      <c r="I1231" s="903"/>
      <c r="J1231" s="903"/>
      <c r="K1231" s="903"/>
      <c r="L1231" s="903"/>
      <c r="M1231" s="903"/>
      <c r="N1231" s="903"/>
      <c r="O1231" s="903"/>
      <c r="P1231" s="411"/>
      <c r="Q1231" s="411"/>
      <c r="R1231" s="37"/>
      <c r="S1231" s="40"/>
    </row>
    <row r="1232" spans="1:20" x14ac:dyDescent="0.25">
      <c r="A1232" s="431" t="s">
        <v>232</v>
      </c>
      <c r="B1232" s="381"/>
      <c r="C1232" s="381"/>
      <c r="D1232" s="381"/>
      <c r="E1232" s="381"/>
      <c r="F1232" s="885"/>
      <c r="G1232" s="885"/>
      <c r="H1232" s="885"/>
      <c r="I1232" s="885"/>
      <c r="J1232" s="885"/>
      <c r="K1232" s="885"/>
      <c r="L1232" s="885"/>
      <c r="M1232" s="885"/>
      <c r="N1232" s="885"/>
      <c r="O1232" s="885"/>
      <c r="P1232" s="381"/>
      <c r="Q1232" s="381"/>
      <c r="S1232" s="66"/>
    </row>
    <row r="1233" spans="1:20" x14ac:dyDescent="0.25">
      <c r="A1233" s="431" t="s">
        <v>274</v>
      </c>
      <c r="B1233" s="381"/>
      <c r="C1233" s="381"/>
      <c r="D1233" s="381"/>
      <c r="E1233" s="381"/>
      <c r="F1233" s="885"/>
      <c r="G1233" s="885"/>
      <c r="H1233" s="885"/>
      <c r="I1233" s="885"/>
      <c r="J1233" s="885"/>
      <c r="K1233" s="885"/>
      <c r="L1233" s="885"/>
      <c r="M1233" s="885"/>
      <c r="N1233" s="885"/>
      <c r="O1233" s="885"/>
      <c r="P1233" s="381"/>
      <c r="Q1233" s="381"/>
      <c r="S1233" s="66"/>
    </row>
    <row r="1234" spans="1:20" x14ac:dyDescent="0.25">
      <c r="A1234" s="431" t="s">
        <v>275</v>
      </c>
      <c r="B1234" s="381"/>
      <c r="C1234" s="381"/>
      <c r="D1234" s="381"/>
      <c r="E1234" s="381"/>
      <c r="F1234" s="885"/>
      <c r="G1234" s="885"/>
      <c r="H1234" s="885"/>
      <c r="I1234" s="885"/>
      <c r="J1234" s="885"/>
      <c r="K1234" s="885"/>
      <c r="L1234" s="885"/>
      <c r="M1234" s="885"/>
      <c r="N1234" s="885"/>
      <c r="O1234" s="885"/>
      <c r="P1234" s="381"/>
      <c r="Q1234" s="381"/>
      <c r="S1234" s="66"/>
    </row>
    <row r="1235" spans="1:20" x14ac:dyDescent="0.25">
      <c r="A1235" s="431" t="s">
        <v>276</v>
      </c>
      <c r="B1235" s="381"/>
      <c r="C1235" s="381"/>
      <c r="D1235" s="381"/>
      <c r="E1235" s="381"/>
      <c r="F1235" s="885"/>
      <c r="G1235" s="885"/>
      <c r="H1235" s="885"/>
      <c r="I1235" s="885"/>
      <c r="J1235" s="885"/>
      <c r="K1235" s="885"/>
      <c r="L1235" s="885"/>
      <c r="M1235" s="885"/>
      <c r="N1235" s="885"/>
      <c r="O1235" s="885"/>
      <c r="P1235" s="381"/>
      <c r="Q1235" s="381"/>
      <c r="S1235" s="66"/>
    </row>
    <row r="1236" spans="1:20" x14ac:dyDescent="0.25">
      <c r="A1236" s="431" t="s">
        <v>463</v>
      </c>
      <c r="B1236" s="381"/>
      <c r="C1236" s="381"/>
      <c r="D1236" s="381"/>
      <c r="E1236" s="381"/>
      <c r="F1236" s="885"/>
      <c r="G1236" s="885"/>
      <c r="H1236" s="885"/>
      <c r="I1236" s="885"/>
      <c r="J1236" s="885"/>
      <c r="K1236" s="885"/>
      <c r="L1236" s="885"/>
      <c r="M1236" s="885"/>
      <c r="N1236" s="885"/>
      <c r="O1236" s="885"/>
      <c r="P1236" s="381"/>
      <c r="Q1236" s="381"/>
      <c r="S1236" s="66"/>
    </row>
    <row r="1237" spans="1:20" x14ac:dyDescent="0.25">
      <c r="A1237" s="431" t="s">
        <v>464</v>
      </c>
      <c r="B1237" s="381"/>
      <c r="C1237" s="381"/>
      <c r="D1237" s="381"/>
      <c r="E1237" s="381"/>
      <c r="F1237" s="885"/>
      <c r="G1237" s="885"/>
      <c r="H1237" s="885"/>
      <c r="I1237" s="885"/>
      <c r="J1237" s="885"/>
      <c r="K1237" s="885"/>
      <c r="L1237" s="885"/>
      <c r="M1237" s="885"/>
      <c r="N1237" s="885"/>
      <c r="O1237" s="885"/>
      <c r="P1237" s="381"/>
      <c r="Q1237" s="381"/>
      <c r="S1237" s="66"/>
    </row>
    <row r="1238" spans="1:20" x14ac:dyDescent="0.25">
      <c r="A1238" s="431" t="s">
        <v>646</v>
      </c>
      <c r="B1238" s="381"/>
      <c r="C1238" s="381"/>
      <c r="D1238" s="381"/>
      <c r="E1238" s="381"/>
      <c r="F1238" s="885"/>
      <c r="G1238" s="885"/>
      <c r="H1238" s="885"/>
      <c r="I1238" s="885"/>
      <c r="J1238" s="885"/>
      <c r="K1238" s="885"/>
      <c r="L1238" s="885"/>
      <c r="M1238" s="885"/>
      <c r="N1238" s="885"/>
      <c r="O1238" s="885"/>
      <c r="P1238" s="381"/>
      <c r="Q1238" s="381"/>
      <c r="S1238" s="66"/>
    </row>
    <row r="1239" spans="1:20" x14ac:dyDescent="0.25">
      <c r="A1239" s="431" t="s">
        <v>808</v>
      </c>
      <c r="B1239" s="381"/>
      <c r="C1239" s="381"/>
      <c r="D1239" s="381"/>
      <c r="E1239" s="381"/>
      <c r="F1239" s="885"/>
      <c r="G1239" s="885"/>
      <c r="H1239" s="885"/>
      <c r="I1239" s="885"/>
      <c r="J1239" s="885"/>
      <c r="K1239" s="885"/>
      <c r="L1239" s="885"/>
      <c r="M1239" s="885"/>
      <c r="N1239" s="885"/>
      <c r="O1239" s="885"/>
      <c r="P1239" s="381"/>
      <c r="Q1239" s="381"/>
      <c r="S1239" s="66"/>
    </row>
    <row r="1240" spans="1:20" x14ac:dyDescent="0.25">
      <c r="A1240" s="431" t="s">
        <v>809</v>
      </c>
      <c r="B1240" s="381"/>
      <c r="C1240" s="381"/>
      <c r="D1240" s="381"/>
      <c r="E1240" s="381"/>
      <c r="F1240" s="885"/>
      <c r="G1240" s="885"/>
      <c r="H1240" s="885"/>
      <c r="I1240" s="885"/>
      <c r="J1240" s="885"/>
      <c r="K1240" s="885"/>
      <c r="L1240" s="885"/>
      <c r="M1240" s="885"/>
      <c r="N1240" s="885"/>
      <c r="O1240" s="885"/>
      <c r="P1240" s="381"/>
      <c r="Q1240" s="381"/>
      <c r="S1240" s="66"/>
    </row>
    <row r="1241" spans="1:20" x14ac:dyDescent="0.25">
      <c r="A1241" s="431" t="s">
        <v>1078</v>
      </c>
      <c r="B1241" s="381"/>
      <c r="C1241" s="381"/>
      <c r="D1241" s="381"/>
      <c r="E1241" s="381"/>
      <c r="F1241" s="885"/>
      <c r="G1241" s="885"/>
      <c r="H1241" s="885"/>
      <c r="I1241" s="885"/>
      <c r="J1241" s="885"/>
      <c r="K1241" s="885"/>
      <c r="L1241" s="885"/>
      <c r="M1241" s="885"/>
      <c r="N1241" s="885"/>
      <c r="O1241" s="885"/>
      <c r="P1241" s="381"/>
      <c r="Q1241" s="381"/>
      <c r="S1241" s="66"/>
    </row>
    <row r="1242" spans="1:20" x14ac:dyDescent="0.25">
      <c r="A1242" s="431" t="s">
        <v>1334</v>
      </c>
      <c r="B1242" s="381"/>
      <c r="C1242" s="381"/>
      <c r="D1242" s="381"/>
      <c r="E1242" s="381"/>
      <c r="F1242" s="885"/>
      <c r="G1242" s="885"/>
      <c r="H1242" s="885"/>
      <c r="I1242" s="885"/>
      <c r="J1242" s="885"/>
      <c r="K1242" s="885"/>
      <c r="L1242" s="885"/>
      <c r="M1242" s="885"/>
      <c r="N1242" s="885"/>
      <c r="O1242" s="885"/>
      <c r="P1242" s="381"/>
      <c r="Q1242" s="381"/>
      <c r="S1242" s="66"/>
    </row>
    <row r="1243" spans="1:20" s="416" customFormat="1" ht="13" x14ac:dyDescent="0.3">
      <c r="A1243" s="458" t="s">
        <v>1335</v>
      </c>
      <c r="B1243" s="421"/>
      <c r="C1243" s="421"/>
      <c r="D1243" s="421"/>
      <c r="E1243" s="421"/>
      <c r="F1243" s="907"/>
      <c r="G1243" s="907"/>
      <c r="H1243" s="907"/>
      <c r="I1243" s="907"/>
      <c r="J1243" s="907"/>
      <c r="K1243" s="907"/>
      <c r="L1243" s="907"/>
      <c r="M1243" s="907"/>
      <c r="N1243" s="907"/>
      <c r="O1243" s="907"/>
      <c r="P1243" s="421"/>
      <c r="Q1243" s="456"/>
      <c r="R1243" s="456"/>
      <c r="S1243" s="457"/>
    </row>
    <row r="1244" spans="1:20" x14ac:dyDescent="0.25">
      <c r="A1244" s="362"/>
      <c r="C1244" s="387"/>
    </row>
    <row r="1245" spans="1:20" x14ac:dyDescent="0.25">
      <c r="A1245" s="395" t="s">
        <v>14</v>
      </c>
      <c r="B1245" s="396" t="s">
        <v>66</v>
      </c>
      <c r="C1245" s="459" t="s">
        <v>15</v>
      </c>
      <c r="D1245" s="381"/>
      <c r="E1245" s="381"/>
      <c r="F1245" s="885"/>
      <c r="G1245" s="885"/>
      <c r="H1245" s="885"/>
      <c r="I1245" s="885"/>
      <c r="J1245" s="885"/>
      <c r="K1245" s="885"/>
      <c r="L1245" s="885"/>
      <c r="M1245" s="885"/>
      <c r="N1245" s="885"/>
      <c r="O1245" s="885"/>
      <c r="P1245" s="381"/>
    </row>
    <row r="1246" spans="1:20" x14ac:dyDescent="0.25">
      <c r="A1246" s="403" t="s">
        <v>16</v>
      </c>
      <c r="B1246" s="402">
        <v>2009</v>
      </c>
      <c r="C1246" s="402">
        <v>2010</v>
      </c>
      <c r="D1246" s="402">
        <v>2011</v>
      </c>
      <c r="E1246" s="402">
        <v>2012</v>
      </c>
      <c r="F1246" s="899">
        <v>2013</v>
      </c>
      <c r="G1246" s="899">
        <v>2014</v>
      </c>
      <c r="H1246" s="899">
        <v>2015</v>
      </c>
      <c r="I1246" s="899">
        <v>2016</v>
      </c>
      <c r="J1246" s="899">
        <v>2017</v>
      </c>
      <c r="K1246" s="899">
        <v>2018</v>
      </c>
      <c r="L1246" s="899">
        <v>2019</v>
      </c>
      <c r="M1246" s="899">
        <v>2020</v>
      </c>
      <c r="N1246" s="899">
        <v>2021</v>
      </c>
      <c r="O1246" s="899">
        <v>2022</v>
      </c>
      <c r="P1246" s="402">
        <v>2023</v>
      </c>
      <c r="Q1246" s="402">
        <v>2024</v>
      </c>
      <c r="R1246" s="402">
        <v>2025</v>
      </c>
      <c r="S1246" s="402">
        <v>2026</v>
      </c>
      <c r="T1246" s="402">
        <v>2027</v>
      </c>
    </row>
    <row r="1247" spans="1:20" x14ac:dyDescent="0.25">
      <c r="A1247" s="403" t="s">
        <v>17</v>
      </c>
      <c r="B1247" s="424">
        <v>25000</v>
      </c>
      <c r="C1247" s="424">
        <v>25000</v>
      </c>
      <c r="D1247" s="424">
        <v>23611</v>
      </c>
      <c r="E1247" s="424">
        <v>23611</v>
      </c>
      <c r="F1247" s="908">
        <v>23611</v>
      </c>
      <c r="G1247" s="908">
        <v>23611</v>
      </c>
      <c r="H1247" s="908">
        <v>23611</v>
      </c>
      <c r="I1247" s="908">
        <v>17696</v>
      </c>
      <c r="J1247" s="466">
        <v>17696</v>
      </c>
      <c r="K1247" s="466">
        <v>17696</v>
      </c>
      <c r="L1247" s="466">
        <v>17696</v>
      </c>
      <c r="M1247" s="466">
        <v>13979.84</v>
      </c>
      <c r="N1247" s="466">
        <v>13756.162560000001</v>
      </c>
      <c r="O1247" s="466">
        <v>13868.00128</v>
      </c>
      <c r="P1247" s="449">
        <v>13868.00128</v>
      </c>
      <c r="Q1247" s="449">
        <v>13868.00128</v>
      </c>
      <c r="R1247" s="449">
        <v>13865</v>
      </c>
      <c r="S1247" s="449">
        <v>13865.86</v>
      </c>
      <c r="T1247" s="449"/>
    </row>
    <row r="1248" spans="1:20" x14ac:dyDescent="0.25">
      <c r="A1248" s="403" t="s">
        <v>18</v>
      </c>
      <c r="B1248" s="424">
        <v>30500</v>
      </c>
      <c r="C1248" s="424">
        <v>29700</v>
      </c>
      <c r="D1248" s="424">
        <v>26894.3</v>
      </c>
      <c r="E1248" s="424">
        <v>27624.3</v>
      </c>
      <c r="F1248" s="908">
        <v>27624.3</v>
      </c>
      <c r="G1248" s="908">
        <v>27624.3</v>
      </c>
      <c r="H1248" s="908">
        <v>27624.3</v>
      </c>
      <c r="I1248" s="908">
        <v>20167.650000000001</v>
      </c>
      <c r="J1248" s="466">
        <v>19280.400000000001</v>
      </c>
      <c r="K1248" s="466">
        <v>15415.88</v>
      </c>
      <c r="L1248" s="466">
        <v>19280.400000000001</v>
      </c>
      <c r="M1248" s="466">
        <v>13079.84</v>
      </c>
      <c r="N1248" s="466">
        <f>N1247+0.1*L1247-600-300</f>
        <v>14625.762560000001</v>
      </c>
      <c r="O1248" s="466">
        <f>O1247+0.1*M1247-600-300</f>
        <v>14365.985280000001</v>
      </c>
      <c r="P1248" s="449">
        <f>P1247+0.1*N1247-600-300</f>
        <v>14343.617536000002</v>
      </c>
      <c r="Q1248" s="449">
        <f>Q1247+0.1*O1247-600-300</f>
        <v>14354.801408000001</v>
      </c>
      <c r="R1248" s="449">
        <f>R1247+P1251-350</f>
        <v>14499.017536000001</v>
      </c>
      <c r="S1248" s="449">
        <f>S1247+10%*Q1247-350</f>
        <v>14902.660128000001</v>
      </c>
      <c r="T1248" s="466"/>
    </row>
    <row r="1249" spans="1:20" x14ac:dyDescent="0.25">
      <c r="A1249" s="403" t="s">
        <v>19</v>
      </c>
      <c r="B1249" s="424"/>
      <c r="C1249" s="424"/>
      <c r="D1249" s="424"/>
      <c r="E1249" s="424"/>
      <c r="F1249" s="908"/>
      <c r="G1249" s="908"/>
      <c r="H1249" s="908"/>
      <c r="I1249" s="908"/>
      <c r="J1249" s="908"/>
      <c r="K1249" s="908"/>
      <c r="L1249" s="908"/>
      <c r="M1249" s="908"/>
      <c r="N1249" s="908"/>
      <c r="O1249" s="908"/>
      <c r="P1249" s="424"/>
      <c r="Q1249" s="424"/>
      <c r="R1249" s="424"/>
      <c r="S1249" s="424"/>
      <c r="T1249" s="424"/>
    </row>
    <row r="1250" spans="1:20" x14ac:dyDescent="0.25">
      <c r="A1250" s="403" t="s">
        <v>20</v>
      </c>
      <c r="B1250" s="424">
        <v>13127.78969</v>
      </c>
      <c r="C1250" s="424">
        <v>12919.833529999998</v>
      </c>
      <c r="D1250" s="424">
        <v>11930</v>
      </c>
      <c r="E1250" s="424">
        <v>15971.9</v>
      </c>
      <c r="F1250" s="908">
        <v>14342</v>
      </c>
      <c r="G1250" s="908">
        <v>12595.2</v>
      </c>
      <c r="H1250" s="908">
        <v>10179.799999999999</v>
      </c>
      <c r="I1250" s="908">
        <v>11238</v>
      </c>
      <c r="J1250" s="908">
        <v>9872.2000000000007</v>
      </c>
      <c r="K1250" s="908">
        <v>9849.5910000000003</v>
      </c>
      <c r="L1250" s="908">
        <v>9933.1844890000011</v>
      </c>
      <c r="M1250" s="908">
        <v>9294.3000000000011</v>
      </c>
      <c r="N1250" s="908">
        <v>11226.4</v>
      </c>
      <c r="O1250" s="908">
        <v>12374.5</v>
      </c>
      <c r="P1250" s="424">
        <v>13359.6</v>
      </c>
      <c r="Q1250" s="424">
        <v>11036</v>
      </c>
      <c r="R1250" s="424">
        <v>8389.4</v>
      </c>
      <c r="S1250" s="424"/>
      <c r="T1250" s="424"/>
    </row>
    <row r="1251" spans="1:20" x14ac:dyDescent="0.25">
      <c r="A1251" s="403" t="s">
        <v>21</v>
      </c>
      <c r="B1251" s="424">
        <v>17372.210310000002</v>
      </c>
      <c r="C1251" s="424">
        <v>16780.166470000004</v>
      </c>
      <c r="D1251" s="424">
        <v>14964.3</v>
      </c>
      <c r="E1251" s="424">
        <v>11652.4</v>
      </c>
      <c r="F1251" s="908">
        <v>13282.3</v>
      </c>
      <c r="G1251" s="908">
        <v>15029.099999999999</v>
      </c>
      <c r="H1251" s="908">
        <v>17444.5</v>
      </c>
      <c r="I1251" s="908">
        <v>8929.6500000000015</v>
      </c>
      <c r="J1251" s="908">
        <v>9408.2000000000007</v>
      </c>
      <c r="K1251" s="908">
        <v>5566.2889999999989</v>
      </c>
      <c r="L1251" s="908">
        <v>9347.2155110000003</v>
      </c>
      <c r="M1251" s="908">
        <f t="shared" ref="M1251:R1251" si="63">M1248-M1250</f>
        <v>3785.5399999999991</v>
      </c>
      <c r="N1251" s="908">
        <f t="shared" si="63"/>
        <v>3399.3625600000014</v>
      </c>
      <c r="O1251" s="908">
        <f t="shared" si="63"/>
        <v>1991.4852800000008</v>
      </c>
      <c r="P1251" s="424">
        <f t="shared" si="63"/>
        <v>984.0175360000012</v>
      </c>
      <c r="Q1251" s="424">
        <f t="shared" si="63"/>
        <v>3318.8014080000012</v>
      </c>
      <c r="R1251" s="424">
        <f t="shared" si="63"/>
        <v>6109.6175360000016</v>
      </c>
      <c r="S1251" s="424"/>
      <c r="T1251" s="424"/>
    </row>
    <row r="1252" spans="1:20" x14ac:dyDescent="0.25">
      <c r="A1252" s="425" t="s">
        <v>22</v>
      </c>
      <c r="B1252" s="426"/>
      <c r="C1252" s="426"/>
      <c r="D1252" s="426"/>
      <c r="E1252" s="426"/>
      <c r="F1252" s="909"/>
      <c r="G1252" s="909"/>
      <c r="H1252" s="909"/>
      <c r="I1252" s="909"/>
      <c r="J1252" s="909">
        <v>2019</v>
      </c>
      <c r="K1252" s="909">
        <v>2020</v>
      </c>
      <c r="L1252" s="909">
        <v>2021</v>
      </c>
      <c r="M1252" s="909">
        <v>2022</v>
      </c>
      <c r="N1252" s="909">
        <v>2023</v>
      </c>
      <c r="O1252" s="909">
        <v>2024</v>
      </c>
      <c r="P1252" s="426">
        <v>2025</v>
      </c>
      <c r="Q1252" s="426">
        <v>2026</v>
      </c>
      <c r="R1252" s="426">
        <v>2027</v>
      </c>
      <c r="S1252" s="426">
        <v>2028</v>
      </c>
      <c r="T1252" s="426">
        <v>2029</v>
      </c>
    </row>
    <row r="1253" spans="1:20" x14ac:dyDescent="0.25">
      <c r="A1253" s="408" t="s">
        <v>179</v>
      </c>
      <c r="B1253" s="411"/>
      <c r="C1253" s="411"/>
      <c r="D1253" s="411"/>
      <c r="E1253" s="411"/>
      <c r="F1253" s="903"/>
      <c r="G1253" s="903"/>
      <c r="H1253" s="903"/>
      <c r="I1253" s="903"/>
      <c r="J1253" s="903"/>
      <c r="K1253" s="903"/>
      <c r="L1253" s="903"/>
      <c r="M1253" s="903"/>
      <c r="N1253" s="903"/>
      <c r="O1253" s="903"/>
      <c r="P1253" s="411"/>
      <c r="Q1253" s="411"/>
      <c r="R1253" s="411"/>
      <c r="S1253" s="37"/>
      <c r="T1253" s="40"/>
    </row>
    <row r="1254" spans="1:20" x14ac:dyDescent="0.25">
      <c r="A1254" s="408" t="s">
        <v>196</v>
      </c>
      <c r="B1254" s="411"/>
      <c r="C1254" s="411"/>
      <c r="D1254" s="411"/>
      <c r="E1254" s="411"/>
      <c r="F1254" s="903"/>
      <c r="G1254" s="903"/>
      <c r="H1254" s="903"/>
      <c r="I1254" s="903"/>
      <c r="J1254" s="903"/>
      <c r="K1254" s="903"/>
      <c r="L1254" s="903"/>
      <c r="M1254" s="903"/>
      <c r="N1254" s="903"/>
      <c r="O1254" s="903"/>
      <c r="P1254" s="411"/>
      <c r="Q1254" s="411"/>
      <c r="R1254" s="411"/>
      <c r="S1254" s="37"/>
      <c r="T1254" s="40"/>
    </row>
    <row r="1255" spans="1:20" x14ac:dyDescent="0.25">
      <c r="A1255" s="413" t="s">
        <v>197</v>
      </c>
      <c r="B1255" s="381"/>
      <c r="C1255" s="381"/>
      <c r="D1255" s="381"/>
      <c r="E1255" s="381"/>
      <c r="F1255" s="885"/>
      <c r="G1255" s="885"/>
      <c r="H1255" s="885"/>
      <c r="I1255" s="885"/>
      <c r="J1255" s="885"/>
      <c r="K1255" s="885"/>
      <c r="L1255" s="885"/>
      <c r="M1255" s="885"/>
      <c r="N1255" s="885"/>
      <c r="O1255" s="885"/>
      <c r="P1255" s="381"/>
      <c r="Q1255" s="381"/>
      <c r="R1255" s="381"/>
      <c r="T1255" s="66"/>
    </row>
    <row r="1256" spans="1:20" x14ac:dyDescent="0.25">
      <c r="A1256" s="413" t="s">
        <v>235</v>
      </c>
      <c r="B1256" s="381"/>
      <c r="C1256" s="381"/>
      <c r="D1256" s="381"/>
      <c r="E1256" s="381"/>
      <c r="F1256" s="885"/>
      <c r="G1256" s="885"/>
      <c r="H1256" s="885"/>
      <c r="I1256" s="885"/>
      <c r="J1256" s="885"/>
      <c r="K1256" s="885"/>
      <c r="L1256" s="885"/>
      <c r="M1256" s="885"/>
      <c r="N1256" s="885"/>
      <c r="O1256" s="885"/>
      <c r="P1256" s="381"/>
      <c r="Q1256" s="381"/>
      <c r="R1256" s="381"/>
      <c r="T1256" s="66"/>
    </row>
    <row r="1257" spans="1:20" x14ac:dyDescent="0.25">
      <c r="A1257" s="413" t="s">
        <v>236</v>
      </c>
      <c r="B1257" s="418"/>
      <c r="C1257" s="420"/>
      <c r="D1257" s="419"/>
      <c r="E1257" s="381"/>
      <c r="F1257" s="885"/>
      <c r="G1257" s="905"/>
      <c r="H1257" s="885"/>
      <c r="I1257" s="885"/>
      <c r="J1257" s="885"/>
      <c r="K1257" s="885"/>
      <c r="L1257" s="885"/>
      <c r="M1257" s="885"/>
      <c r="N1257" s="885"/>
      <c r="O1257" s="885"/>
      <c r="P1257" s="381"/>
      <c r="Q1257" s="381"/>
      <c r="R1257" s="381"/>
      <c r="T1257" s="66"/>
    </row>
    <row r="1258" spans="1:20" x14ac:dyDescent="0.25">
      <c r="A1258" s="413" t="s">
        <v>237</v>
      </c>
      <c r="B1258" s="381"/>
      <c r="C1258" s="381"/>
      <c r="D1258" s="381"/>
      <c r="E1258" s="381"/>
      <c r="F1258" s="885"/>
      <c r="G1258" s="920"/>
      <c r="H1258" s="885"/>
      <c r="I1258" s="885"/>
      <c r="J1258" s="885"/>
      <c r="K1258" s="885"/>
      <c r="L1258" s="885"/>
      <c r="M1258" s="885"/>
      <c r="N1258" s="885"/>
      <c r="O1258" s="885"/>
      <c r="P1258" s="381"/>
      <c r="Q1258" s="381"/>
      <c r="R1258" s="381"/>
      <c r="T1258" s="66"/>
    </row>
    <row r="1259" spans="1:20" x14ac:dyDescent="0.25">
      <c r="A1259" s="413" t="s">
        <v>278</v>
      </c>
      <c r="B1259" s="381"/>
      <c r="C1259" s="381"/>
      <c r="D1259" s="381"/>
      <c r="E1259" s="381"/>
      <c r="F1259" s="885"/>
      <c r="G1259" s="885"/>
      <c r="H1259" s="885"/>
      <c r="I1259" s="885"/>
      <c r="J1259" s="885"/>
      <c r="K1259" s="885"/>
      <c r="L1259" s="885"/>
      <c r="M1259" s="885"/>
      <c r="N1259" s="885"/>
      <c r="O1259" s="885"/>
      <c r="P1259" s="381"/>
      <c r="Q1259" s="381"/>
      <c r="R1259" s="381"/>
      <c r="T1259" s="66"/>
    </row>
    <row r="1260" spans="1:20" x14ac:dyDescent="0.25">
      <c r="A1260" s="413" t="s">
        <v>238</v>
      </c>
      <c r="B1260" s="381"/>
      <c r="C1260" s="381"/>
      <c r="D1260" s="381"/>
      <c r="E1260" s="381"/>
      <c r="F1260" s="885"/>
      <c r="G1260" s="920"/>
      <c r="H1260" s="885"/>
      <c r="I1260" s="885"/>
      <c r="J1260" s="885"/>
      <c r="K1260" s="885"/>
      <c r="L1260" s="885"/>
      <c r="M1260" s="885"/>
      <c r="N1260" s="885"/>
      <c r="O1260" s="885"/>
      <c r="P1260" s="381"/>
      <c r="Q1260" s="381"/>
      <c r="R1260" s="381"/>
      <c r="T1260" s="66"/>
    </row>
    <row r="1261" spans="1:20" x14ac:dyDescent="0.25">
      <c r="A1261" s="413" t="s">
        <v>233</v>
      </c>
      <c r="B1261" s="381"/>
      <c r="C1261" s="381"/>
      <c r="D1261" s="381"/>
      <c r="E1261" s="381"/>
      <c r="F1261" s="885"/>
      <c r="G1261" s="920"/>
      <c r="H1261" s="885"/>
      <c r="I1261" s="885"/>
      <c r="J1261" s="885"/>
      <c r="K1261" s="885"/>
      <c r="L1261" s="885"/>
      <c r="M1261" s="885"/>
      <c r="N1261" s="885"/>
      <c r="O1261" s="885"/>
      <c r="P1261" s="381"/>
      <c r="Q1261" s="381"/>
      <c r="R1261" s="381"/>
      <c r="T1261" s="66"/>
    </row>
    <row r="1262" spans="1:20" x14ac:dyDescent="0.25">
      <c r="A1262" s="431" t="s">
        <v>234</v>
      </c>
      <c r="B1262" s="381"/>
      <c r="C1262" s="381"/>
      <c r="D1262" s="381"/>
      <c r="E1262" s="381"/>
      <c r="F1262" s="885"/>
      <c r="G1262" s="885"/>
      <c r="H1262" s="885"/>
      <c r="I1262" s="885"/>
      <c r="J1262" s="885"/>
      <c r="K1262" s="885"/>
      <c r="L1262" s="885"/>
      <c r="M1262" s="885"/>
      <c r="N1262" s="885"/>
      <c r="O1262" s="885"/>
      <c r="P1262" s="381"/>
      <c r="Q1262" s="381"/>
      <c r="R1262" s="381"/>
      <c r="T1262" s="66"/>
    </row>
    <row r="1263" spans="1:20" x14ac:dyDescent="0.25">
      <c r="A1263" s="431" t="s">
        <v>211</v>
      </c>
      <c r="B1263" s="381"/>
      <c r="C1263" s="381"/>
      <c r="D1263" s="381"/>
      <c r="E1263" s="381"/>
      <c r="F1263" s="885"/>
      <c r="G1263" s="885"/>
      <c r="H1263" s="885"/>
      <c r="I1263" s="885"/>
      <c r="J1263" s="885"/>
      <c r="K1263" s="885"/>
      <c r="L1263" s="885"/>
      <c r="M1263" s="885"/>
      <c r="N1263" s="885"/>
      <c r="O1263" s="885"/>
      <c r="P1263" s="381"/>
      <c r="Q1263" s="381"/>
      <c r="R1263" s="381"/>
      <c r="T1263" s="66"/>
    </row>
    <row r="1264" spans="1:20" x14ac:dyDescent="0.25">
      <c r="A1264" s="431" t="s">
        <v>277</v>
      </c>
      <c r="B1264" s="381"/>
      <c r="C1264" s="381"/>
      <c r="D1264" s="381"/>
      <c r="E1264" s="381"/>
      <c r="F1264" s="885"/>
      <c r="G1264" s="885"/>
      <c r="H1264" s="885"/>
      <c r="I1264" s="885"/>
      <c r="J1264" s="885"/>
      <c r="K1264" s="885"/>
      <c r="L1264" s="885"/>
      <c r="M1264" s="885"/>
      <c r="N1264" s="885"/>
      <c r="O1264" s="885"/>
      <c r="P1264" s="381"/>
      <c r="Q1264" s="381"/>
      <c r="R1264" s="381"/>
      <c r="T1264" s="66"/>
    </row>
    <row r="1265" spans="1:20" ht="13.4" customHeight="1" x14ac:dyDescent="0.25">
      <c r="A1265" s="431" t="s">
        <v>375</v>
      </c>
      <c r="B1265" s="381"/>
      <c r="C1265" s="381"/>
      <c r="D1265" s="381"/>
      <c r="E1265" s="381"/>
      <c r="F1265" s="885"/>
      <c r="G1265" s="885"/>
      <c r="H1265" s="885"/>
      <c r="I1265" s="885"/>
      <c r="J1265" s="885"/>
      <c r="K1265" s="885"/>
      <c r="L1265" s="885"/>
      <c r="M1265" s="885"/>
      <c r="N1265" s="885"/>
      <c r="O1265" s="885"/>
      <c r="P1265" s="381"/>
      <c r="Q1265" s="381"/>
      <c r="R1265" s="381"/>
      <c r="T1265" s="66"/>
    </row>
    <row r="1266" spans="1:20" ht="13.4" customHeight="1" x14ac:dyDescent="0.25">
      <c r="A1266" s="431" t="s">
        <v>570</v>
      </c>
      <c r="B1266" s="381"/>
      <c r="C1266" s="381"/>
      <c r="D1266" s="381"/>
      <c r="E1266" s="381"/>
      <c r="F1266" s="885"/>
      <c r="G1266" s="885"/>
      <c r="H1266" s="885"/>
      <c r="I1266" s="885"/>
      <c r="J1266" s="885"/>
      <c r="K1266" s="885"/>
      <c r="L1266" s="885"/>
      <c r="M1266" s="885"/>
      <c r="N1266" s="885"/>
      <c r="O1266" s="885"/>
      <c r="P1266" s="381"/>
      <c r="Q1266" s="381"/>
      <c r="R1266" s="381"/>
      <c r="T1266" s="66"/>
    </row>
    <row r="1267" spans="1:20" ht="13.4" customHeight="1" x14ac:dyDescent="0.25">
      <c r="A1267" s="431" t="s">
        <v>647</v>
      </c>
      <c r="B1267" s="381"/>
      <c r="C1267" s="381"/>
      <c r="D1267" s="381"/>
      <c r="E1267" s="381"/>
      <c r="F1267" s="885"/>
      <c r="G1267" s="885"/>
      <c r="H1267" s="885"/>
      <c r="I1267" s="885"/>
      <c r="J1267" s="885"/>
      <c r="K1267" s="885"/>
      <c r="L1267" s="885"/>
      <c r="M1267" s="885"/>
      <c r="N1267" s="885"/>
      <c r="O1267" s="885"/>
      <c r="P1267" s="381"/>
      <c r="Q1267" s="381"/>
      <c r="R1267" s="381"/>
      <c r="T1267" s="66"/>
    </row>
    <row r="1268" spans="1:20" ht="13.4" customHeight="1" x14ac:dyDescent="0.25">
      <c r="A1268" s="431" t="s">
        <v>591</v>
      </c>
      <c r="B1268" s="381"/>
      <c r="C1268" s="381"/>
      <c r="D1268" s="381"/>
      <c r="E1268" s="381"/>
      <c r="F1268" s="885"/>
      <c r="G1268" s="885"/>
      <c r="H1268" s="885"/>
      <c r="I1268" s="885"/>
      <c r="J1268" s="885"/>
      <c r="K1268" s="885"/>
      <c r="L1268" s="885"/>
      <c r="M1268" s="885"/>
      <c r="N1268" s="885"/>
      <c r="O1268" s="885"/>
      <c r="P1268" s="381"/>
      <c r="Q1268" s="381"/>
      <c r="R1268" s="381"/>
      <c r="T1268" s="66"/>
    </row>
    <row r="1269" spans="1:20" ht="13.4" customHeight="1" x14ac:dyDescent="0.25">
      <c r="A1269" s="431" t="s">
        <v>709</v>
      </c>
      <c r="B1269" s="381"/>
      <c r="C1269" s="381"/>
      <c r="D1269" s="381"/>
      <c r="E1269" s="381"/>
      <c r="F1269" s="885"/>
      <c r="G1269" s="885"/>
      <c r="H1269" s="885"/>
      <c r="I1269" s="885"/>
      <c r="J1269" s="885"/>
      <c r="K1269" s="885"/>
      <c r="L1269" s="885"/>
      <c r="M1269" s="885"/>
      <c r="N1269" s="885"/>
      <c r="O1269" s="885"/>
      <c r="P1269" s="381"/>
      <c r="Q1269" s="381"/>
      <c r="R1269" s="381"/>
      <c r="T1269" s="66"/>
    </row>
    <row r="1270" spans="1:20" ht="13.4" customHeight="1" x14ac:dyDescent="0.25">
      <c r="A1270" s="431" t="s">
        <v>810</v>
      </c>
      <c r="B1270" s="381"/>
      <c r="C1270" s="381"/>
      <c r="D1270" s="381"/>
      <c r="E1270" s="381"/>
      <c r="F1270" s="885"/>
      <c r="G1270" s="885"/>
      <c r="H1270" s="885"/>
      <c r="I1270" s="885"/>
      <c r="J1270" s="885"/>
      <c r="K1270" s="885"/>
      <c r="L1270" s="885"/>
      <c r="M1270" s="885"/>
      <c r="N1270" s="885"/>
      <c r="O1270" s="885"/>
      <c r="P1270" s="381"/>
      <c r="Q1270" s="381"/>
      <c r="R1270" s="381"/>
      <c r="T1270" s="66"/>
    </row>
    <row r="1271" spans="1:20" ht="13.4" customHeight="1" x14ac:dyDescent="0.25">
      <c r="A1271" s="453" t="s">
        <v>1029</v>
      </c>
      <c r="B1271" s="418"/>
      <c r="C1271" s="418"/>
      <c r="D1271" s="418"/>
      <c r="E1271" s="418"/>
      <c r="F1271" s="904"/>
      <c r="G1271" s="904"/>
      <c r="H1271" s="904"/>
      <c r="I1271" s="904"/>
      <c r="J1271" s="904"/>
      <c r="K1271" s="904"/>
      <c r="L1271" s="904"/>
      <c r="M1271" s="904"/>
      <c r="N1271" s="904"/>
      <c r="O1271" s="904"/>
      <c r="P1271" s="418"/>
      <c r="Q1271" s="418"/>
      <c r="R1271" s="418"/>
      <c r="T1271" s="66"/>
    </row>
    <row r="1272" spans="1:20" ht="13.4" customHeight="1" x14ac:dyDescent="0.25">
      <c r="A1272" s="467" t="s">
        <v>1196</v>
      </c>
      <c r="B1272" s="418"/>
      <c r="C1272" s="418"/>
      <c r="D1272" s="418"/>
      <c r="E1272" s="418"/>
      <c r="F1272" s="904"/>
      <c r="G1272" s="904"/>
      <c r="H1272" s="904"/>
      <c r="I1272" s="904"/>
      <c r="J1272" s="904"/>
      <c r="K1272" s="904"/>
      <c r="L1272" s="904"/>
      <c r="M1272" s="904"/>
      <c r="N1272" s="904"/>
      <c r="O1272" s="904"/>
      <c r="P1272" s="418"/>
      <c r="Q1272" s="418"/>
      <c r="R1272" s="418"/>
      <c r="T1272" s="66"/>
    </row>
    <row r="1273" spans="1:20" ht="13.4" customHeight="1" x14ac:dyDescent="0.25">
      <c r="A1273" s="468" t="s">
        <v>1336</v>
      </c>
      <c r="B1273" s="469"/>
      <c r="C1273" s="469"/>
      <c r="D1273" s="469"/>
      <c r="E1273" s="469"/>
      <c r="F1273" s="927"/>
      <c r="G1273" s="927"/>
      <c r="H1273" s="927"/>
      <c r="I1273" s="927"/>
      <c r="J1273" s="927"/>
      <c r="K1273" s="927"/>
      <c r="L1273" s="927"/>
      <c r="M1273" s="927"/>
      <c r="N1273" s="927"/>
      <c r="O1273" s="927"/>
      <c r="P1273" s="469"/>
      <c r="Q1273" s="469"/>
      <c r="R1273" s="469"/>
      <c r="S1273" s="73"/>
      <c r="T1273" s="45"/>
    </row>
    <row r="1274" spans="1:20" x14ac:dyDescent="0.25">
      <c r="A1274" s="362"/>
      <c r="C1274" s="387"/>
    </row>
    <row r="1275" spans="1:20" x14ac:dyDescent="0.25">
      <c r="A1275" s="461" t="s">
        <v>14</v>
      </c>
      <c r="B1275" s="396" t="s">
        <v>74</v>
      </c>
      <c r="C1275" s="459" t="s">
        <v>15</v>
      </c>
      <c r="D1275" s="381"/>
      <c r="E1275" s="381"/>
      <c r="F1275" s="885"/>
      <c r="G1275" s="885"/>
      <c r="H1275" s="885"/>
      <c r="I1275" s="885"/>
      <c r="J1275" s="885"/>
      <c r="K1275" s="885"/>
      <c r="L1275" s="885"/>
      <c r="M1275" s="885"/>
      <c r="N1275" s="885"/>
    </row>
    <row r="1276" spans="1:20" x14ac:dyDescent="0.25">
      <c r="A1276" s="462" t="s">
        <v>16</v>
      </c>
      <c r="B1276" s="463">
        <v>2008</v>
      </c>
      <c r="C1276" s="464">
        <v>2009</v>
      </c>
      <c r="D1276" s="464">
        <v>2010</v>
      </c>
      <c r="E1276" s="464">
        <v>2011</v>
      </c>
      <c r="F1276" s="923">
        <v>2012</v>
      </c>
      <c r="G1276" s="923">
        <v>2013</v>
      </c>
      <c r="H1276" s="923">
        <v>2014</v>
      </c>
      <c r="I1276" s="923">
        <v>2015</v>
      </c>
      <c r="J1276" s="923">
        <v>2016</v>
      </c>
      <c r="K1276" s="923">
        <v>2017</v>
      </c>
      <c r="L1276" s="923">
        <v>2018</v>
      </c>
      <c r="M1276" s="923">
        <v>2019</v>
      </c>
      <c r="N1276" s="923">
        <v>2020</v>
      </c>
      <c r="O1276" s="923">
        <v>2021</v>
      </c>
      <c r="P1276" s="210">
        <v>2022</v>
      </c>
      <c r="Q1276" s="210">
        <v>2023</v>
      </c>
      <c r="R1276" s="210">
        <v>2024</v>
      </c>
      <c r="S1276" s="210">
        <v>2025</v>
      </c>
      <c r="T1276" s="210">
        <v>2026</v>
      </c>
    </row>
    <row r="1277" spans="1:20" x14ac:dyDescent="0.25">
      <c r="A1277" s="400" t="s">
        <v>17</v>
      </c>
      <c r="B1277" s="424">
        <v>839.5</v>
      </c>
      <c r="C1277" s="424">
        <v>839.5</v>
      </c>
      <c r="D1277" s="424">
        <v>839.5</v>
      </c>
      <c r="E1277" s="424">
        <v>839.5</v>
      </c>
      <c r="F1277" s="926">
        <v>503.7</v>
      </c>
      <c r="G1277" s="926">
        <v>390</v>
      </c>
      <c r="H1277" s="926">
        <v>390</v>
      </c>
      <c r="I1277" s="926">
        <v>390</v>
      </c>
      <c r="J1277" s="926">
        <v>390</v>
      </c>
      <c r="K1277" s="926">
        <v>390</v>
      </c>
      <c r="L1277" s="926">
        <v>390</v>
      </c>
      <c r="M1277" s="926">
        <v>390</v>
      </c>
      <c r="N1277" s="926">
        <v>328.1</v>
      </c>
      <c r="O1277" s="926">
        <v>328.1</v>
      </c>
      <c r="P1277" s="30">
        <v>328.1</v>
      </c>
      <c r="Q1277" s="30">
        <v>328.1</v>
      </c>
      <c r="R1277" s="30">
        <v>328.1</v>
      </c>
      <c r="S1277" s="30">
        <v>328.1</v>
      </c>
      <c r="T1277" s="30">
        <v>328.1</v>
      </c>
    </row>
    <row r="1278" spans="1:20" x14ac:dyDescent="0.25">
      <c r="A1278" s="403" t="s">
        <v>18</v>
      </c>
      <c r="B1278" s="424">
        <v>839.5</v>
      </c>
      <c r="C1278" s="424">
        <v>839.5</v>
      </c>
      <c r="D1278" s="424">
        <v>839.5</v>
      </c>
      <c r="E1278" s="424">
        <v>839.5</v>
      </c>
      <c r="F1278" s="908">
        <v>503.7</v>
      </c>
      <c r="G1278" s="926">
        <v>390</v>
      </c>
      <c r="H1278" s="926">
        <v>390</v>
      </c>
      <c r="I1278" s="926">
        <v>429</v>
      </c>
      <c r="J1278" s="926">
        <v>429</v>
      </c>
      <c r="K1278" s="926">
        <v>429</v>
      </c>
      <c r="L1278" s="926">
        <v>406.6</v>
      </c>
      <c r="M1278" s="926">
        <v>429</v>
      </c>
      <c r="N1278" s="926">
        <v>367.1</v>
      </c>
      <c r="O1278" s="926">
        <v>367.1</v>
      </c>
      <c r="P1278" s="30"/>
      <c r="Q1278" s="30"/>
      <c r="R1278" s="30">
        <f>R1277+P1281</f>
        <v>285.10000000000002</v>
      </c>
      <c r="S1278" s="30">
        <v>328.1</v>
      </c>
      <c r="T1278" s="30">
        <v>328.1</v>
      </c>
    </row>
    <row r="1279" spans="1:20" x14ac:dyDescent="0.25">
      <c r="A1279" s="403" t="s">
        <v>19</v>
      </c>
      <c r="B1279" s="424"/>
      <c r="C1279" s="470"/>
      <c r="D1279" s="424"/>
      <c r="E1279" s="465"/>
      <c r="F1279" s="926"/>
      <c r="G1279" s="926"/>
      <c r="H1279" s="926"/>
      <c r="I1279" s="926"/>
      <c r="J1279" s="926"/>
      <c r="K1279" s="926"/>
      <c r="L1279" s="926"/>
      <c r="M1279" s="926"/>
      <c r="N1279" s="926"/>
      <c r="O1279" s="926"/>
      <c r="P1279" s="30"/>
      <c r="Q1279" s="30"/>
      <c r="R1279" s="30"/>
      <c r="S1279" s="30"/>
      <c r="T1279" s="30"/>
    </row>
    <row r="1280" spans="1:20" x14ac:dyDescent="0.25">
      <c r="A1280" s="403" t="s">
        <v>20</v>
      </c>
      <c r="B1280" s="424">
        <v>704.14</v>
      </c>
      <c r="C1280" s="424">
        <v>553.45920000000001</v>
      </c>
      <c r="D1280" s="424">
        <v>425.98559999999998</v>
      </c>
      <c r="E1280" s="424">
        <v>478</v>
      </c>
      <c r="F1280" s="926">
        <v>305.5</v>
      </c>
      <c r="G1280" s="926">
        <v>231.5</v>
      </c>
      <c r="H1280" s="926">
        <v>288.8</v>
      </c>
      <c r="I1280" s="926">
        <v>261.5</v>
      </c>
      <c r="J1280" s="926">
        <v>412.4</v>
      </c>
      <c r="K1280" s="926">
        <v>308.10000000000002</v>
      </c>
      <c r="L1280" s="926">
        <v>352.2</v>
      </c>
      <c r="M1280" s="926">
        <v>336.88949500000001</v>
      </c>
      <c r="N1280" s="926">
        <v>285.10000000000002</v>
      </c>
      <c r="O1280" s="926">
        <v>289.39999999999998</v>
      </c>
      <c r="P1280" s="30">
        <v>371.1</v>
      </c>
      <c r="Q1280" s="30">
        <v>303.8</v>
      </c>
      <c r="R1280" s="30">
        <v>246.4</v>
      </c>
      <c r="S1280" s="30">
        <v>277.89999999999998</v>
      </c>
      <c r="T1280" s="30"/>
    </row>
    <row r="1281" spans="1:20" x14ac:dyDescent="0.25">
      <c r="A1281" s="403" t="s">
        <v>21</v>
      </c>
      <c r="B1281" s="424">
        <v>135.36000000000001</v>
      </c>
      <c r="C1281" s="424">
        <v>286.04079999999999</v>
      </c>
      <c r="D1281" s="424">
        <v>413.51440000000002</v>
      </c>
      <c r="E1281" s="424">
        <v>361.5</v>
      </c>
      <c r="F1281" s="908">
        <v>198.2</v>
      </c>
      <c r="G1281" s="926">
        <v>158.5</v>
      </c>
      <c r="H1281" s="926">
        <v>101.19999999999999</v>
      </c>
      <c r="I1281" s="926">
        <v>167.5</v>
      </c>
      <c r="J1281" s="926">
        <v>16.600000000000023</v>
      </c>
      <c r="K1281" s="926">
        <v>120.89999999999998</v>
      </c>
      <c r="L1281" s="926">
        <v>54.400000000000034</v>
      </c>
      <c r="M1281" s="926">
        <v>92.110504999999989</v>
      </c>
      <c r="N1281" s="926">
        <f>N1278-N1280</f>
        <v>82</v>
      </c>
      <c r="O1281" s="926">
        <f>O1278-O1280</f>
        <v>77.700000000000045</v>
      </c>
      <c r="P1281" s="30">
        <f>P1277-P1280</f>
        <v>-43</v>
      </c>
      <c r="Q1281" s="30">
        <f>Q1277-Q1280</f>
        <v>24.300000000000011</v>
      </c>
      <c r="R1281" s="30">
        <f>R1278-R1280</f>
        <v>38.700000000000017</v>
      </c>
      <c r="S1281" s="30">
        <f>S1278-S1280</f>
        <v>50.200000000000045</v>
      </c>
      <c r="T1281" s="30"/>
    </row>
    <row r="1282" spans="1:20" x14ac:dyDescent="0.25">
      <c r="A1282" s="408" t="s">
        <v>22</v>
      </c>
      <c r="B1282" s="452"/>
      <c r="C1282" s="411"/>
      <c r="D1282" s="452"/>
      <c r="E1282" s="471"/>
      <c r="F1282" s="928"/>
      <c r="G1282" s="928"/>
      <c r="H1282" s="928"/>
      <c r="I1282" s="928"/>
      <c r="J1282" s="928"/>
      <c r="K1282" s="928"/>
      <c r="L1282" s="928"/>
      <c r="M1282" s="929"/>
      <c r="N1282" s="929"/>
      <c r="O1282" s="929"/>
      <c r="P1282" s="90"/>
      <c r="Q1282" s="90"/>
      <c r="R1282" s="90"/>
      <c r="S1282" s="90"/>
      <c r="T1282" s="90"/>
    </row>
    <row r="1283" spans="1:20" x14ac:dyDescent="0.25">
      <c r="A1283" s="408" t="s">
        <v>179</v>
      </c>
      <c r="B1283" s="411"/>
      <c r="C1283" s="411"/>
      <c r="D1283" s="411"/>
      <c r="E1283" s="411"/>
      <c r="F1283" s="903"/>
      <c r="G1283" s="903"/>
      <c r="H1283" s="903"/>
      <c r="I1283" s="903"/>
      <c r="J1283" s="903"/>
      <c r="K1283" s="903"/>
      <c r="L1283" s="903"/>
      <c r="M1283" s="903"/>
      <c r="N1283" s="903"/>
      <c r="O1283" s="903"/>
      <c r="P1283" s="37"/>
      <c r="Q1283" s="37"/>
      <c r="R1283" s="37"/>
      <c r="S1283" s="37"/>
      <c r="T1283" s="40"/>
    </row>
    <row r="1284" spans="1:20" x14ac:dyDescent="0.25">
      <c r="A1284" s="408" t="s">
        <v>198</v>
      </c>
      <c r="B1284" s="411"/>
      <c r="C1284" s="411"/>
      <c r="D1284" s="411"/>
      <c r="E1284" s="411"/>
      <c r="F1284" s="903"/>
      <c r="G1284" s="903"/>
      <c r="H1284" s="903"/>
      <c r="I1284" s="903"/>
      <c r="J1284" s="903"/>
      <c r="K1284" s="903"/>
      <c r="L1284" s="903"/>
      <c r="M1284" s="903"/>
      <c r="N1284" s="903"/>
      <c r="O1284" s="903"/>
      <c r="P1284" s="37"/>
      <c r="Q1284" s="37"/>
      <c r="R1284" s="37"/>
      <c r="S1284" s="37"/>
      <c r="T1284" s="40"/>
    </row>
    <row r="1285" spans="1:20" x14ac:dyDescent="0.25">
      <c r="A1285" s="413" t="s">
        <v>199</v>
      </c>
      <c r="B1285" s="381"/>
      <c r="C1285" s="381"/>
      <c r="D1285" s="381"/>
      <c r="E1285" s="381"/>
      <c r="F1285" s="885"/>
      <c r="G1285" s="885"/>
      <c r="H1285" s="885"/>
      <c r="I1285" s="885"/>
      <c r="J1285" s="885"/>
      <c r="K1285" s="885"/>
      <c r="L1285" s="885"/>
      <c r="M1285" s="885"/>
      <c r="N1285" s="885"/>
      <c r="O1285" s="885"/>
      <c r="T1285" s="66"/>
    </row>
    <row r="1286" spans="1:20" x14ac:dyDescent="0.25">
      <c r="A1286" s="413" t="s">
        <v>239</v>
      </c>
      <c r="B1286" s="381"/>
      <c r="C1286" s="381"/>
      <c r="D1286" s="381"/>
      <c r="E1286" s="381"/>
      <c r="F1286" s="885"/>
      <c r="G1286" s="885"/>
      <c r="H1286" s="885"/>
      <c r="I1286" s="885"/>
      <c r="J1286" s="885"/>
      <c r="K1286" s="885"/>
      <c r="L1286" s="885"/>
      <c r="M1286" s="885"/>
      <c r="N1286" s="885"/>
      <c r="O1286" s="885"/>
      <c r="T1286" s="66"/>
    </row>
    <row r="1287" spans="1:20" x14ac:dyDescent="0.25">
      <c r="A1287" s="413" t="s">
        <v>240</v>
      </c>
      <c r="B1287" s="381"/>
      <c r="C1287" s="381"/>
      <c r="D1287" s="381"/>
      <c r="E1287" s="381"/>
      <c r="F1287" s="885"/>
      <c r="G1287" s="885"/>
      <c r="H1287" s="905"/>
      <c r="I1287" s="885"/>
      <c r="J1287" s="885"/>
      <c r="K1287" s="885"/>
      <c r="L1287" s="885"/>
      <c r="M1287" s="885"/>
      <c r="N1287" s="885"/>
      <c r="O1287" s="885"/>
      <c r="T1287" s="66"/>
    </row>
    <row r="1288" spans="1:20" x14ac:dyDescent="0.25">
      <c r="A1288" s="413" t="s">
        <v>279</v>
      </c>
      <c r="B1288" s="381"/>
      <c r="C1288" s="381"/>
      <c r="D1288" s="381"/>
      <c r="E1288" s="381"/>
      <c r="F1288" s="885"/>
      <c r="G1288" s="885"/>
      <c r="H1288" s="905"/>
      <c r="I1288" s="885"/>
      <c r="J1288" s="885"/>
      <c r="K1288" s="885"/>
      <c r="L1288" s="885"/>
      <c r="M1288" s="885"/>
      <c r="N1288" s="885"/>
      <c r="O1288" s="885"/>
      <c r="T1288" s="66"/>
    </row>
    <row r="1289" spans="1:20" x14ac:dyDescent="0.25">
      <c r="A1289" s="413" t="s">
        <v>280</v>
      </c>
      <c r="B1289" s="381"/>
      <c r="C1289" s="381"/>
      <c r="D1289" s="381"/>
      <c r="E1289" s="381"/>
      <c r="F1289" s="885"/>
      <c r="G1289" s="885"/>
      <c r="H1289" s="905"/>
      <c r="I1289" s="885"/>
      <c r="J1289" s="885"/>
      <c r="K1289" s="885"/>
      <c r="L1289" s="885"/>
      <c r="M1289" s="885"/>
      <c r="N1289" s="885"/>
      <c r="O1289" s="885"/>
      <c r="T1289" s="66"/>
    </row>
    <row r="1290" spans="1:20" x14ac:dyDescent="0.25">
      <c r="A1290" s="413" t="s">
        <v>281</v>
      </c>
      <c r="B1290" s="381"/>
      <c r="C1290" s="381"/>
      <c r="D1290" s="381"/>
      <c r="E1290" s="381"/>
      <c r="F1290" s="885"/>
      <c r="G1290" s="885"/>
      <c r="H1290" s="905"/>
      <c r="I1290" s="885"/>
      <c r="J1290" s="885"/>
      <c r="K1290" s="885"/>
      <c r="L1290" s="885"/>
      <c r="M1290" s="885"/>
      <c r="N1290" s="885"/>
      <c r="O1290" s="885"/>
      <c r="T1290" s="66"/>
    </row>
    <row r="1291" spans="1:20" x14ac:dyDescent="0.25">
      <c r="A1291" s="413" t="s">
        <v>465</v>
      </c>
      <c r="B1291" s="381"/>
      <c r="C1291" s="381"/>
      <c r="D1291" s="381"/>
      <c r="E1291" s="381"/>
      <c r="F1291" s="885"/>
      <c r="G1291" s="885"/>
      <c r="H1291" s="905"/>
      <c r="I1291" s="885"/>
      <c r="J1291" s="885"/>
      <c r="K1291" s="885"/>
      <c r="L1291" s="885"/>
      <c r="M1291" s="885"/>
      <c r="N1291" s="885"/>
      <c r="O1291" s="885"/>
      <c r="T1291" s="66"/>
    </row>
    <row r="1292" spans="1:20" x14ac:dyDescent="0.25">
      <c r="A1292" s="413" t="s">
        <v>648</v>
      </c>
      <c r="B1292" s="381"/>
      <c r="C1292" s="381"/>
      <c r="D1292" s="381"/>
      <c r="E1292" s="381"/>
      <c r="F1292" s="885"/>
      <c r="G1292" s="885"/>
      <c r="H1292" s="905"/>
      <c r="I1292" s="885"/>
      <c r="J1292" s="885"/>
      <c r="K1292" s="885"/>
      <c r="L1292" s="885"/>
      <c r="M1292" s="885"/>
      <c r="N1292" s="885"/>
      <c r="O1292" s="885"/>
      <c r="T1292" s="66"/>
    </row>
    <row r="1293" spans="1:20" x14ac:dyDescent="0.25">
      <c r="A1293" s="413" t="s">
        <v>811</v>
      </c>
      <c r="B1293" s="381"/>
      <c r="C1293" s="381"/>
      <c r="D1293" s="381"/>
      <c r="E1293" s="381"/>
      <c r="F1293" s="885"/>
      <c r="G1293" s="885"/>
      <c r="H1293" s="905"/>
      <c r="I1293" s="885"/>
      <c r="J1293" s="885"/>
      <c r="K1293" s="885"/>
      <c r="L1293" s="885"/>
      <c r="M1293" s="885"/>
      <c r="N1293" s="885"/>
      <c r="O1293" s="885"/>
      <c r="T1293" s="66"/>
    </row>
    <row r="1294" spans="1:20" x14ac:dyDescent="0.25">
      <c r="A1294" s="413" t="s">
        <v>885</v>
      </c>
      <c r="B1294" s="381"/>
      <c r="C1294" s="381"/>
      <c r="D1294" s="381"/>
      <c r="E1294" s="381"/>
      <c r="F1294" s="885"/>
      <c r="G1294" s="885"/>
      <c r="H1294" s="905"/>
      <c r="I1294" s="885"/>
      <c r="J1294" s="885"/>
      <c r="K1294" s="885"/>
      <c r="L1294" s="885"/>
      <c r="M1294" s="885"/>
      <c r="N1294" s="885"/>
      <c r="O1294" s="885"/>
      <c r="T1294" s="66"/>
    </row>
    <row r="1295" spans="1:20" x14ac:dyDescent="0.25">
      <c r="A1295" s="413" t="s">
        <v>1161</v>
      </c>
      <c r="B1295" s="381"/>
      <c r="C1295" s="381"/>
      <c r="D1295" s="381"/>
      <c r="E1295" s="381"/>
      <c r="F1295" s="885"/>
      <c r="G1295" s="885"/>
      <c r="H1295" s="905"/>
      <c r="I1295" s="885"/>
      <c r="J1295" s="885"/>
      <c r="K1295" s="885"/>
      <c r="L1295" s="885"/>
      <c r="M1295" s="885"/>
      <c r="N1295" s="885"/>
      <c r="O1295" s="885"/>
      <c r="T1295" s="66"/>
    </row>
    <row r="1296" spans="1:20" x14ac:dyDescent="0.25">
      <c r="A1296" s="472" t="s">
        <v>1337</v>
      </c>
      <c r="B1296" s="421"/>
      <c r="C1296" s="421"/>
      <c r="D1296" s="421"/>
      <c r="E1296" s="421"/>
      <c r="F1296" s="907"/>
      <c r="G1296" s="907"/>
      <c r="H1296" s="930"/>
      <c r="I1296" s="907"/>
      <c r="J1296" s="907"/>
      <c r="K1296" s="907"/>
      <c r="L1296" s="907"/>
      <c r="M1296" s="907"/>
      <c r="N1296" s="907"/>
      <c r="O1296" s="907"/>
      <c r="P1296" s="73"/>
      <c r="Q1296" s="73"/>
      <c r="R1296" s="73"/>
      <c r="S1296" s="73"/>
      <c r="T1296" s="45"/>
    </row>
    <row r="1297" spans="1:20" x14ac:dyDescent="0.25">
      <c r="A1297" s="362"/>
      <c r="C1297" s="387"/>
    </row>
    <row r="1298" spans="1:20" x14ac:dyDescent="0.25">
      <c r="A1298" s="395" t="s">
        <v>14</v>
      </c>
      <c r="B1298" s="396" t="s">
        <v>79</v>
      </c>
      <c r="C1298" s="459" t="s">
        <v>15</v>
      </c>
      <c r="D1298" s="381"/>
      <c r="E1298" s="381"/>
      <c r="F1298" s="885"/>
      <c r="G1298" s="885"/>
      <c r="H1298" s="885"/>
      <c r="I1298" s="885"/>
      <c r="J1298" s="885"/>
      <c r="K1298" s="885"/>
      <c r="L1298" s="885"/>
      <c r="M1298" s="885"/>
      <c r="N1298" s="885"/>
    </row>
    <row r="1299" spans="1:20" x14ac:dyDescent="0.25">
      <c r="A1299" s="403" t="s">
        <v>16</v>
      </c>
      <c r="B1299" s="402">
        <v>2008</v>
      </c>
      <c r="C1299" s="402">
        <v>2009</v>
      </c>
      <c r="D1299" s="402">
        <v>2010</v>
      </c>
      <c r="E1299" s="402">
        <v>2011</v>
      </c>
      <c r="F1299" s="899">
        <v>2012</v>
      </c>
      <c r="G1299" s="899">
        <v>2013</v>
      </c>
      <c r="H1299" s="899">
        <v>2014</v>
      </c>
      <c r="I1299" s="899">
        <v>2015</v>
      </c>
      <c r="J1299" s="899">
        <v>2016</v>
      </c>
      <c r="K1299" s="899">
        <v>2017</v>
      </c>
      <c r="L1299" s="899">
        <v>2018</v>
      </c>
      <c r="M1299" s="899">
        <v>2019</v>
      </c>
      <c r="N1299" s="899">
        <v>2020</v>
      </c>
      <c r="O1299" s="899">
        <v>2021</v>
      </c>
      <c r="P1299" s="210">
        <v>2022</v>
      </c>
      <c r="Q1299" s="210">
        <v>2023</v>
      </c>
      <c r="R1299" s="210">
        <v>2024</v>
      </c>
      <c r="S1299" s="210">
        <v>2025</v>
      </c>
      <c r="T1299" s="210">
        <v>2026</v>
      </c>
    </row>
    <row r="1300" spans="1:20" x14ac:dyDescent="0.25">
      <c r="A1300" s="403" t="s">
        <v>17</v>
      </c>
      <c r="B1300" s="424">
        <v>37</v>
      </c>
      <c r="C1300" s="424">
        <v>37</v>
      </c>
      <c r="D1300" s="424">
        <v>37</v>
      </c>
      <c r="E1300" s="424">
        <v>37</v>
      </c>
      <c r="F1300" s="908">
        <v>33.6</v>
      </c>
      <c r="G1300" s="908">
        <v>35</v>
      </c>
      <c r="H1300" s="908">
        <v>35</v>
      </c>
      <c r="I1300" s="908">
        <v>35</v>
      </c>
      <c r="J1300" s="908">
        <v>35</v>
      </c>
      <c r="K1300" s="908">
        <v>35</v>
      </c>
      <c r="L1300" s="908">
        <v>35</v>
      </c>
      <c r="M1300" s="908">
        <v>35</v>
      </c>
      <c r="N1300" s="908">
        <v>35</v>
      </c>
      <c r="O1300" s="908">
        <v>35</v>
      </c>
      <c r="P1300" s="30">
        <v>35</v>
      </c>
      <c r="Q1300" s="30">
        <v>35</v>
      </c>
      <c r="R1300" s="30">
        <v>35</v>
      </c>
      <c r="S1300" s="30">
        <v>35</v>
      </c>
      <c r="T1300" s="30">
        <v>35</v>
      </c>
    </row>
    <row r="1301" spans="1:20" x14ac:dyDescent="0.25">
      <c r="A1301" s="403" t="s">
        <v>18</v>
      </c>
      <c r="B1301" s="424">
        <v>37</v>
      </c>
      <c r="C1301" s="424">
        <v>37</v>
      </c>
      <c r="D1301" s="424">
        <v>37</v>
      </c>
      <c r="E1301" s="424">
        <v>37</v>
      </c>
      <c r="F1301" s="908">
        <v>33.6</v>
      </c>
      <c r="G1301" s="908">
        <v>35</v>
      </c>
      <c r="H1301" s="908">
        <v>35</v>
      </c>
      <c r="I1301" s="908">
        <v>42</v>
      </c>
      <c r="J1301" s="908">
        <v>42</v>
      </c>
      <c r="K1301" s="908">
        <v>42</v>
      </c>
      <c r="L1301" s="908">
        <v>42</v>
      </c>
      <c r="M1301" s="908">
        <v>42</v>
      </c>
      <c r="N1301" s="908">
        <v>42</v>
      </c>
      <c r="O1301" s="908">
        <v>42</v>
      </c>
      <c r="P1301" s="30">
        <v>35</v>
      </c>
      <c r="Q1301" s="30">
        <v>35</v>
      </c>
      <c r="R1301" s="30">
        <v>35</v>
      </c>
      <c r="S1301" s="30">
        <v>35</v>
      </c>
      <c r="T1301" s="30">
        <v>35</v>
      </c>
    </row>
    <row r="1302" spans="1:20" x14ac:dyDescent="0.25">
      <c r="A1302" s="403" t="s">
        <v>19</v>
      </c>
      <c r="B1302" s="424"/>
      <c r="C1302" s="424"/>
      <c r="D1302" s="424"/>
      <c r="E1302" s="424"/>
      <c r="F1302" s="908"/>
      <c r="G1302" s="908"/>
      <c r="H1302" s="908"/>
      <c r="I1302" s="908"/>
      <c r="J1302" s="908"/>
      <c r="K1302" s="908"/>
      <c r="L1302" s="908"/>
      <c r="M1302" s="908"/>
      <c r="N1302" s="908"/>
      <c r="O1302" s="908"/>
      <c r="P1302" s="30"/>
      <c r="Q1302" s="30"/>
      <c r="R1302" s="30"/>
      <c r="S1302" s="30"/>
      <c r="T1302" s="30"/>
    </row>
    <row r="1303" spans="1:20" x14ac:dyDescent="0.25">
      <c r="A1303" s="403" t="s">
        <v>20</v>
      </c>
      <c r="B1303" s="424">
        <v>28.84</v>
      </c>
      <c r="C1303" s="424">
        <v>28.802399999999999</v>
      </c>
      <c r="D1303" s="424">
        <v>40.781999999999996</v>
      </c>
      <c r="E1303" s="424">
        <v>27.9</v>
      </c>
      <c r="F1303" s="908">
        <v>49.6</v>
      </c>
      <c r="G1303" s="908">
        <v>16.899999999999999</v>
      </c>
      <c r="H1303" s="908">
        <v>5.7</v>
      </c>
      <c r="I1303" s="908">
        <v>9.9</v>
      </c>
      <c r="J1303" s="908">
        <v>12.6</v>
      </c>
      <c r="K1303" s="908">
        <v>9.1999999999999993</v>
      </c>
      <c r="L1303" s="908">
        <v>14.4</v>
      </c>
      <c r="M1303" s="908">
        <v>10.852466</v>
      </c>
      <c r="N1303" s="908">
        <v>7.9</v>
      </c>
      <c r="O1303" s="908">
        <v>6.1</v>
      </c>
      <c r="P1303" s="30">
        <v>6.4</v>
      </c>
      <c r="Q1303" s="30">
        <v>6.4</v>
      </c>
      <c r="R1303" s="30">
        <v>0.6</v>
      </c>
      <c r="S1303" s="30">
        <v>5.3</v>
      </c>
      <c r="T1303" s="30"/>
    </row>
    <row r="1304" spans="1:20" x14ac:dyDescent="0.25">
      <c r="A1304" s="403" t="s">
        <v>21</v>
      </c>
      <c r="B1304" s="424">
        <v>8.16</v>
      </c>
      <c r="C1304" s="424">
        <v>8.1976000000000013</v>
      </c>
      <c r="D1304" s="424">
        <v>3.782</v>
      </c>
      <c r="E1304" s="424">
        <v>9.1000000000000014</v>
      </c>
      <c r="F1304" s="908">
        <v>16</v>
      </c>
      <c r="G1304" s="908">
        <v>18.100000000000001</v>
      </c>
      <c r="H1304" s="908">
        <v>29.3</v>
      </c>
      <c r="I1304" s="908">
        <v>32.1</v>
      </c>
      <c r="J1304" s="908">
        <v>29.4</v>
      </c>
      <c r="K1304" s="908">
        <v>32.799999999999997</v>
      </c>
      <c r="L1304" s="908">
        <v>27.6</v>
      </c>
      <c r="M1304" s="908">
        <v>31.147534</v>
      </c>
      <c r="N1304" s="908">
        <f>N1301-N1303</f>
        <v>34.1</v>
      </c>
      <c r="O1304" s="908">
        <f>O1301-O1303</f>
        <v>35.9</v>
      </c>
      <c r="P1304" s="30">
        <f>P1300-P1303</f>
        <v>28.6</v>
      </c>
      <c r="Q1304" s="30">
        <f>Q1300-Q1303</f>
        <v>28.6</v>
      </c>
      <c r="R1304" s="30">
        <f>R1300-R1303</f>
        <v>34.4</v>
      </c>
      <c r="S1304" s="30">
        <f>S1300-S1303</f>
        <v>29.7</v>
      </c>
      <c r="T1304" s="30"/>
    </row>
    <row r="1305" spans="1:20" x14ac:dyDescent="0.25">
      <c r="A1305" s="425" t="s">
        <v>22</v>
      </c>
      <c r="B1305" s="473"/>
      <c r="C1305" s="474"/>
      <c r="D1305" s="473"/>
      <c r="E1305" s="475"/>
      <c r="F1305" s="931"/>
      <c r="G1305" s="931"/>
      <c r="H1305" s="932"/>
      <c r="I1305" s="932"/>
      <c r="J1305" s="932"/>
      <c r="K1305" s="932"/>
      <c r="L1305" s="932"/>
      <c r="M1305" s="932"/>
      <c r="N1305" s="932"/>
      <c r="O1305" s="932"/>
      <c r="P1305" s="35"/>
      <c r="Q1305" s="35"/>
      <c r="R1305" s="35"/>
      <c r="S1305" s="35"/>
      <c r="T1305" s="35"/>
    </row>
    <row r="1306" spans="1:20" x14ac:dyDescent="0.25">
      <c r="A1306" s="408" t="s">
        <v>179</v>
      </c>
      <c r="B1306" s="411"/>
      <c r="C1306" s="411"/>
      <c r="D1306" s="411"/>
      <c r="E1306" s="411"/>
      <c r="F1306" s="903"/>
      <c r="G1306" s="903"/>
      <c r="H1306" s="903"/>
      <c r="I1306" s="903"/>
      <c r="J1306" s="903"/>
      <c r="K1306" s="903"/>
      <c r="L1306" s="903"/>
      <c r="M1306" s="903"/>
      <c r="N1306" s="903"/>
      <c r="O1306" s="903"/>
      <c r="P1306" s="37"/>
      <c r="Q1306" s="37"/>
      <c r="R1306" s="37"/>
      <c r="S1306" s="37"/>
      <c r="T1306" s="40"/>
    </row>
    <row r="1307" spans="1:20" x14ac:dyDescent="0.25">
      <c r="A1307" s="408" t="s">
        <v>200</v>
      </c>
      <c r="B1307" s="411"/>
      <c r="C1307" s="411"/>
      <c r="D1307" s="411"/>
      <c r="E1307" s="411"/>
      <c r="F1307" s="903"/>
      <c r="G1307" s="903"/>
      <c r="H1307" s="903"/>
      <c r="I1307" s="903"/>
      <c r="J1307" s="903"/>
      <c r="K1307" s="903"/>
      <c r="L1307" s="903"/>
      <c r="M1307" s="903"/>
      <c r="N1307" s="903"/>
      <c r="O1307" s="903"/>
      <c r="P1307" s="37"/>
      <c r="Q1307" s="37"/>
      <c r="R1307" s="37"/>
      <c r="S1307" s="37"/>
      <c r="T1307" s="40"/>
    </row>
    <row r="1308" spans="1:20" x14ac:dyDescent="0.25">
      <c r="A1308" s="413" t="s">
        <v>201</v>
      </c>
      <c r="B1308" s="381"/>
      <c r="C1308" s="381"/>
      <c r="D1308" s="381"/>
      <c r="E1308" s="381"/>
      <c r="F1308" s="885"/>
      <c r="G1308" s="885"/>
      <c r="H1308" s="885"/>
      <c r="I1308" s="885"/>
      <c r="J1308" s="885"/>
      <c r="K1308" s="885"/>
      <c r="L1308" s="885"/>
      <c r="M1308" s="885"/>
      <c r="N1308" s="885"/>
      <c r="O1308" s="885"/>
      <c r="T1308" s="66"/>
    </row>
    <row r="1309" spans="1:20" x14ac:dyDescent="0.25">
      <c r="A1309" s="413" t="s">
        <v>212</v>
      </c>
      <c r="B1309" s="381"/>
      <c r="C1309" s="381"/>
      <c r="D1309" s="381"/>
      <c r="E1309" s="381"/>
      <c r="F1309" s="885"/>
      <c r="G1309" s="885"/>
      <c r="H1309" s="885"/>
      <c r="I1309" s="885"/>
      <c r="J1309" s="885"/>
      <c r="K1309" s="885"/>
      <c r="L1309" s="885"/>
      <c r="M1309" s="885"/>
      <c r="N1309" s="885"/>
      <c r="O1309" s="885"/>
      <c r="T1309" s="66"/>
    </row>
    <row r="1310" spans="1:20" x14ac:dyDescent="0.25">
      <c r="A1310" s="413" t="s">
        <v>213</v>
      </c>
      <c r="B1310" s="381"/>
      <c r="C1310" s="381"/>
      <c r="D1310" s="381"/>
      <c r="E1310" s="381"/>
      <c r="F1310" s="885"/>
      <c r="G1310" s="885"/>
      <c r="H1310" s="885"/>
      <c r="I1310" s="885"/>
      <c r="J1310" s="885"/>
      <c r="K1310" s="885"/>
      <c r="L1310" s="885"/>
      <c r="M1310" s="885"/>
      <c r="N1310" s="885"/>
      <c r="O1310" s="885"/>
      <c r="T1310" s="66"/>
    </row>
    <row r="1311" spans="1:20" x14ac:dyDescent="0.25">
      <c r="A1311" s="413" t="s">
        <v>214</v>
      </c>
      <c r="B1311" s="381"/>
      <c r="C1311" s="418"/>
      <c r="D1311" s="420"/>
      <c r="E1311" s="419"/>
      <c r="F1311" s="885"/>
      <c r="G1311" s="885"/>
      <c r="H1311" s="905"/>
      <c r="I1311" s="885"/>
      <c r="J1311" s="885"/>
      <c r="K1311" s="885"/>
      <c r="L1311" s="885"/>
      <c r="M1311" s="885"/>
      <c r="N1311" s="885"/>
      <c r="O1311" s="885"/>
      <c r="T1311" s="66"/>
    </row>
    <row r="1312" spans="1:20" x14ac:dyDescent="0.25">
      <c r="A1312" s="413" t="s">
        <v>241</v>
      </c>
      <c r="B1312" s="381"/>
      <c r="C1312" s="381"/>
      <c r="D1312" s="381"/>
      <c r="E1312" s="381"/>
      <c r="F1312" s="885"/>
      <c r="G1312" s="885"/>
      <c r="H1312" s="905"/>
      <c r="I1312" s="885"/>
      <c r="J1312" s="885"/>
      <c r="K1312" s="885"/>
      <c r="L1312" s="885"/>
      <c r="M1312" s="885"/>
      <c r="N1312" s="885"/>
      <c r="O1312" s="885"/>
      <c r="T1312" s="66"/>
    </row>
    <row r="1313" spans="1:20" x14ac:dyDescent="0.25">
      <c r="A1313" s="413" t="s">
        <v>282</v>
      </c>
      <c r="B1313" s="381"/>
      <c r="C1313" s="381"/>
      <c r="D1313" s="381"/>
      <c r="E1313" s="381"/>
      <c r="F1313" s="885"/>
      <c r="G1313" s="885"/>
      <c r="H1313" s="905"/>
      <c r="I1313" s="885"/>
      <c r="J1313" s="885"/>
      <c r="K1313" s="885"/>
      <c r="L1313" s="885"/>
      <c r="M1313" s="885"/>
      <c r="N1313" s="885"/>
      <c r="O1313" s="885"/>
      <c r="T1313" s="66"/>
    </row>
    <row r="1314" spans="1:20" x14ac:dyDescent="0.25">
      <c r="A1314" s="413" t="s">
        <v>283</v>
      </c>
      <c r="B1314" s="381"/>
      <c r="C1314" s="381"/>
      <c r="D1314" s="381"/>
      <c r="E1314" s="381"/>
      <c r="F1314" s="885"/>
      <c r="G1314" s="885"/>
      <c r="H1314" s="905"/>
      <c r="I1314" s="885"/>
      <c r="J1314" s="885"/>
      <c r="K1314" s="885"/>
      <c r="L1314" s="885"/>
      <c r="M1314" s="885"/>
      <c r="N1314" s="885"/>
      <c r="O1314" s="885"/>
      <c r="T1314" s="66"/>
    </row>
    <row r="1315" spans="1:20" x14ac:dyDescent="0.25">
      <c r="A1315" s="413" t="s">
        <v>284</v>
      </c>
      <c r="B1315" s="381"/>
      <c r="C1315" s="381"/>
      <c r="D1315" s="381"/>
      <c r="E1315" s="381"/>
      <c r="F1315" s="885"/>
      <c r="G1315" s="885"/>
      <c r="H1315" s="905"/>
      <c r="I1315" s="885"/>
      <c r="J1315" s="885"/>
      <c r="K1315" s="885"/>
      <c r="L1315" s="885"/>
      <c r="M1315" s="885"/>
      <c r="N1315" s="885"/>
      <c r="O1315" s="885"/>
      <c r="T1315" s="66"/>
    </row>
    <row r="1316" spans="1:20" x14ac:dyDescent="0.25">
      <c r="A1316" s="413" t="s">
        <v>649</v>
      </c>
      <c r="B1316" s="381"/>
      <c r="C1316" s="381"/>
      <c r="D1316" s="381"/>
      <c r="E1316" s="381"/>
      <c r="F1316" s="885"/>
      <c r="G1316" s="885"/>
      <c r="H1316" s="905"/>
      <c r="I1316" s="885"/>
      <c r="J1316" s="885"/>
      <c r="K1316" s="885"/>
      <c r="L1316" s="885"/>
      <c r="M1316" s="885"/>
      <c r="N1316" s="885"/>
      <c r="O1316" s="885"/>
      <c r="T1316" s="66"/>
    </row>
    <row r="1317" spans="1:20" x14ac:dyDescent="0.25">
      <c r="A1317" s="413" t="s">
        <v>812</v>
      </c>
      <c r="B1317" s="381"/>
      <c r="C1317" s="381"/>
      <c r="D1317" s="381"/>
      <c r="E1317" s="381"/>
      <c r="F1317" s="885"/>
      <c r="G1317" s="885"/>
      <c r="H1317" s="905"/>
      <c r="I1317" s="885"/>
      <c r="J1317" s="885"/>
      <c r="K1317" s="885"/>
      <c r="L1317" s="885"/>
      <c r="M1317" s="885"/>
      <c r="N1317" s="885"/>
      <c r="O1317" s="885"/>
      <c r="T1317" s="66"/>
    </row>
    <row r="1318" spans="1:20" x14ac:dyDescent="0.25">
      <c r="A1318" s="476" t="s">
        <v>1162</v>
      </c>
      <c r="B1318" s="381"/>
      <c r="C1318" s="381"/>
      <c r="D1318" s="381"/>
      <c r="E1318" s="381"/>
      <c r="F1318" s="885"/>
      <c r="G1318" s="885"/>
      <c r="H1318" s="905"/>
      <c r="I1318" s="885"/>
      <c r="J1318" s="885"/>
      <c r="K1318" s="885"/>
      <c r="L1318" s="885"/>
      <c r="M1318" s="885"/>
      <c r="N1318" s="885"/>
      <c r="O1318" s="885"/>
      <c r="T1318" s="66"/>
    </row>
    <row r="1319" spans="1:20" x14ac:dyDescent="0.25">
      <c r="A1319" s="476" t="s">
        <v>1163</v>
      </c>
      <c r="B1319" s="381"/>
      <c r="C1319" s="381"/>
      <c r="D1319" s="381"/>
      <c r="E1319" s="381"/>
      <c r="F1319" s="885"/>
      <c r="G1319" s="885"/>
      <c r="H1319" s="905"/>
      <c r="I1319" s="885"/>
      <c r="J1319" s="885"/>
      <c r="K1319" s="885"/>
      <c r="L1319" s="885"/>
      <c r="M1319" s="885"/>
      <c r="N1319" s="885"/>
      <c r="O1319" s="885"/>
      <c r="T1319" s="66"/>
    </row>
    <row r="1320" spans="1:20" x14ac:dyDescent="0.25">
      <c r="A1320" s="472" t="s">
        <v>1338</v>
      </c>
      <c r="B1320" s="421"/>
      <c r="C1320" s="421"/>
      <c r="D1320" s="421"/>
      <c r="E1320" s="421"/>
      <c r="F1320" s="907"/>
      <c r="G1320" s="907"/>
      <c r="H1320" s="907"/>
      <c r="I1320" s="907"/>
      <c r="J1320" s="907"/>
      <c r="K1320" s="907"/>
      <c r="L1320" s="907"/>
      <c r="M1320" s="907"/>
      <c r="N1320" s="907"/>
      <c r="O1320" s="907"/>
      <c r="P1320" s="73"/>
      <c r="Q1320" s="73"/>
      <c r="R1320" s="73"/>
      <c r="S1320" s="73"/>
      <c r="T1320" s="45"/>
    </row>
    <row r="1321" spans="1:20" x14ac:dyDescent="0.25">
      <c r="A1321" s="362"/>
      <c r="C1321" s="387"/>
    </row>
    <row r="1322" spans="1:20" s="265" customFormat="1" x14ac:dyDescent="0.25">
      <c r="A1322" s="395" t="s">
        <v>14</v>
      </c>
      <c r="B1322" s="396" t="s">
        <v>571</v>
      </c>
      <c r="C1322" s="396" t="s">
        <v>15</v>
      </c>
      <c r="D1322" s="381"/>
      <c r="F1322" s="280"/>
      <c r="G1322" s="280"/>
      <c r="H1322" s="280"/>
      <c r="I1322" s="280"/>
      <c r="J1322" s="280"/>
      <c r="K1322" s="280"/>
      <c r="L1322" s="280"/>
      <c r="M1322" s="280"/>
      <c r="N1322" s="280"/>
      <c r="O1322" s="280"/>
    </row>
    <row r="1323" spans="1:20" s="265" customFormat="1" x14ac:dyDescent="0.25">
      <c r="A1323" s="400" t="s">
        <v>16</v>
      </c>
      <c r="B1323" s="401">
        <v>2020</v>
      </c>
      <c r="C1323" s="402">
        <v>2021</v>
      </c>
      <c r="D1323" s="402">
        <v>2022</v>
      </c>
      <c r="E1323" s="402">
        <v>2023</v>
      </c>
      <c r="F1323" s="899">
        <v>2024</v>
      </c>
      <c r="G1323" s="899">
        <v>2025</v>
      </c>
      <c r="H1323" s="899">
        <v>2026</v>
      </c>
      <c r="I1323" s="280"/>
      <c r="J1323" s="280"/>
      <c r="K1323" s="280"/>
      <c r="L1323" s="280"/>
      <c r="M1323" s="280"/>
      <c r="N1323" s="280"/>
      <c r="O1323" s="280"/>
    </row>
    <row r="1324" spans="1:20" s="265" customFormat="1" x14ac:dyDescent="0.25">
      <c r="A1324" s="403" t="s">
        <v>17</v>
      </c>
      <c r="B1324" s="424">
        <v>4010</v>
      </c>
      <c r="C1324" s="424">
        <v>4010</v>
      </c>
      <c r="D1324" s="424">
        <v>4010</v>
      </c>
      <c r="E1324" s="424">
        <v>4010</v>
      </c>
      <c r="F1324" s="908">
        <v>3055</v>
      </c>
      <c r="G1324" s="908">
        <v>3055</v>
      </c>
      <c r="H1324" s="908">
        <v>3055</v>
      </c>
      <c r="I1324" s="280"/>
      <c r="J1324" s="280"/>
      <c r="K1324" s="280"/>
      <c r="L1324" s="280"/>
      <c r="M1324" s="280"/>
      <c r="N1324" s="280"/>
      <c r="O1324" s="280"/>
    </row>
    <row r="1325" spans="1:20" s="265" customFormat="1" x14ac:dyDescent="0.25">
      <c r="A1325" s="403" t="s">
        <v>18</v>
      </c>
      <c r="B1325" s="424"/>
      <c r="C1325" s="424"/>
      <c r="D1325" s="424"/>
      <c r="E1325" s="424"/>
      <c r="F1325" s="908">
        <f>F1324-43</f>
        <v>3012</v>
      </c>
      <c r="G1325" s="908">
        <f>G1324-43</f>
        <v>3012</v>
      </c>
      <c r="H1325" s="908">
        <f>H1324-43</f>
        <v>3012</v>
      </c>
      <c r="I1325" s="280"/>
      <c r="J1325" s="280"/>
      <c r="K1325" s="280"/>
      <c r="L1325" s="280"/>
      <c r="M1325" s="280"/>
      <c r="N1325" s="280"/>
      <c r="O1325" s="280"/>
    </row>
    <row r="1326" spans="1:20" s="265" customFormat="1" x14ac:dyDescent="0.25">
      <c r="A1326" s="403" t="s">
        <v>19</v>
      </c>
      <c r="B1326" s="424"/>
      <c r="C1326" s="424"/>
      <c r="D1326" s="424"/>
      <c r="E1326" s="424"/>
      <c r="F1326" s="908"/>
      <c r="G1326" s="908"/>
      <c r="H1326" s="908"/>
      <c r="I1326" s="280"/>
      <c r="J1326" s="280"/>
      <c r="K1326" s="280"/>
      <c r="L1326" s="280"/>
      <c r="M1326" s="280"/>
      <c r="N1326" s="280"/>
      <c r="O1326" s="280"/>
    </row>
    <row r="1327" spans="1:20" s="265" customFormat="1" x14ac:dyDescent="0.25">
      <c r="A1327" s="403" t="s">
        <v>20</v>
      </c>
      <c r="B1327" s="424">
        <v>1896.6</v>
      </c>
      <c r="C1327" s="424">
        <v>1798</v>
      </c>
      <c r="D1327" s="424">
        <v>2237.3000000000002</v>
      </c>
      <c r="E1327" s="424">
        <v>2254.5</v>
      </c>
      <c r="F1327" s="908">
        <v>2010.9</v>
      </c>
      <c r="G1327" s="908">
        <v>1374</v>
      </c>
      <c r="H1327" s="908"/>
      <c r="I1327" s="280"/>
      <c r="J1327" s="280"/>
      <c r="K1327" s="280"/>
      <c r="L1327" s="280"/>
      <c r="M1327" s="280"/>
      <c r="N1327" s="280"/>
      <c r="O1327" s="280"/>
    </row>
    <row r="1328" spans="1:20" s="265" customFormat="1" x14ac:dyDescent="0.25">
      <c r="A1328" s="403" t="s">
        <v>21</v>
      </c>
      <c r="B1328" s="424">
        <v>2113.4</v>
      </c>
      <c r="C1328" s="424">
        <f>C1324-C1327</f>
        <v>2212</v>
      </c>
      <c r="D1328" s="424">
        <f>D1324-D1327</f>
        <v>1772.6999999999998</v>
      </c>
      <c r="E1328" s="424">
        <f>E1324-E1327</f>
        <v>1755.5</v>
      </c>
      <c r="F1328" s="908">
        <f>F1325-F1327</f>
        <v>1001.0999999999999</v>
      </c>
      <c r="G1328" s="908">
        <f>G1325-G1327</f>
        <v>1638</v>
      </c>
      <c r="H1328" s="908"/>
      <c r="I1328" s="280"/>
      <c r="J1328" s="280"/>
      <c r="K1328" s="280"/>
      <c r="L1328" s="280"/>
      <c r="M1328" s="280"/>
      <c r="N1328" s="280"/>
      <c r="O1328" s="280"/>
    </row>
    <row r="1329" spans="1:16" s="265" customFormat="1" x14ac:dyDescent="0.25">
      <c r="A1329" s="425" t="s">
        <v>22</v>
      </c>
      <c r="B1329" s="473"/>
      <c r="C1329" s="473"/>
      <c r="D1329" s="473"/>
      <c r="E1329" s="473"/>
      <c r="F1329" s="931"/>
      <c r="G1329" s="931"/>
      <c r="H1329" s="931"/>
      <c r="I1329" s="280"/>
      <c r="J1329" s="280"/>
      <c r="K1329" s="280"/>
      <c r="L1329" s="280"/>
      <c r="M1329" s="280"/>
      <c r="N1329" s="280"/>
      <c r="O1329" s="280"/>
    </row>
    <row r="1330" spans="1:16" s="265" customFormat="1" x14ac:dyDescent="0.25">
      <c r="A1330" s="408" t="s">
        <v>23</v>
      </c>
      <c r="B1330" s="411"/>
      <c r="C1330" s="411"/>
      <c r="D1330" s="411"/>
      <c r="E1330" s="411"/>
      <c r="F1330" s="903"/>
      <c r="G1330" s="903"/>
      <c r="H1330" s="806"/>
      <c r="I1330" s="280"/>
      <c r="J1330" s="280"/>
      <c r="K1330" s="280"/>
      <c r="L1330" s="280"/>
      <c r="M1330" s="280"/>
      <c r="N1330" s="280"/>
      <c r="O1330" s="280"/>
    </row>
    <row r="1331" spans="1:16" s="265" customFormat="1" x14ac:dyDescent="0.25">
      <c r="A1331" s="408" t="s">
        <v>813</v>
      </c>
      <c r="B1331" s="411"/>
      <c r="C1331" s="411"/>
      <c r="D1331" s="411"/>
      <c r="E1331" s="411"/>
      <c r="F1331" s="903"/>
      <c r="G1331" s="903"/>
      <c r="H1331" s="806"/>
      <c r="I1331" s="280"/>
      <c r="J1331" s="280"/>
      <c r="K1331" s="280"/>
      <c r="L1331" s="280"/>
      <c r="M1331" s="280"/>
      <c r="N1331" s="280"/>
      <c r="O1331" s="280"/>
    </row>
    <row r="1332" spans="1:16" s="265" customFormat="1" x14ac:dyDescent="0.25">
      <c r="A1332" s="413" t="s">
        <v>650</v>
      </c>
      <c r="B1332" s="381"/>
      <c r="C1332" s="381"/>
      <c r="D1332" s="381"/>
      <c r="E1332" s="381"/>
      <c r="F1332" s="885"/>
      <c r="G1332" s="885"/>
      <c r="H1332" s="807"/>
      <c r="I1332" s="280"/>
      <c r="J1332" s="280"/>
      <c r="K1332" s="280"/>
      <c r="L1332" s="280"/>
      <c r="M1332" s="280"/>
      <c r="N1332" s="280"/>
      <c r="O1332" s="280"/>
    </row>
    <row r="1333" spans="1:16" s="265" customFormat="1" x14ac:dyDescent="0.25">
      <c r="A1333" s="413" t="s">
        <v>651</v>
      </c>
      <c r="B1333" s="381"/>
      <c r="C1333" s="381"/>
      <c r="D1333" s="381"/>
      <c r="E1333" s="381"/>
      <c r="F1333" s="885"/>
      <c r="G1333" s="885"/>
      <c r="H1333" s="807"/>
      <c r="I1333" s="280"/>
      <c r="J1333" s="280"/>
      <c r="K1333" s="280"/>
      <c r="L1333" s="280"/>
      <c r="M1333" s="280"/>
      <c r="N1333" s="280"/>
      <c r="O1333" s="280"/>
    </row>
    <row r="1334" spans="1:16" s="265" customFormat="1" x14ac:dyDescent="0.25">
      <c r="A1334" s="413" t="s">
        <v>814</v>
      </c>
      <c r="B1334" s="381"/>
      <c r="C1334" s="381"/>
      <c r="D1334" s="381"/>
      <c r="E1334" s="381"/>
      <c r="F1334" s="885"/>
      <c r="G1334" s="885"/>
      <c r="H1334" s="807"/>
      <c r="I1334" s="280"/>
      <c r="J1334" s="280"/>
      <c r="K1334" s="280"/>
      <c r="L1334" s="280"/>
      <c r="M1334" s="280"/>
      <c r="N1334" s="280"/>
      <c r="O1334" s="280"/>
    </row>
    <row r="1335" spans="1:16" s="265" customFormat="1" x14ac:dyDescent="0.25">
      <c r="A1335" s="413" t="s">
        <v>815</v>
      </c>
      <c r="B1335" s="381"/>
      <c r="C1335" s="381"/>
      <c r="D1335" s="381"/>
      <c r="E1335" s="381"/>
      <c r="F1335" s="885"/>
      <c r="G1335" s="885"/>
      <c r="H1335" s="807"/>
      <c r="I1335" s="280"/>
      <c r="J1335" s="280"/>
      <c r="K1335" s="280"/>
      <c r="L1335" s="280"/>
      <c r="M1335" s="280"/>
      <c r="N1335" s="280"/>
      <c r="O1335" s="280"/>
    </row>
    <row r="1336" spans="1:16" s="265" customFormat="1" x14ac:dyDescent="0.25">
      <c r="A1336" s="477" t="s">
        <v>1030</v>
      </c>
      <c r="B1336" s="381"/>
      <c r="C1336" s="381"/>
      <c r="D1336" s="381"/>
      <c r="E1336" s="381"/>
      <c r="F1336" s="885"/>
      <c r="G1336" s="885"/>
      <c r="H1336" s="807"/>
      <c r="I1336" s="280"/>
      <c r="J1336" s="280"/>
      <c r="K1336" s="280"/>
      <c r="L1336" s="280"/>
      <c r="M1336" s="280"/>
      <c r="N1336" s="280"/>
      <c r="O1336" s="280"/>
    </row>
    <row r="1337" spans="1:16" x14ac:dyDescent="0.25">
      <c r="A1337" s="477" t="s">
        <v>1076</v>
      </c>
      <c r="C1337" s="387"/>
      <c r="H1337" s="684"/>
    </row>
    <row r="1338" spans="1:16" x14ac:dyDescent="0.25">
      <c r="A1338" s="477" t="s">
        <v>1276</v>
      </c>
      <c r="C1338" s="387"/>
      <c r="H1338" s="684"/>
    </row>
    <row r="1339" spans="1:16" s="416" customFormat="1" ht="13" x14ac:dyDescent="0.3">
      <c r="A1339" s="472" t="s">
        <v>1339</v>
      </c>
      <c r="B1339" s="73"/>
      <c r="C1339" s="73"/>
      <c r="D1339" s="73"/>
      <c r="E1339" s="73"/>
      <c r="F1339" s="685"/>
      <c r="G1339" s="685"/>
      <c r="H1339" s="675"/>
      <c r="I1339" s="68"/>
      <c r="J1339" s="68"/>
      <c r="K1339" s="68"/>
      <c r="L1339" s="68"/>
      <c r="M1339" s="68"/>
      <c r="N1339" s="68"/>
      <c r="O1339" s="68"/>
      <c r="P1339" s="6"/>
    </row>
    <row r="1340" spans="1:16" s="416" customFormat="1" ht="13" x14ac:dyDescent="0.3">
      <c r="A1340" s="478"/>
      <c r="B1340" s="6"/>
      <c r="C1340" s="6"/>
      <c r="D1340" s="6"/>
      <c r="E1340" s="6"/>
      <c r="F1340" s="68"/>
      <c r="G1340" s="68"/>
      <c r="H1340" s="68"/>
      <c r="I1340" s="68"/>
      <c r="J1340" s="68"/>
      <c r="K1340" s="68"/>
      <c r="L1340" s="68"/>
      <c r="M1340" s="68"/>
      <c r="N1340" s="68"/>
      <c r="O1340" s="68"/>
      <c r="P1340" s="6"/>
    </row>
    <row r="1341" spans="1:16" s="416" customFormat="1" ht="13" x14ac:dyDescent="0.3">
      <c r="A1341" s="479" t="s">
        <v>12</v>
      </c>
      <c r="B1341" s="480" t="s">
        <v>173</v>
      </c>
      <c r="C1341" s="381"/>
      <c r="D1341" s="381"/>
      <c r="E1341" s="6"/>
      <c r="F1341" s="68"/>
      <c r="G1341" s="68"/>
      <c r="H1341" s="68"/>
      <c r="I1341" s="68"/>
      <c r="J1341" s="68"/>
      <c r="K1341" s="68"/>
      <c r="L1341" s="68"/>
      <c r="M1341" s="68"/>
      <c r="N1341" s="68"/>
      <c r="O1341" s="68"/>
      <c r="P1341" s="6"/>
    </row>
    <row r="1342" spans="1:16" s="416" customFormat="1" ht="13" x14ac:dyDescent="0.3">
      <c r="A1342" s="479" t="s">
        <v>14</v>
      </c>
      <c r="B1342" s="480" t="s">
        <v>1201</v>
      </c>
      <c r="C1342" s="480" t="s">
        <v>15</v>
      </c>
      <c r="D1342" s="381"/>
      <c r="E1342" s="6"/>
      <c r="F1342" s="68"/>
      <c r="G1342" s="68"/>
      <c r="H1342" s="68"/>
      <c r="I1342" s="68"/>
      <c r="J1342" s="68"/>
      <c r="K1342" s="68"/>
      <c r="L1342" s="68"/>
      <c r="M1342" s="68"/>
      <c r="N1342" s="68"/>
      <c r="O1342" s="68"/>
      <c r="P1342" s="6"/>
    </row>
    <row r="1343" spans="1:16" s="416" customFormat="1" ht="13" x14ac:dyDescent="0.3">
      <c r="A1343" s="481" t="s">
        <v>16</v>
      </c>
      <c r="B1343" s="446">
        <v>2024</v>
      </c>
      <c r="C1343" s="446">
        <v>2025</v>
      </c>
      <c r="D1343" s="446">
        <v>2026</v>
      </c>
      <c r="E1343" s="446">
        <v>2027</v>
      </c>
      <c r="F1343" s="68"/>
      <c r="G1343" s="68"/>
      <c r="H1343" s="68"/>
      <c r="I1343" s="68"/>
      <c r="J1343" s="68"/>
      <c r="K1343" s="68"/>
      <c r="L1343" s="68"/>
      <c r="M1343" s="68"/>
      <c r="N1343" s="68"/>
      <c r="O1343" s="68"/>
      <c r="P1343" s="6"/>
    </row>
    <row r="1344" spans="1:16" s="416" customFormat="1" ht="13" x14ac:dyDescent="0.3">
      <c r="A1344" s="481" t="s">
        <v>17</v>
      </c>
      <c r="B1344" s="482">
        <v>1520</v>
      </c>
      <c r="C1344" s="482">
        <v>1520</v>
      </c>
      <c r="D1344" s="482">
        <v>1520</v>
      </c>
      <c r="E1344" s="482">
        <v>1520</v>
      </c>
      <c r="F1344" s="68"/>
      <c r="G1344" s="68"/>
      <c r="H1344" s="68"/>
      <c r="I1344" s="68"/>
      <c r="J1344" s="68"/>
      <c r="K1344" s="68"/>
      <c r="L1344" s="68"/>
      <c r="M1344" s="68"/>
      <c r="N1344" s="68"/>
      <c r="O1344" s="68"/>
      <c r="P1344" s="6"/>
    </row>
    <row r="1345" spans="1:16" s="416" customFormat="1" ht="13" x14ac:dyDescent="0.3">
      <c r="A1345" s="481" t="s">
        <v>18</v>
      </c>
      <c r="B1345" s="482">
        <v>1520</v>
      </c>
      <c r="C1345" s="482">
        <v>1520</v>
      </c>
      <c r="D1345" s="482">
        <v>1520</v>
      </c>
      <c r="E1345" s="482">
        <v>1520</v>
      </c>
      <c r="F1345" s="68"/>
      <c r="G1345" s="68"/>
      <c r="H1345" s="68"/>
      <c r="I1345" s="68"/>
      <c r="J1345" s="68"/>
      <c r="K1345" s="68"/>
      <c r="L1345" s="68"/>
      <c r="M1345" s="68"/>
      <c r="N1345" s="68"/>
      <c r="O1345" s="68"/>
      <c r="P1345" s="6"/>
    </row>
    <row r="1346" spans="1:16" s="416" customFormat="1" ht="13" x14ac:dyDescent="0.3">
      <c r="A1346" s="481" t="s">
        <v>19</v>
      </c>
      <c r="B1346" s="482"/>
      <c r="C1346" s="482"/>
      <c r="D1346" s="482"/>
      <c r="E1346" s="482"/>
      <c r="F1346" s="68"/>
      <c r="G1346" s="68"/>
      <c r="H1346" s="68"/>
      <c r="I1346" s="68"/>
      <c r="J1346" s="68"/>
      <c r="K1346" s="68"/>
      <c r="L1346" s="68"/>
      <c r="M1346" s="68"/>
      <c r="N1346" s="68"/>
      <c r="O1346" s="68"/>
      <c r="P1346" s="6"/>
    </row>
    <row r="1347" spans="1:16" s="416" customFormat="1" ht="13" x14ac:dyDescent="0.3">
      <c r="A1347" s="481" t="s">
        <v>20</v>
      </c>
      <c r="B1347" s="483">
        <v>858.7</v>
      </c>
      <c r="C1347" s="484">
        <v>606.20000000000005</v>
      </c>
      <c r="D1347" s="2" t="s">
        <v>1118</v>
      </c>
      <c r="E1347" s="2" t="s">
        <v>1118</v>
      </c>
      <c r="F1347" s="68"/>
      <c r="G1347" s="68"/>
      <c r="H1347" s="68"/>
      <c r="I1347" s="68"/>
      <c r="J1347" s="68"/>
      <c r="K1347" s="68"/>
      <c r="L1347" s="68"/>
      <c r="M1347" s="68"/>
      <c r="N1347" s="68"/>
      <c r="O1347" s="68"/>
      <c r="P1347" s="6"/>
    </row>
    <row r="1348" spans="1:16" s="416" customFormat="1" ht="13" x14ac:dyDescent="0.3">
      <c r="A1348" s="405" t="s">
        <v>21</v>
      </c>
      <c r="B1348" s="485">
        <f>B1345-B1347</f>
        <v>661.3</v>
      </c>
      <c r="C1348" s="485">
        <f>C1345-C1347</f>
        <v>913.8</v>
      </c>
      <c r="D1348" s="3" t="s">
        <v>1118</v>
      </c>
      <c r="E1348" s="3" t="s">
        <v>1118</v>
      </c>
      <c r="F1348" s="68"/>
      <c r="G1348" s="68"/>
      <c r="H1348" s="68"/>
      <c r="I1348" s="68"/>
      <c r="J1348" s="68"/>
      <c r="K1348" s="68"/>
      <c r="L1348" s="68"/>
      <c r="M1348" s="68"/>
      <c r="N1348" s="68"/>
      <c r="O1348" s="68"/>
      <c r="P1348" s="6"/>
    </row>
    <row r="1349" spans="1:16" s="416" customFormat="1" ht="13" x14ac:dyDescent="0.3">
      <c r="A1349" s="408" t="s">
        <v>22</v>
      </c>
      <c r="B1349" s="411"/>
      <c r="C1349" s="411"/>
      <c r="D1349" s="411"/>
      <c r="E1349" s="471"/>
      <c r="F1349" s="68"/>
      <c r="G1349" s="68"/>
      <c r="H1349" s="68"/>
      <c r="I1349" s="68"/>
      <c r="J1349" s="68"/>
      <c r="K1349" s="68"/>
      <c r="L1349" s="68"/>
      <c r="M1349" s="68"/>
      <c r="N1349" s="68"/>
      <c r="O1349" s="68"/>
      <c r="P1349" s="6"/>
    </row>
    <row r="1350" spans="1:16" s="416" customFormat="1" ht="13" x14ac:dyDescent="0.3">
      <c r="A1350" s="408" t="s">
        <v>23</v>
      </c>
      <c r="B1350" s="127"/>
      <c r="C1350" s="127"/>
      <c r="D1350" s="127"/>
      <c r="E1350" s="40"/>
      <c r="F1350" s="68"/>
      <c r="G1350" s="68"/>
      <c r="H1350" s="68"/>
      <c r="I1350" s="68"/>
      <c r="J1350" s="68"/>
      <c r="K1350" s="68"/>
      <c r="L1350" s="68"/>
      <c r="M1350" s="68"/>
      <c r="N1350" s="68"/>
      <c r="O1350" s="68"/>
      <c r="P1350" s="6"/>
    </row>
    <row r="1351" spans="1:16" s="487" customFormat="1" ht="13" x14ac:dyDescent="0.3">
      <c r="A1351" s="486" t="s">
        <v>1202</v>
      </c>
      <c r="B1351" s="129"/>
      <c r="C1351" s="129"/>
      <c r="D1351" s="129"/>
      <c r="E1351" s="71"/>
      <c r="F1351" s="68"/>
      <c r="G1351" s="68"/>
      <c r="H1351" s="68"/>
      <c r="I1351" s="68"/>
      <c r="J1351" s="68"/>
      <c r="K1351" s="68"/>
      <c r="L1351" s="68"/>
      <c r="M1351" s="68"/>
      <c r="N1351" s="68"/>
      <c r="O1351" s="68"/>
      <c r="P1351" s="65"/>
    </row>
    <row r="1352" spans="1:16" x14ac:dyDescent="0.25">
      <c r="A1352" s="488"/>
      <c r="C1352" s="387"/>
    </row>
    <row r="1353" spans="1:16" x14ac:dyDescent="0.25">
      <c r="A1353" s="395" t="s">
        <v>14</v>
      </c>
      <c r="B1353" s="459" t="s">
        <v>1041</v>
      </c>
      <c r="C1353" s="459" t="s">
        <v>15</v>
      </c>
      <c r="D1353" s="381"/>
    </row>
    <row r="1354" spans="1:16" x14ac:dyDescent="0.25">
      <c r="A1354" s="403" t="s">
        <v>16</v>
      </c>
      <c r="B1354" s="402">
        <v>2023</v>
      </c>
      <c r="C1354" s="402">
        <v>2024</v>
      </c>
      <c r="D1354" s="402">
        <v>2025</v>
      </c>
      <c r="E1354" s="402">
        <v>2026</v>
      </c>
      <c r="F1354" s="934"/>
    </row>
    <row r="1355" spans="1:16" x14ac:dyDescent="0.25">
      <c r="A1355" s="403" t="s">
        <v>17</v>
      </c>
      <c r="B1355" s="404">
        <v>62</v>
      </c>
      <c r="C1355" s="404">
        <v>62</v>
      </c>
      <c r="D1355" s="404">
        <v>62</v>
      </c>
      <c r="E1355" s="404">
        <v>26.32</v>
      </c>
      <c r="F1355" s="900"/>
    </row>
    <row r="1356" spans="1:16" x14ac:dyDescent="0.25">
      <c r="A1356" s="403" t="s">
        <v>18</v>
      </c>
      <c r="B1356" s="404">
        <v>62</v>
      </c>
      <c r="C1356" s="404">
        <v>62</v>
      </c>
      <c r="D1356" s="404">
        <v>62</v>
      </c>
      <c r="E1356" s="404">
        <v>26.32</v>
      </c>
      <c r="F1356" s="900"/>
    </row>
    <row r="1357" spans="1:16" x14ac:dyDescent="0.25">
      <c r="A1357" s="403" t="s">
        <v>19</v>
      </c>
      <c r="B1357" s="404"/>
      <c r="C1357" s="404"/>
      <c r="D1357" s="404"/>
      <c r="E1357" s="404"/>
      <c r="F1357" s="900"/>
    </row>
    <row r="1358" spans="1:16" x14ac:dyDescent="0.25">
      <c r="A1358" s="403" t="s">
        <v>20</v>
      </c>
      <c r="B1358" s="404">
        <v>4.4000000000000004</v>
      </c>
      <c r="C1358" s="404">
        <v>6.8</v>
      </c>
      <c r="D1358" s="404">
        <v>2</v>
      </c>
      <c r="E1358" s="404"/>
      <c r="F1358" s="900"/>
    </row>
    <row r="1359" spans="1:16" x14ac:dyDescent="0.25">
      <c r="A1359" s="403" t="s">
        <v>21</v>
      </c>
      <c r="B1359" s="473">
        <f>B1355-B1358</f>
        <v>57.6</v>
      </c>
      <c r="C1359" s="473">
        <f>C1355-C1358</f>
        <v>55.2</v>
      </c>
      <c r="D1359" s="473">
        <v>60</v>
      </c>
      <c r="E1359" s="473"/>
      <c r="F1359" s="900"/>
    </row>
    <row r="1360" spans="1:16" ht="13" x14ac:dyDescent="0.3">
      <c r="A1360" s="405" t="s">
        <v>22</v>
      </c>
      <c r="B1360" s="489"/>
      <c r="C1360" s="452"/>
      <c r="D1360" s="452"/>
      <c r="E1360" s="490"/>
      <c r="F1360" s="919"/>
    </row>
    <row r="1361" spans="1:16" x14ac:dyDescent="0.25">
      <c r="A1361" s="405" t="s">
        <v>23</v>
      </c>
      <c r="B1361" s="490"/>
      <c r="C1361" s="490"/>
      <c r="D1361" s="490"/>
      <c r="E1361" s="63"/>
      <c r="F1361" s="683"/>
    </row>
    <row r="1362" spans="1:16" x14ac:dyDescent="0.25">
      <c r="A1362" s="413" t="s">
        <v>1077</v>
      </c>
      <c r="B1362" s="381"/>
      <c r="C1362" s="381"/>
      <c r="D1362" s="381"/>
      <c r="F1362" s="684"/>
    </row>
    <row r="1363" spans="1:16" x14ac:dyDescent="0.25">
      <c r="A1363" s="476" t="s">
        <v>1164</v>
      </c>
      <c r="F1363" s="684"/>
    </row>
    <row r="1364" spans="1:16" s="416" customFormat="1" ht="13" x14ac:dyDescent="0.3">
      <c r="A1364" s="472" t="s">
        <v>1340</v>
      </c>
      <c r="B1364" s="70"/>
      <c r="C1364" s="70"/>
      <c r="D1364" s="70"/>
      <c r="E1364" s="70"/>
      <c r="F1364" s="675"/>
      <c r="G1364" s="68"/>
      <c r="H1364" s="68"/>
      <c r="I1364" s="68"/>
      <c r="J1364" s="68"/>
      <c r="K1364" s="68"/>
      <c r="L1364" s="68"/>
      <c r="M1364" s="68"/>
      <c r="N1364" s="68"/>
      <c r="O1364" s="68"/>
      <c r="P1364" s="6"/>
    </row>
    <row r="1365" spans="1:16" x14ac:dyDescent="0.25">
      <c r="A1365" s="488"/>
      <c r="C1365" s="387"/>
    </row>
    <row r="1366" spans="1:16" x14ac:dyDescent="0.25">
      <c r="A1366" s="362"/>
      <c r="C1366" s="387"/>
    </row>
    <row r="1367" spans="1:16" x14ac:dyDescent="0.25">
      <c r="A1367" s="10" t="s">
        <v>673</v>
      </c>
      <c r="B1367" s="11" t="s">
        <v>672</v>
      </c>
      <c r="C1367" s="13"/>
      <c r="D1367" s="13"/>
      <c r="E1367" s="13"/>
      <c r="F1367" s="657"/>
      <c r="G1367" s="657"/>
    </row>
    <row r="1368" spans="1:16" x14ac:dyDescent="0.25">
      <c r="A1368" s="138" t="s">
        <v>14</v>
      </c>
      <c r="B1368" s="139" t="s">
        <v>624</v>
      </c>
      <c r="C1368" s="11" t="s">
        <v>15</v>
      </c>
      <c r="D1368" s="13"/>
      <c r="E1368" s="13"/>
      <c r="F1368" s="657"/>
      <c r="G1368" s="657"/>
    </row>
    <row r="1369" spans="1:16" x14ac:dyDescent="0.25">
      <c r="A1369" s="298" t="s">
        <v>16</v>
      </c>
      <c r="B1369" s="329">
        <v>2014</v>
      </c>
      <c r="C1369" s="300">
        <v>2015</v>
      </c>
      <c r="D1369" s="300">
        <v>2016</v>
      </c>
      <c r="E1369" s="300">
        <v>2017</v>
      </c>
      <c r="F1369" s="887">
        <v>2018</v>
      </c>
      <c r="G1369" s="887">
        <v>2019</v>
      </c>
      <c r="H1369" s="770">
        <v>2020</v>
      </c>
      <c r="I1369" s="770">
        <v>2021</v>
      </c>
      <c r="J1369" s="770">
        <v>2022</v>
      </c>
      <c r="K1369" s="770">
        <v>2023</v>
      </c>
      <c r="L1369" s="770">
        <v>2024</v>
      </c>
      <c r="M1369" s="770">
        <v>2025</v>
      </c>
      <c r="N1369" s="770">
        <v>2026</v>
      </c>
    </row>
    <row r="1370" spans="1:16" x14ac:dyDescent="0.25">
      <c r="A1370" s="93" t="s">
        <v>17</v>
      </c>
      <c r="B1370" s="97">
        <v>200</v>
      </c>
      <c r="C1370" s="97">
        <v>200</v>
      </c>
      <c r="D1370" s="97">
        <v>200</v>
      </c>
      <c r="E1370" s="97">
        <v>200</v>
      </c>
      <c r="F1370" s="722">
        <v>200</v>
      </c>
      <c r="G1370" s="722">
        <v>215</v>
      </c>
      <c r="H1370" s="722">
        <v>215</v>
      </c>
      <c r="I1370" s="722">
        <v>242</v>
      </c>
      <c r="J1370" s="722">
        <v>242</v>
      </c>
      <c r="K1370" s="722">
        <v>242</v>
      </c>
      <c r="L1370" s="722">
        <v>302</v>
      </c>
      <c r="M1370" s="722">
        <v>302</v>
      </c>
      <c r="N1370" s="722">
        <v>302</v>
      </c>
    </row>
    <row r="1371" spans="1:16" x14ac:dyDescent="0.25">
      <c r="A1371" s="93" t="s">
        <v>18</v>
      </c>
      <c r="B1371" s="97">
        <v>250</v>
      </c>
      <c r="C1371" s="97">
        <v>215.6</v>
      </c>
      <c r="D1371" s="97">
        <v>250</v>
      </c>
      <c r="E1371" s="97">
        <v>250</v>
      </c>
      <c r="F1371" s="722">
        <v>250</v>
      </c>
      <c r="G1371" s="722">
        <v>265</v>
      </c>
      <c r="H1371" s="722">
        <v>265</v>
      </c>
      <c r="I1371" s="722">
        <f>I1370+0.25*G1370</f>
        <v>295.75</v>
      </c>
      <c r="J1371" s="722">
        <f>J1370+0.25*H1370</f>
        <v>295.75</v>
      </c>
      <c r="K1371" s="722">
        <f>K1370+I1370*0.25</f>
        <v>302.5</v>
      </c>
      <c r="L1371" s="722">
        <f>L1370+J1370*0.25</f>
        <v>362.5</v>
      </c>
      <c r="M1371" s="722">
        <f>M1370+K1370*0.25</f>
        <v>362.5</v>
      </c>
      <c r="N1371" s="722">
        <f>N1370+L1370*0.25</f>
        <v>377.5</v>
      </c>
    </row>
    <row r="1372" spans="1:16" x14ac:dyDescent="0.25">
      <c r="A1372" s="93" t="s">
        <v>19</v>
      </c>
      <c r="B1372" s="491" t="s">
        <v>132</v>
      </c>
      <c r="C1372" s="304" t="s">
        <v>133</v>
      </c>
      <c r="D1372" s="304" t="s">
        <v>134</v>
      </c>
      <c r="E1372" s="304" t="s">
        <v>134</v>
      </c>
      <c r="F1372" s="827" t="s">
        <v>134</v>
      </c>
      <c r="G1372" s="827" t="s">
        <v>497</v>
      </c>
      <c r="H1372" s="827" t="s">
        <v>497</v>
      </c>
      <c r="I1372" s="827" t="s">
        <v>498</v>
      </c>
      <c r="J1372" s="827" t="s">
        <v>498</v>
      </c>
      <c r="K1372" s="827" t="s">
        <v>821</v>
      </c>
      <c r="L1372" s="827" t="s">
        <v>821</v>
      </c>
      <c r="M1372" s="827" t="s">
        <v>821</v>
      </c>
      <c r="N1372" s="827" t="s">
        <v>1277</v>
      </c>
    </row>
    <row r="1373" spans="1:16" x14ac:dyDescent="0.25">
      <c r="A1373" s="93" t="s">
        <v>20</v>
      </c>
      <c r="B1373" s="97">
        <v>63.87</v>
      </c>
      <c r="C1373" s="97">
        <v>4.54</v>
      </c>
      <c r="D1373" s="97">
        <v>13.18</v>
      </c>
      <c r="E1373" s="97">
        <v>7.9</v>
      </c>
      <c r="F1373" s="722">
        <v>27.27</v>
      </c>
      <c r="G1373" s="722">
        <v>48.48</v>
      </c>
      <c r="H1373" s="47">
        <v>115.9</v>
      </c>
      <c r="I1373" s="47">
        <v>114.61</v>
      </c>
      <c r="J1373" s="47">
        <v>124.28</v>
      </c>
      <c r="K1373" s="47">
        <v>105.64</v>
      </c>
      <c r="L1373" s="47">
        <v>127.99</v>
      </c>
      <c r="M1373" s="47">
        <v>210.74600000000001</v>
      </c>
      <c r="N1373" s="47"/>
    </row>
    <row r="1374" spans="1:16" x14ac:dyDescent="0.25">
      <c r="A1374" s="93" t="s">
        <v>21</v>
      </c>
      <c r="B1374" s="97">
        <v>186.13</v>
      </c>
      <c r="C1374" s="97">
        <v>211.06</v>
      </c>
      <c r="D1374" s="97">
        <v>236.82</v>
      </c>
      <c r="E1374" s="97">
        <v>242.1</v>
      </c>
      <c r="F1374" s="722">
        <v>222.73</v>
      </c>
      <c r="G1374" s="722">
        <f t="shared" ref="G1374:L1374" si="64">G1371-G1373</f>
        <v>216.52</v>
      </c>
      <c r="H1374" s="47">
        <f t="shared" si="64"/>
        <v>149.1</v>
      </c>
      <c r="I1374" s="47">
        <f t="shared" si="64"/>
        <v>181.14</v>
      </c>
      <c r="J1374" s="47">
        <f t="shared" si="64"/>
        <v>171.47</v>
      </c>
      <c r="K1374" s="47">
        <f t="shared" si="64"/>
        <v>196.86</v>
      </c>
      <c r="L1374" s="47">
        <f t="shared" si="64"/>
        <v>234.51</v>
      </c>
      <c r="M1374" s="47">
        <f>M1371-M1373</f>
        <v>151.75399999999999</v>
      </c>
      <c r="N1374" s="47"/>
    </row>
    <row r="1375" spans="1:16" x14ac:dyDescent="0.25">
      <c r="A1375" s="126" t="s">
        <v>22</v>
      </c>
      <c r="B1375" s="21">
        <v>2016</v>
      </c>
      <c r="C1375" s="21">
        <v>2017</v>
      </c>
      <c r="D1375" s="21">
        <v>2018</v>
      </c>
      <c r="E1375" s="21">
        <v>2019</v>
      </c>
      <c r="F1375" s="935">
        <v>2020</v>
      </c>
      <c r="G1375" s="935">
        <v>2021</v>
      </c>
      <c r="H1375" s="498">
        <v>2022</v>
      </c>
      <c r="I1375" s="498">
        <v>2023</v>
      </c>
      <c r="J1375" s="498">
        <v>2024</v>
      </c>
      <c r="K1375" s="498">
        <v>2025</v>
      </c>
      <c r="L1375" s="498">
        <v>2026</v>
      </c>
      <c r="M1375" s="498">
        <v>2027</v>
      </c>
      <c r="N1375" s="498">
        <v>2028</v>
      </c>
    </row>
    <row r="1376" spans="1:16" x14ac:dyDescent="0.25">
      <c r="A1376" s="23" t="s">
        <v>135</v>
      </c>
      <c r="B1376" s="492"/>
      <c r="C1376" s="492"/>
      <c r="D1376" s="492"/>
      <c r="E1376" s="492"/>
      <c r="F1376" s="936"/>
      <c r="G1376" s="936"/>
      <c r="H1376" s="936"/>
      <c r="I1376" s="936"/>
      <c r="J1376" s="676"/>
      <c r="K1376" s="676"/>
      <c r="L1376" s="676"/>
      <c r="M1376" s="676"/>
      <c r="N1376" s="717"/>
    </row>
    <row r="1377" spans="1:15" x14ac:dyDescent="0.25">
      <c r="A1377" s="362"/>
      <c r="C1377" s="387"/>
    </row>
    <row r="1378" spans="1:15" x14ac:dyDescent="0.25">
      <c r="A1378" s="10" t="s">
        <v>14</v>
      </c>
      <c r="B1378" s="11" t="s">
        <v>638</v>
      </c>
      <c r="C1378" s="11" t="s">
        <v>15</v>
      </c>
      <c r="D1378" s="13"/>
      <c r="E1378" s="13"/>
      <c r="F1378" s="657"/>
      <c r="G1378" s="657"/>
    </row>
    <row r="1379" spans="1:15" x14ac:dyDescent="0.25">
      <c r="A1379" s="298" t="s">
        <v>16</v>
      </c>
      <c r="B1379" s="329">
        <v>2014</v>
      </c>
      <c r="C1379" s="300">
        <v>2015</v>
      </c>
      <c r="D1379" s="300">
        <v>2016</v>
      </c>
      <c r="E1379" s="300">
        <v>2017</v>
      </c>
      <c r="F1379" s="887">
        <v>2018</v>
      </c>
      <c r="G1379" s="887">
        <v>2019</v>
      </c>
      <c r="H1379" s="770">
        <v>2020</v>
      </c>
      <c r="I1379" s="770">
        <v>2021</v>
      </c>
      <c r="J1379" s="770">
        <v>2022</v>
      </c>
      <c r="K1379" s="770">
        <v>2023</v>
      </c>
      <c r="L1379" s="770">
        <v>2024</v>
      </c>
      <c r="M1379" s="770">
        <v>2025</v>
      </c>
      <c r="N1379" s="770">
        <v>2026</v>
      </c>
      <c r="O1379" s="770">
        <v>2027</v>
      </c>
    </row>
    <row r="1380" spans="1:15" x14ac:dyDescent="0.25">
      <c r="A1380" s="93" t="s">
        <v>17</v>
      </c>
      <c r="B1380" s="97">
        <v>140</v>
      </c>
      <c r="C1380" s="97">
        <v>140</v>
      </c>
      <c r="D1380" s="97">
        <v>140</v>
      </c>
      <c r="E1380" s="97">
        <v>140</v>
      </c>
      <c r="F1380" s="722">
        <v>140</v>
      </c>
      <c r="G1380" s="722">
        <v>140</v>
      </c>
      <c r="H1380" s="722">
        <v>140</v>
      </c>
      <c r="I1380" s="722">
        <v>140</v>
      </c>
      <c r="J1380" s="722">
        <v>140</v>
      </c>
      <c r="K1380" s="722">
        <v>170</v>
      </c>
      <c r="L1380" s="722">
        <v>170</v>
      </c>
      <c r="M1380" s="722">
        <v>170</v>
      </c>
      <c r="N1380" s="722">
        <v>170</v>
      </c>
      <c r="O1380" s="722">
        <v>170</v>
      </c>
    </row>
    <row r="1381" spans="1:15" x14ac:dyDescent="0.25">
      <c r="A1381" s="93" t="s">
        <v>18</v>
      </c>
      <c r="B1381" s="97">
        <v>140</v>
      </c>
      <c r="C1381" s="97">
        <v>177.5</v>
      </c>
      <c r="D1381" s="97">
        <v>175</v>
      </c>
      <c r="E1381" s="97">
        <v>175</v>
      </c>
      <c r="F1381" s="722">
        <v>175</v>
      </c>
      <c r="G1381" s="722">
        <v>175</v>
      </c>
      <c r="H1381" s="722">
        <v>148.36000000000001</v>
      </c>
      <c r="I1381" s="722">
        <v>144.99</v>
      </c>
      <c r="J1381" s="722">
        <f>J1380+H1384</f>
        <v>156.91000000000003</v>
      </c>
      <c r="K1381" s="722">
        <f>K1380+I1384</f>
        <v>183.97</v>
      </c>
      <c r="L1381" s="722">
        <v>173.99</v>
      </c>
      <c r="M1381" s="722">
        <f>M1380+0.25*K1380+5.66</f>
        <v>218.16</v>
      </c>
      <c r="N1381" s="722">
        <f>N1380+0.25*L1380</f>
        <v>212.5</v>
      </c>
      <c r="O1381" s="722">
        <f>O1380+0.25*M1380</f>
        <v>212.5</v>
      </c>
    </row>
    <row r="1382" spans="1:15" x14ac:dyDescent="0.25">
      <c r="A1382" s="93" t="s">
        <v>19</v>
      </c>
      <c r="B1382" s="304" t="s">
        <v>136</v>
      </c>
      <c r="C1382" s="304" t="s">
        <v>137</v>
      </c>
      <c r="D1382" s="304" t="s">
        <v>138</v>
      </c>
      <c r="E1382" s="304" t="s">
        <v>138</v>
      </c>
      <c r="F1382" s="827" t="s">
        <v>138</v>
      </c>
      <c r="G1382" s="827" t="s">
        <v>138</v>
      </c>
      <c r="H1382" s="827" t="s">
        <v>285</v>
      </c>
      <c r="I1382" s="827" t="s">
        <v>499</v>
      </c>
      <c r="J1382" s="827" t="s">
        <v>500</v>
      </c>
      <c r="K1382" s="827" t="s">
        <v>733</v>
      </c>
      <c r="L1382" s="827" t="s">
        <v>1341</v>
      </c>
      <c r="M1382" s="827" t="s">
        <v>1342</v>
      </c>
      <c r="N1382" s="827" t="s">
        <v>1343</v>
      </c>
      <c r="O1382" s="827" t="s">
        <v>1092</v>
      </c>
    </row>
    <row r="1383" spans="1:15" x14ac:dyDescent="0.25">
      <c r="A1383" s="93" t="s">
        <v>20</v>
      </c>
      <c r="B1383" s="97">
        <v>3.42</v>
      </c>
      <c r="C1383" s="97">
        <v>3.47</v>
      </c>
      <c r="D1383" s="97">
        <v>48.27</v>
      </c>
      <c r="E1383" s="97">
        <v>85.96</v>
      </c>
      <c r="F1383" s="722">
        <v>166.64</v>
      </c>
      <c r="G1383" s="722">
        <v>170.01</v>
      </c>
      <c r="H1383" s="47">
        <v>131.44999999999999</v>
      </c>
      <c r="I1383" s="47">
        <v>131.02000000000001</v>
      </c>
      <c r="J1383" s="47">
        <v>152.91999999999999</v>
      </c>
      <c r="K1383" s="47">
        <v>88</v>
      </c>
      <c r="L1383" s="47">
        <v>168.33</v>
      </c>
      <c r="M1383" s="47">
        <v>188.886</v>
      </c>
      <c r="N1383" s="47"/>
      <c r="O1383" s="47"/>
    </row>
    <row r="1384" spans="1:15" x14ac:dyDescent="0.25">
      <c r="A1384" s="93" t="s">
        <v>21</v>
      </c>
      <c r="B1384" s="493">
        <v>136.58000000000001</v>
      </c>
      <c r="C1384" s="97">
        <v>174.03</v>
      </c>
      <c r="D1384" s="97">
        <v>126.73</v>
      </c>
      <c r="E1384" s="97">
        <v>89.04</v>
      </c>
      <c r="F1384" s="722">
        <v>8.36</v>
      </c>
      <c r="G1384" s="722">
        <f t="shared" ref="G1384:M1384" si="65">G1381-G1383</f>
        <v>4.9900000000000091</v>
      </c>
      <c r="H1384" s="47">
        <f t="shared" si="65"/>
        <v>16.910000000000025</v>
      </c>
      <c r="I1384" s="47">
        <f t="shared" si="65"/>
        <v>13.969999999999999</v>
      </c>
      <c r="J1384" s="47">
        <f t="shared" si="65"/>
        <v>3.9900000000000375</v>
      </c>
      <c r="K1384" s="47">
        <f t="shared" si="65"/>
        <v>95.97</v>
      </c>
      <c r="L1384" s="47">
        <f t="shared" si="65"/>
        <v>5.6599999999999966</v>
      </c>
      <c r="M1384" s="47">
        <f t="shared" si="65"/>
        <v>29.274000000000001</v>
      </c>
      <c r="N1384" s="47"/>
      <c r="O1384" s="47"/>
    </row>
    <row r="1385" spans="1:15" x14ac:dyDescent="0.25">
      <c r="A1385" s="126" t="s">
        <v>22</v>
      </c>
      <c r="B1385" s="21">
        <v>2016</v>
      </c>
      <c r="C1385" s="21">
        <v>2017</v>
      </c>
      <c r="D1385" s="21">
        <v>2018</v>
      </c>
      <c r="E1385" s="21">
        <v>2019</v>
      </c>
      <c r="F1385" s="935">
        <v>2020</v>
      </c>
      <c r="G1385" s="935">
        <v>2021</v>
      </c>
      <c r="H1385" s="498">
        <v>2022</v>
      </c>
      <c r="I1385" s="498">
        <v>2023</v>
      </c>
      <c r="J1385" s="498">
        <v>2024</v>
      </c>
      <c r="K1385" s="498">
        <v>2025</v>
      </c>
      <c r="L1385" s="498">
        <v>2026</v>
      </c>
      <c r="M1385" s="498">
        <v>2027</v>
      </c>
      <c r="N1385" s="498">
        <v>2028</v>
      </c>
      <c r="O1385" s="498">
        <v>2029</v>
      </c>
    </row>
    <row r="1386" spans="1:15" x14ac:dyDescent="0.25">
      <c r="A1386" s="126" t="s">
        <v>135</v>
      </c>
      <c r="B1386" s="305"/>
      <c r="C1386" s="305"/>
      <c r="D1386" s="305"/>
      <c r="E1386" s="305"/>
      <c r="F1386" s="829"/>
      <c r="G1386" s="829"/>
      <c r="H1386" s="784"/>
      <c r="I1386" s="784"/>
      <c r="J1386" s="784"/>
      <c r="K1386" s="784"/>
      <c r="L1386" s="784"/>
      <c r="M1386" s="784"/>
      <c r="N1386" s="669"/>
      <c r="O1386" s="672"/>
    </row>
    <row r="1387" spans="1:15" x14ac:dyDescent="0.25">
      <c r="A1387" s="494" t="s">
        <v>923</v>
      </c>
      <c r="B1387" s="147"/>
      <c r="C1387" s="147"/>
      <c r="D1387" s="147"/>
      <c r="E1387" s="147"/>
      <c r="F1387" s="734"/>
      <c r="G1387" s="734"/>
      <c r="H1387" s="734"/>
      <c r="I1387" s="786"/>
      <c r="J1387" s="786"/>
      <c r="K1387" s="786"/>
      <c r="L1387" s="786"/>
      <c r="M1387" s="786"/>
      <c r="N1387" s="685"/>
      <c r="O1387" s="675"/>
    </row>
    <row r="1388" spans="1:15" x14ac:dyDescent="0.25">
      <c r="A1388" s="362"/>
      <c r="C1388" s="387"/>
    </row>
    <row r="1389" spans="1:15" x14ac:dyDescent="0.25">
      <c r="A1389" s="10" t="s">
        <v>14</v>
      </c>
      <c r="B1389" s="11" t="s">
        <v>623</v>
      </c>
      <c r="C1389" s="11" t="s">
        <v>152</v>
      </c>
      <c r="D1389" s="13"/>
      <c r="E1389" s="13"/>
      <c r="F1389" s="657"/>
      <c r="G1389" s="657"/>
    </row>
    <row r="1390" spans="1:15" x14ac:dyDescent="0.25">
      <c r="A1390" s="298" t="s">
        <v>16</v>
      </c>
      <c r="B1390" s="329">
        <v>2014</v>
      </c>
      <c r="C1390" s="300">
        <v>2015</v>
      </c>
      <c r="D1390" s="300">
        <v>2016</v>
      </c>
      <c r="E1390" s="300" t="s">
        <v>242</v>
      </c>
      <c r="F1390" s="824" t="s">
        <v>243</v>
      </c>
      <c r="G1390" s="824" t="s">
        <v>244</v>
      </c>
      <c r="H1390" s="824" t="s">
        <v>286</v>
      </c>
      <c r="I1390" s="824" t="s">
        <v>504</v>
      </c>
      <c r="J1390" s="824" t="s">
        <v>674</v>
      </c>
      <c r="K1390" s="824" t="s">
        <v>822</v>
      </c>
      <c r="L1390" s="824" t="s">
        <v>1032</v>
      </c>
      <c r="M1390" s="495" t="s">
        <v>1165</v>
      </c>
      <c r="N1390" s="495" t="s">
        <v>1246</v>
      </c>
    </row>
    <row r="1391" spans="1:15" x14ac:dyDescent="0.25">
      <c r="A1391" s="93" t="s">
        <v>17</v>
      </c>
      <c r="B1391" s="97">
        <v>50</v>
      </c>
      <c r="C1391" s="97">
        <v>50</v>
      </c>
      <c r="D1391" s="97">
        <v>50</v>
      </c>
      <c r="E1391" s="97">
        <v>50</v>
      </c>
      <c r="F1391" s="708">
        <v>50</v>
      </c>
      <c r="G1391" s="708">
        <v>50</v>
      </c>
      <c r="H1391" s="47">
        <v>50</v>
      </c>
      <c r="I1391" s="47">
        <v>50</v>
      </c>
      <c r="J1391" s="47">
        <v>50</v>
      </c>
      <c r="K1391" s="47">
        <v>50</v>
      </c>
      <c r="L1391" s="47">
        <v>50</v>
      </c>
      <c r="M1391" s="496">
        <v>50</v>
      </c>
      <c r="N1391" s="496">
        <v>50</v>
      </c>
    </row>
    <row r="1392" spans="1:15" x14ac:dyDescent="0.25">
      <c r="A1392" s="93" t="s">
        <v>18</v>
      </c>
      <c r="B1392" s="97">
        <v>45.6</v>
      </c>
      <c r="C1392" s="97">
        <v>45.6</v>
      </c>
      <c r="D1392" s="97">
        <v>65.34</v>
      </c>
      <c r="E1392" s="97">
        <v>75</v>
      </c>
      <c r="F1392" s="708">
        <v>70</v>
      </c>
      <c r="G1392" s="708">
        <v>70</v>
      </c>
      <c r="H1392" s="47">
        <v>70</v>
      </c>
      <c r="I1392" s="47">
        <v>70</v>
      </c>
      <c r="J1392" s="47">
        <v>70</v>
      </c>
      <c r="K1392" s="47">
        <v>70</v>
      </c>
      <c r="L1392" s="47">
        <v>70</v>
      </c>
      <c r="M1392" s="496">
        <f>M1391+(K1391*0.4)</f>
        <v>70</v>
      </c>
      <c r="N1392" s="496">
        <f>N1391+(L1391*0.4)</f>
        <v>70</v>
      </c>
    </row>
    <row r="1393" spans="1:15" x14ac:dyDescent="0.25">
      <c r="A1393" s="93" t="s">
        <v>19</v>
      </c>
      <c r="B1393" s="302" t="s">
        <v>139</v>
      </c>
      <c r="C1393" s="304" t="s">
        <v>139</v>
      </c>
      <c r="D1393" s="304" t="s">
        <v>140</v>
      </c>
      <c r="E1393" s="304" t="s">
        <v>141</v>
      </c>
      <c r="F1393" s="827" t="s">
        <v>245</v>
      </c>
      <c r="G1393" s="827" t="s">
        <v>245</v>
      </c>
      <c r="H1393" s="46" t="s">
        <v>245</v>
      </c>
      <c r="I1393" s="46" t="s">
        <v>245</v>
      </c>
      <c r="J1393" s="46" t="s">
        <v>245</v>
      </c>
      <c r="K1393" s="46" t="s">
        <v>245</v>
      </c>
      <c r="L1393" s="46" t="s">
        <v>245</v>
      </c>
      <c r="M1393" s="497" t="s">
        <v>1166</v>
      </c>
      <c r="N1393" s="497" t="s">
        <v>1166</v>
      </c>
    </row>
    <row r="1394" spans="1:15" x14ac:dyDescent="0.25">
      <c r="A1394" s="93" t="s">
        <v>20</v>
      </c>
      <c r="B1394" s="97">
        <v>34.659999999999997</v>
      </c>
      <c r="C1394" s="97">
        <v>0</v>
      </c>
      <c r="D1394" s="97">
        <v>9.14</v>
      </c>
      <c r="E1394" s="97">
        <v>18.559999999999999</v>
      </c>
      <c r="F1394" s="708">
        <v>8.7899999999999991</v>
      </c>
      <c r="G1394" s="708">
        <v>9.3699999999999992</v>
      </c>
      <c r="H1394" s="47">
        <v>13.7</v>
      </c>
      <c r="I1394" s="47">
        <v>13.48</v>
      </c>
      <c r="J1394" s="47">
        <v>16.86</v>
      </c>
      <c r="K1394" s="47">
        <v>19.89</v>
      </c>
      <c r="L1394" s="47">
        <v>17.59</v>
      </c>
      <c r="M1394" s="496">
        <v>11.75</v>
      </c>
      <c r="N1394" s="496"/>
    </row>
    <row r="1395" spans="1:15" x14ac:dyDescent="0.25">
      <c r="A1395" s="93" t="s">
        <v>21</v>
      </c>
      <c r="B1395" s="97">
        <v>10.94</v>
      </c>
      <c r="C1395" s="97">
        <v>45.6</v>
      </c>
      <c r="D1395" s="97">
        <v>56.2</v>
      </c>
      <c r="E1395" s="97">
        <v>56.44</v>
      </c>
      <c r="F1395" s="708">
        <v>61.21</v>
      </c>
      <c r="G1395" s="708">
        <f t="shared" ref="G1395:M1395" si="66">G1392-G1394</f>
        <v>60.63</v>
      </c>
      <c r="H1395" s="708">
        <f t="shared" si="66"/>
        <v>56.3</v>
      </c>
      <c r="I1395" s="708">
        <f t="shared" si="66"/>
        <v>56.519999999999996</v>
      </c>
      <c r="J1395" s="708">
        <f t="shared" si="66"/>
        <v>53.14</v>
      </c>
      <c r="K1395" s="708">
        <f t="shared" si="66"/>
        <v>50.11</v>
      </c>
      <c r="L1395" s="708">
        <f t="shared" si="66"/>
        <v>52.41</v>
      </c>
      <c r="M1395" s="708">
        <f t="shared" si="66"/>
        <v>58.25</v>
      </c>
      <c r="N1395" s="496"/>
    </row>
    <row r="1396" spans="1:15" x14ac:dyDescent="0.25">
      <c r="A1396" s="126" t="s">
        <v>22</v>
      </c>
      <c r="B1396" s="21">
        <v>2016</v>
      </c>
      <c r="C1396" s="21">
        <v>2017</v>
      </c>
      <c r="D1396" s="21">
        <v>2018</v>
      </c>
      <c r="E1396" s="21">
        <v>2019</v>
      </c>
      <c r="F1396" s="660">
        <v>2020</v>
      </c>
      <c r="G1396" s="660">
        <v>2021</v>
      </c>
      <c r="H1396" s="498">
        <v>2022</v>
      </c>
      <c r="I1396" s="498">
        <v>2023</v>
      </c>
      <c r="J1396" s="498">
        <v>2024</v>
      </c>
      <c r="K1396" s="498">
        <v>2025</v>
      </c>
      <c r="L1396" s="498">
        <v>2026</v>
      </c>
      <c r="M1396" s="498">
        <v>2026</v>
      </c>
      <c r="N1396" s="498">
        <v>2027</v>
      </c>
    </row>
    <row r="1397" spans="1:15" x14ac:dyDescent="0.25">
      <c r="A1397" s="126" t="s">
        <v>579</v>
      </c>
      <c r="B1397" s="305"/>
      <c r="C1397" s="305"/>
      <c r="D1397" s="305"/>
      <c r="E1397" s="305"/>
      <c r="F1397" s="829"/>
      <c r="G1397" s="829"/>
      <c r="H1397" s="784"/>
      <c r="I1397" s="784"/>
      <c r="J1397" s="784"/>
      <c r="K1397" s="784"/>
      <c r="L1397" s="784"/>
      <c r="M1397" s="669"/>
      <c r="N1397" s="672"/>
    </row>
    <row r="1398" spans="1:15" x14ac:dyDescent="0.25">
      <c r="A1398" s="128" t="s">
        <v>502</v>
      </c>
      <c r="B1398" s="499"/>
      <c r="C1398" s="499"/>
      <c r="D1398" s="499"/>
      <c r="E1398" s="499"/>
      <c r="F1398" s="937"/>
      <c r="G1398" s="937"/>
      <c r="H1398" s="938"/>
      <c r="N1398" s="684"/>
    </row>
    <row r="1399" spans="1:15" x14ac:dyDescent="0.25">
      <c r="A1399" s="298" t="s">
        <v>503</v>
      </c>
      <c r="B1399" s="121"/>
      <c r="C1399" s="121"/>
      <c r="D1399" s="121"/>
      <c r="E1399" s="121"/>
      <c r="F1399" s="716"/>
      <c r="G1399" s="716"/>
      <c r="H1399" s="716"/>
      <c r="I1399" s="685"/>
      <c r="J1399" s="685"/>
      <c r="K1399" s="685"/>
      <c r="L1399" s="685"/>
      <c r="M1399" s="685"/>
      <c r="N1399" s="675"/>
    </row>
    <row r="1400" spans="1:15" ht="15.65" customHeight="1" x14ac:dyDescent="0.25">
      <c r="A1400" s="165"/>
      <c r="B1400" s="13"/>
      <c r="C1400" s="13"/>
      <c r="D1400" s="13"/>
      <c r="E1400" s="13"/>
      <c r="F1400" s="657"/>
      <c r="G1400" s="657"/>
    </row>
    <row r="1401" spans="1:15" x14ac:dyDescent="0.25">
      <c r="A1401" s="10" t="s">
        <v>14</v>
      </c>
      <c r="B1401" s="11" t="s">
        <v>641</v>
      </c>
      <c r="C1401" s="12" t="s">
        <v>152</v>
      </c>
      <c r="D1401" s="13"/>
      <c r="E1401" s="13"/>
      <c r="F1401" s="657"/>
      <c r="G1401" s="657"/>
    </row>
    <row r="1402" spans="1:15" x14ac:dyDescent="0.25">
      <c r="A1402" s="298" t="s">
        <v>16</v>
      </c>
      <c r="B1402" s="329">
        <v>2014</v>
      </c>
      <c r="C1402" s="300">
        <v>2015</v>
      </c>
      <c r="D1402" s="300">
        <v>2016</v>
      </c>
      <c r="E1402" s="300">
        <v>2017</v>
      </c>
      <c r="F1402" s="824" t="s">
        <v>243</v>
      </c>
      <c r="G1402" s="824" t="s">
        <v>244</v>
      </c>
      <c r="H1402" s="770" t="s">
        <v>286</v>
      </c>
      <c r="I1402" s="770" t="s">
        <v>504</v>
      </c>
      <c r="J1402" s="770" t="s">
        <v>674</v>
      </c>
      <c r="K1402" s="770">
        <v>2023</v>
      </c>
      <c r="L1402" s="770">
        <v>2023</v>
      </c>
      <c r="M1402" s="501">
        <v>2024</v>
      </c>
      <c r="N1402" s="501">
        <v>2025</v>
      </c>
      <c r="O1402" s="501">
        <v>2026</v>
      </c>
    </row>
    <row r="1403" spans="1:15" x14ac:dyDescent="0.25">
      <c r="A1403" s="93" t="s">
        <v>17</v>
      </c>
      <c r="B1403" s="97">
        <v>50</v>
      </c>
      <c r="C1403" s="97">
        <v>50</v>
      </c>
      <c r="D1403" s="97">
        <v>50</v>
      </c>
      <c r="E1403" s="97">
        <v>50</v>
      </c>
      <c r="F1403" s="708">
        <v>50</v>
      </c>
      <c r="G1403" s="708">
        <v>50</v>
      </c>
      <c r="H1403" s="47">
        <v>50</v>
      </c>
      <c r="I1403" s="47">
        <v>50</v>
      </c>
      <c r="J1403" s="47">
        <v>50</v>
      </c>
      <c r="K1403" s="47">
        <v>50</v>
      </c>
      <c r="L1403" s="47">
        <v>50</v>
      </c>
      <c r="M1403" s="496">
        <v>50</v>
      </c>
      <c r="N1403" s="496">
        <v>50</v>
      </c>
      <c r="O1403" s="496">
        <v>50</v>
      </c>
    </row>
    <row r="1404" spans="1:15" x14ac:dyDescent="0.25">
      <c r="A1404" s="93" t="s">
        <v>18</v>
      </c>
      <c r="B1404" s="97">
        <v>50</v>
      </c>
      <c r="C1404" s="97">
        <v>60.7</v>
      </c>
      <c r="D1404" s="97">
        <v>47.37</v>
      </c>
      <c r="E1404" s="97">
        <v>65</v>
      </c>
      <c r="F1404" s="708">
        <v>60</v>
      </c>
      <c r="G1404" s="708">
        <v>60</v>
      </c>
      <c r="H1404" s="47">
        <f>H1403*1.2</f>
        <v>60</v>
      </c>
      <c r="I1404" s="47">
        <f>I1403*1.2</f>
        <v>60</v>
      </c>
      <c r="J1404" s="47">
        <f>J1403*1.2</f>
        <v>60</v>
      </c>
      <c r="K1404" s="47">
        <v>55</v>
      </c>
      <c r="L1404" s="47">
        <v>55</v>
      </c>
      <c r="M1404" s="496">
        <f>M1403+(K1403*0.1)</f>
        <v>55</v>
      </c>
      <c r="N1404" s="496">
        <f>N1403+(L1403*0.1)</f>
        <v>55</v>
      </c>
      <c r="O1404" s="496">
        <f>O1403+(M1403*0.1)</f>
        <v>55</v>
      </c>
    </row>
    <row r="1405" spans="1:15" x14ac:dyDescent="0.25">
      <c r="A1405" s="93" t="s">
        <v>19</v>
      </c>
      <c r="B1405" s="304"/>
      <c r="C1405" s="304" t="s">
        <v>142</v>
      </c>
      <c r="D1405" s="304" t="s">
        <v>143</v>
      </c>
      <c r="E1405" s="304" t="s">
        <v>144</v>
      </c>
      <c r="F1405" s="827" t="s">
        <v>287</v>
      </c>
      <c r="G1405" s="827" t="s">
        <v>287</v>
      </c>
      <c r="H1405" s="827" t="s">
        <v>287</v>
      </c>
      <c r="I1405" s="827" t="s">
        <v>287</v>
      </c>
      <c r="J1405" s="827" t="s">
        <v>287</v>
      </c>
      <c r="K1405" s="827" t="s">
        <v>825</v>
      </c>
      <c r="L1405" s="827" t="s">
        <v>825</v>
      </c>
      <c r="M1405" s="502" t="s">
        <v>1167</v>
      </c>
      <c r="N1405" s="502" t="s">
        <v>1167</v>
      </c>
      <c r="O1405" s="502" t="s">
        <v>1167</v>
      </c>
    </row>
    <row r="1406" spans="1:15" x14ac:dyDescent="0.25">
      <c r="A1406" s="93" t="s">
        <v>20</v>
      </c>
      <c r="B1406" s="97">
        <v>52.63</v>
      </c>
      <c r="C1406" s="97">
        <v>5.45</v>
      </c>
      <c r="D1406" s="97">
        <v>19.25</v>
      </c>
      <c r="E1406" s="97">
        <v>10.92</v>
      </c>
      <c r="F1406" s="708">
        <v>17.18</v>
      </c>
      <c r="G1406" s="708">
        <v>8.6999999999999993</v>
      </c>
      <c r="H1406" s="47">
        <v>15.41</v>
      </c>
      <c r="I1406" s="47">
        <v>5.56</v>
      </c>
      <c r="J1406" s="47">
        <v>6.37</v>
      </c>
      <c r="K1406" s="47">
        <v>4.57</v>
      </c>
      <c r="L1406" s="47"/>
      <c r="M1406" s="496">
        <v>9.85</v>
      </c>
      <c r="N1406" s="496">
        <v>8.61</v>
      </c>
      <c r="O1406" s="496"/>
    </row>
    <row r="1407" spans="1:15" x14ac:dyDescent="0.25">
      <c r="A1407" s="93" t="s">
        <v>21</v>
      </c>
      <c r="B1407" s="97">
        <v>-2.63</v>
      </c>
      <c r="C1407" s="97">
        <v>55.25</v>
      </c>
      <c r="D1407" s="97">
        <v>28.12</v>
      </c>
      <c r="E1407" s="97">
        <v>54.08</v>
      </c>
      <c r="F1407" s="708">
        <f t="shared" ref="F1407:K1407" si="67">F1404-F1406</f>
        <v>42.82</v>
      </c>
      <c r="G1407" s="708">
        <f t="shared" si="67"/>
        <v>51.3</v>
      </c>
      <c r="H1407" s="47">
        <f t="shared" si="67"/>
        <v>44.59</v>
      </c>
      <c r="I1407" s="47">
        <f t="shared" si="67"/>
        <v>54.44</v>
      </c>
      <c r="J1407" s="47">
        <f t="shared" si="67"/>
        <v>53.63</v>
      </c>
      <c r="K1407" s="47">
        <f t="shared" si="67"/>
        <v>50.43</v>
      </c>
      <c r="L1407" s="47"/>
      <c r="M1407" s="496">
        <f>M1404-M1406</f>
        <v>45.15</v>
      </c>
      <c r="N1407" s="496">
        <f>N1404-N1406</f>
        <v>46.39</v>
      </c>
      <c r="O1407" s="496"/>
    </row>
    <row r="1408" spans="1:15" x14ac:dyDescent="0.25">
      <c r="A1408" s="102" t="s">
        <v>22</v>
      </c>
      <c r="B1408" s="503">
        <v>2016</v>
      </c>
      <c r="C1408" s="503">
        <v>2017</v>
      </c>
      <c r="D1408" s="503">
        <v>2018</v>
      </c>
      <c r="E1408" s="503">
        <v>2019</v>
      </c>
      <c r="F1408" s="939">
        <v>2020</v>
      </c>
      <c r="G1408" s="939">
        <v>2021</v>
      </c>
      <c r="H1408" s="257">
        <v>2022</v>
      </c>
      <c r="I1408" s="257">
        <v>2023</v>
      </c>
      <c r="J1408" s="257">
        <v>2024</v>
      </c>
      <c r="K1408" s="257">
        <v>2025</v>
      </c>
      <c r="L1408" s="257">
        <v>2025</v>
      </c>
      <c r="M1408" s="498">
        <v>2026</v>
      </c>
      <c r="N1408" s="498">
        <v>2026</v>
      </c>
      <c r="O1408" s="498">
        <v>2027</v>
      </c>
    </row>
    <row r="1409" spans="1:15" x14ac:dyDescent="0.25">
      <c r="A1409" s="126" t="s">
        <v>455</v>
      </c>
      <c r="B1409" s="305"/>
      <c r="C1409" s="305"/>
      <c r="D1409" s="305"/>
      <c r="E1409" s="305"/>
      <c r="F1409" s="829"/>
      <c r="G1409" s="829"/>
      <c r="H1409" s="784"/>
      <c r="I1409" s="669"/>
      <c r="J1409" s="669"/>
      <c r="K1409" s="669"/>
      <c r="L1409" s="669"/>
      <c r="M1409" s="669"/>
      <c r="N1409" s="669"/>
      <c r="O1409" s="672"/>
    </row>
    <row r="1410" spans="1:15" x14ac:dyDescent="0.25">
      <c r="A1410" s="128" t="s">
        <v>823</v>
      </c>
      <c r="B1410" s="499"/>
      <c r="C1410" s="499"/>
      <c r="D1410" s="499"/>
      <c r="E1410" s="499"/>
      <c r="F1410" s="937"/>
      <c r="G1410" s="937"/>
      <c r="H1410" s="938"/>
      <c r="O1410" s="684"/>
    </row>
    <row r="1411" spans="1:15" x14ac:dyDescent="0.25">
      <c r="A1411" s="298" t="s">
        <v>824</v>
      </c>
      <c r="B1411" s="121"/>
      <c r="C1411" s="121"/>
      <c r="D1411" s="121"/>
      <c r="E1411" s="121"/>
      <c r="F1411" s="716"/>
      <c r="G1411" s="716"/>
      <c r="H1411" s="716"/>
      <c r="I1411" s="685"/>
      <c r="J1411" s="685"/>
      <c r="K1411" s="685"/>
      <c r="L1411" s="685"/>
      <c r="M1411" s="685"/>
      <c r="N1411" s="685"/>
      <c r="O1411" s="675"/>
    </row>
    <row r="1412" spans="1:15" ht="14.5" customHeight="1" x14ac:dyDescent="0.25">
      <c r="A1412" s="183"/>
      <c r="B1412" s="183"/>
      <c r="C1412" s="183"/>
      <c r="D1412" s="183"/>
      <c r="E1412" s="183"/>
      <c r="F1412" s="761"/>
      <c r="G1412" s="761"/>
      <c r="H1412" s="761"/>
    </row>
    <row r="1413" spans="1:15" ht="14.5" customHeight="1" x14ac:dyDescent="0.25">
      <c r="A1413" s="10" t="s">
        <v>203</v>
      </c>
      <c r="B1413" s="11" t="s">
        <v>642</v>
      </c>
      <c r="C1413" s="11" t="s">
        <v>152</v>
      </c>
      <c r="D1413" s="13"/>
      <c r="E1413" s="13"/>
      <c r="F1413" s="657"/>
      <c r="G1413" s="657"/>
    </row>
    <row r="1414" spans="1:15" ht="14.5" customHeight="1" x14ac:dyDescent="0.25">
      <c r="A1414" s="298" t="s">
        <v>16</v>
      </c>
      <c r="B1414" s="299"/>
      <c r="C1414" s="94"/>
      <c r="D1414" s="300">
        <v>2016</v>
      </c>
      <c r="E1414" s="300">
        <v>2017</v>
      </c>
      <c r="F1414" s="824">
        <v>2018</v>
      </c>
      <c r="G1414" s="824">
        <v>2019</v>
      </c>
      <c r="H1414" s="770">
        <v>2020</v>
      </c>
      <c r="I1414" s="770">
        <v>2021</v>
      </c>
      <c r="J1414" s="770">
        <v>2022</v>
      </c>
      <c r="K1414" s="770">
        <v>2023</v>
      </c>
      <c r="L1414" s="770">
        <v>2024</v>
      </c>
      <c r="M1414" s="770">
        <v>2025</v>
      </c>
      <c r="N1414" s="770">
        <v>2026</v>
      </c>
    </row>
    <row r="1415" spans="1:15" ht="14.5" customHeight="1" x14ac:dyDescent="0.25">
      <c r="A1415" s="93" t="s">
        <v>17</v>
      </c>
      <c r="B1415" s="97"/>
      <c r="C1415" s="97"/>
      <c r="D1415" s="97">
        <v>113.66</v>
      </c>
      <c r="E1415" s="97">
        <v>136.46</v>
      </c>
      <c r="F1415" s="708">
        <v>160</v>
      </c>
      <c r="G1415" s="708">
        <v>184</v>
      </c>
      <c r="H1415" s="47">
        <v>200</v>
      </c>
      <c r="I1415" s="47">
        <v>200</v>
      </c>
      <c r="J1415" s="47">
        <v>200</v>
      </c>
      <c r="K1415" s="47">
        <v>221</v>
      </c>
      <c r="L1415" s="47">
        <v>221</v>
      </c>
      <c r="M1415" s="709">
        <v>221</v>
      </c>
      <c r="N1415" s="709">
        <v>368.93</v>
      </c>
    </row>
    <row r="1416" spans="1:15" ht="14.5" customHeight="1" x14ac:dyDescent="0.25">
      <c r="A1416" s="93" t="s">
        <v>18</v>
      </c>
      <c r="B1416" s="97"/>
      <c r="C1416" s="97"/>
      <c r="D1416" s="97">
        <v>163.66</v>
      </c>
      <c r="E1416" s="97">
        <v>181.46</v>
      </c>
      <c r="F1416" s="708">
        <v>210</v>
      </c>
      <c r="G1416" s="708">
        <v>234</v>
      </c>
      <c r="H1416" s="47">
        <v>251.57</v>
      </c>
      <c r="I1416" s="47">
        <f>I1415+50+H1419</f>
        <v>254.29999999999998</v>
      </c>
      <c r="J1416" s="47">
        <f>J1415+50+10</f>
        <v>260</v>
      </c>
      <c r="K1416" s="47">
        <f>K1415+50+J1419</f>
        <v>278.72399999999999</v>
      </c>
      <c r="L1416" s="47">
        <v>276.17</v>
      </c>
      <c r="M1416" s="709">
        <v>279.22000000000003</v>
      </c>
      <c r="N1416" s="940">
        <v>440323</v>
      </c>
    </row>
    <row r="1417" spans="1:15" ht="14.5" customHeight="1" x14ac:dyDescent="0.25">
      <c r="A1417" s="93" t="s">
        <v>19</v>
      </c>
      <c r="B1417" s="303"/>
      <c r="C1417" s="303"/>
      <c r="D1417" s="304" t="s">
        <v>290</v>
      </c>
      <c r="E1417" s="304" t="s">
        <v>291</v>
      </c>
      <c r="F1417" s="827" t="s">
        <v>292</v>
      </c>
      <c r="G1417" s="827" t="s">
        <v>293</v>
      </c>
      <c r="H1417" s="46" t="s">
        <v>294</v>
      </c>
      <c r="I1417" s="46" t="s">
        <v>506</v>
      </c>
      <c r="J1417" s="46" t="s">
        <v>676</v>
      </c>
      <c r="K1417" s="46" t="s">
        <v>828</v>
      </c>
      <c r="L1417" s="46" t="s">
        <v>1120</v>
      </c>
      <c r="M1417" s="709" t="s">
        <v>1121</v>
      </c>
      <c r="N1417" s="709" t="s">
        <v>1278</v>
      </c>
    </row>
    <row r="1418" spans="1:15" ht="14.5" customHeight="1" x14ac:dyDescent="0.25">
      <c r="A1418" s="93" t="s">
        <v>20</v>
      </c>
      <c r="B1418" s="97"/>
      <c r="C1418" s="97"/>
      <c r="D1418" s="97">
        <v>161.08000000000001</v>
      </c>
      <c r="E1418" s="97">
        <v>181.19</v>
      </c>
      <c r="F1418" s="708">
        <v>207.97</v>
      </c>
      <c r="G1418" s="708">
        <v>232.43299999999999</v>
      </c>
      <c r="H1418" s="47">
        <v>247.27</v>
      </c>
      <c r="I1418" s="47">
        <v>242.24</v>
      </c>
      <c r="J1418" s="47">
        <v>252.27600000000001</v>
      </c>
      <c r="K1418" s="47">
        <v>273.55</v>
      </c>
      <c r="L1418" s="47">
        <v>267.95499999999998</v>
      </c>
      <c r="M1418" s="709">
        <v>257.83100000000002</v>
      </c>
      <c r="N1418" s="709"/>
    </row>
    <row r="1419" spans="1:15" ht="14.5" customHeight="1" x14ac:dyDescent="0.25">
      <c r="A1419" s="93" t="s">
        <v>21</v>
      </c>
      <c r="B1419" s="97"/>
      <c r="C1419" s="97"/>
      <c r="D1419" s="97">
        <v>2.58</v>
      </c>
      <c r="E1419" s="97">
        <v>0.27</v>
      </c>
      <c r="F1419" s="708">
        <v>2.0299999999999998</v>
      </c>
      <c r="G1419" s="708">
        <v>1.5670000000000073</v>
      </c>
      <c r="H1419" s="47">
        <f>H1416-H1418</f>
        <v>4.2999999999999829</v>
      </c>
      <c r="I1419" s="47">
        <f>I1416-I1418</f>
        <v>12.059999999999974</v>
      </c>
      <c r="J1419" s="47">
        <f>J1416-J1418</f>
        <v>7.7239999999999895</v>
      </c>
      <c r="K1419" s="47">
        <f>K1416-K1418</f>
        <v>5.1739999999999782</v>
      </c>
      <c r="L1419" s="47">
        <f>L1416-L1418</f>
        <v>8.2150000000000318</v>
      </c>
      <c r="M1419" s="940">
        <v>21393</v>
      </c>
      <c r="N1419" s="709"/>
    </row>
    <row r="1420" spans="1:15" ht="14.5" customHeight="1" x14ac:dyDescent="0.25">
      <c r="A1420" s="126" t="s">
        <v>22</v>
      </c>
      <c r="B1420" s="20"/>
      <c r="C1420" s="20"/>
      <c r="D1420" s="20"/>
      <c r="E1420" s="20"/>
      <c r="F1420" s="659"/>
      <c r="G1420" s="660">
        <v>2020</v>
      </c>
      <c r="H1420" s="498">
        <v>2021</v>
      </c>
      <c r="I1420" s="703">
        <v>2022</v>
      </c>
      <c r="J1420" s="703">
        <v>2023</v>
      </c>
      <c r="K1420" s="703">
        <v>2024</v>
      </c>
      <c r="L1420" s="703">
        <v>2025</v>
      </c>
      <c r="M1420" s="703">
        <v>2026</v>
      </c>
      <c r="N1420" s="703">
        <v>2027</v>
      </c>
    </row>
    <row r="1421" spans="1:15" ht="14.5" customHeight="1" x14ac:dyDescent="0.25">
      <c r="A1421" s="126" t="s">
        <v>295</v>
      </c>
      <c r="B1421" s="127"/>
      <c r="C1421" s="127"/>
      <c r="D1421" s="127"/>
      <c r="E1421" s="127"/>
      <c r="F1421" s="720"/>
      <c r="G1421" s="720"/>
      <c r="H1421" s="669"/>
      <c r="I1421" s="669"/>
      <c r="J1421" s="669"/>
      <c r="K1421" s="669"/>
      <c r="L1421" s="669"/>
      <c r="M1421" s="669"/>
      <c r="N1421" s="672"/>
    </row>
    <row r="1422" spans="1:15" ht="14.5" customHeight="1" x14ac:dyDescent="0.25">
      <c r="A1422" s="128" t="s">
        <v>296</v>
      </c>
      <c r="B1422" s="13"/>
      <c r="C1422" s="13"/>
      <c r="D1422" s="13"/>
      <c r="E1422" s="13"/>
      <c r="F1422" s="657"/>
      <c r="G1422" s="657"/>
      <c r="N1422" s="684"/>
    </row>
    <row r="1423" spans="1:15" ht="14.5" customHeight="1" x14ac:dyDescent="0.25">
      <c r="A1423" s="128" t="s">
        <v>297</v>
      </c>
      <c r="B1423" s="13"/>
      <c r="C1423" s="13"/>
      <c r="D1423" s="13"/>
      <c r="E1423" s="13"/>
      <c r="F1423" s="657"/>
      <c r="G1423" s="657"/>
      <c r="N1423" s="684"/>
    </row>
    <row r="1424" spans="1:15" ht="14.5" customHeight="1" x14ac:dyDescent="0.25">
      <c r="A1424" s="128" t="s">
        <v>298</v>
      </c>
      <c r="B1424" s="13"/>
      <c r="C1424" s="13"/>
      <c r="D1424" s="13"/>
      <c r="E1424" s="13"/>
      <c r="F1424" s="657"/>
      <c r="G1424" s="657"/>
      <c r="N1424" s="684"/>
    </row>
    <row r="1425" spans="1:14" ht="14.5" customHeight="1" x14ac:dyDescent="0.25">
      <c r="A1425" s="128" t="s">
        <v>505</v>
      </c>
      <c r="B1425" s="13"/>
      <c r="C1425" s="13"/>
      <c r="D1425" s="13"/>
      <c r="E1425" s="13"/>
      <c r="F1425" s="657"/>
      <c r="G1425" s="657"/>
      <c r="N1425" s="684"/>
    </row>
    <row r="1426" spans="1:14" ht="14.5" customHeight="1" x14ac:dyDescent="0.25">
      <c r="A1426" s="128" t="s">
        <v>675</v>
      </c>
      <c r="B1426" s="13"/>
      <c r="C1426" s="13"/>
      <c r="D1426" s="13"/>
      <c r="E1426" s="13"/>
      <c r="F1426" s="657"/>
      <c r="G1426" s="657"/>
      <c r="N1426" s="684"/>
    </row>
    <row r="1427" spans="1:14" ht="14.5" customHeight="1" x14ac:dyDescent="0.25">
      <c r="A1427" s="128" t="s">
        <v>826</v>
      </c>
      <c r="B1427" s="13"/>
      <c r="C1427" s="13"/>
      <c r="D1427" s="13"/>
      <c r="E1427" s="13"/>
      <c r="F1427" s="657"/>
      <c r="G1427" s="657"/>
      <c r="N1427" s="684"/>
    </row>
    <row r="1428" spans="1:14" ht="14.5" customHeight="1" x14ac:dyDescent="0.25">
      <c r="A1428" s="298" t="s">
        <v>827</v>
      </c>
      <c r="B1428" s="121"/>
      <c r="C1428" s="121"/>
      <c r="D1428" s="121"/>
      <c r="E1428" s="121"/>
      <c r="F1428" s="716"/>
      <c r="G1428" s="716"/>
      <c r="H1428" s="685"/>
      <c r="I1428" s="685"/>
      <c r="J1428" s="685"/>
      <c r="K1428" s="685"/>
      <c r="L1428" s="685"/>
      <c r="M1428" s="685"/>
      <c r="N1428" s="675"/>
    </row>
    <row r="1429" spans="1:14" ht="14.5" customHeight="1" x14ac:dyDescent="0.25">
      <c r="A1429" s="183"/>
      <c r="B1429" s="183"/>
      <c r="C1429" s="183"/>
      <c r="D1429" s="183"/>
      <c r="E1429" s="183"/>
      <c r="F1429" s="761"/>
      <c r="G1429" s="761"/>
      <c r="H1429" s="761"/>
    </row>
    <row r="1430" spans="1:14" x14ac:dyDescent="0.25">
      <c r="A1430" s="10" t="s">
        <v>203</v>
      </c>
      <c r="B1430" s="11" t="s">
        <v>66</v>
      </c>
      <c r="C1430" s="11" t="s">
        <v>152</v>
      </c>
      <c r="D1430" s="13"/>
      <c r="E1430" s="13"/>
      <c r="F1430" s="657"/>
      <c r="G1430" s="657"/>
    </row>
    <row r="1431" spans="1:14" x14ac:dyDescent="0.25">
      <c r="A1431" s="298" t="s">
        <v>16</v>
      </c>
      <c r="B1431" s="329">
        <v>2014</v>
      </c>
      <c r="C1431" s="300">
        <v>2015</v>
      </c>
      <c r="D1431" s="300">
        <v>2016</v>
      </c>
      <c r="E1431" s="300">
        <v>2017</v>
      </c>
      <c r="F1431" s="824">
        <v>2018</v>
      </c>
      <c r="G1431" s="824">
        <v>2019</v>
      </c>
      <c r="H1431" s="770">
        <v>2020</v>
      </c>
      <c r="I1431" s="770">
        <v>2021</v>
      </c>
      <c r="J1431" s="770">
        <v>2022</v>
      </c>
      <c r="K1431" s="770">
        <v>2023</v>
      </c>
      <c r="L1431" s="770">
        <v>2024</v>
      </c>
      <c r="M1431" s="501" t="s">
        <v>1168</v>
      </c>
      <c r="N1431" s="501">
        <v>2026</v>
      </c>
    </row>
    <row r="1432" spans="1:14" x14ac:dyDescent="0.25">
      <c r="A1432" s="93" t="s">
        <v>17</v>
      </c>
      <c r="B1432" s="97">
        <v>1983</v>
      </c>
      <c r="C1432" s="97">
        <v>1983</v>
      </c>
      <c r="D1432" s="97">
        <v>1486</v>
      </c>
      <c r="E1432" s="97">
        <v>1486</v>
      </c>
      <c r="F1432" s="708">
        <v>1486</v>
      </c>
      <c r="G1432" s="708">
        <v>1486</v>
      </c>
      <c r="H1432" s="47">
        <v>1000</v>
      </c>
      <c r="I1432" s="47">
        <v>984</v>
      </c>
      <c r="J1432" s="47">
        <v>992</v>
      </c>
      <c r="K1432" s="47">
        <v>992</v>
      </c>
      <c r="L1432" s="47">
        <v>992</v>
      </c>
      <c r="M1432" s="496">
        <v>1100</v>
      </c>
      <c r="N1432" s="496">
        <v>1100</v>
      </c>
    </row>
    <row r="1433" spans="1:14" x14ac:dyDescent="0.25">
      <c r="A1433" s="93" t="s">
        <v>18</v>
      </c>
      <c r="B1433" s="97">
        <v>2557.9</v>
      </c>
      <c r="C1433" s="97">
        <v>2557.9</v>
      </c>
      <c r="D1433" s="97">
        <v>2080.9</v>
      </c>
      <c r="E1433" s="97">
        <v>1708.9</v>
      </c>
      <c r="F1433" s="708">
        <v>1485.9</v>
      </c>
      <c r="G1433" s="708">
        <v>1485.9</v>
      </c>
      <c r="H1433" s="47">
        <f>H1432+F1432*0.15-223</f>
        <v>999.90000000000009</v>
      </c>
      <c r="I1433" s="47">
        <f>I1432-223+G1432*0.1</f>
        <v>909.6</v>
      </c>
      <c r="J1433" s="47">
        <f>J1432-223+H1432*0.1</f>
        <v>869</v>
      </c>
      <c r="K1433" s="47">
        <f>K1432+0.1*I1432-223</f>
        <v>867.40000000000009</v>
      </c>
      <c r="L1433" s="47">
        <f>L1432+0.1*J1432-223</f>
        <v>868.2</v>
      </c>
      <c r="M1433" s="504">
        <v>1010.74</v>
      </c>
      <c r="N1433" s="504">
        <v>1010.74</v>
      </c>
    </row>
    <row r="1434" spans="1:14" ht="29.15" customHeight="1" x14ac:dyDescent="0.25">
      <c r="A1434" s="93" t="s">
        <v>19</v>
      </c>
      <c r="B1434" s="303" t="s">
        <v>145</v>
      </c>
      <c r="C1434" s="303" t="s">
        <v>145</v>
      </c>
      <c r="D1434" s="303" t="s">
        <v>146</v>
      </c>
      <c r="E1434" s="303" t="s">
        <v>147</v>
      </c>
      <c r="F1434" s="826" t="s">
        <v>215</v>
      </c>
      <c r="G1434" s="826" t="s">
        <v>216</v>
      </c>
      <c r="H1434" s="797" t="s">
        <v>508</v>
      </c>
      <c r="I1434" s="797" t="s">
        <v>677</v>
      </c>
      <c r="J1434" s="797" t="s">
        <v>678</v>
      </c>
      <c r="K1434" s="797" t="s">
        <v>831</v>
      </c>
      <c r="L1434" s="797" t="s">
        <v>1033</v>
      </c>
      <c r="M1434" s="504" t="s">
        <v>1344</v>
      </c>
      <c r="N1434" s="504" t="s">
        <v>1344</v>
      </c>
    </row>
    <row r="1435" spans="1:14" x14ac:dyDescent="0.25">
      <c r="A1435" s="93" t="s">
        <v>20</v>
      </c>
      <c r="B1435" s="97">
        <v>1038.83</v>
      </c>
      <c r="C1435" s="97">
        <v>670.7</v>
      </c>
      <c r="D1435" s="97">
        <v>561.97</v>
      </c>
      <c r="E1435" s="97">
        <v>432.09</v>
      </c>
      <c r="F1435" s="708">
        <v>662.7</v>
      </c>
      <c r="G1435" s="708">
        <v>539.84</v>
      </c>
      <c r="H1435" s="47">
        <v>587.15</v>
      </c>
      <c r="I1435" s="47">
        <v>674.38</v>
      </c>
      <c r="J1435" s="47">
        <v>763.45</v>
      </c>
      <c r="K1435" s="47">
        <v>724.12</v>
      </c>
      <c r="L1435" s="47">
        <v>728.31</v>
      </c>
      <c r="M1435" s="496">
        <v>754.46500000000003</v>
      </c>
      <c r="N1435" s="496"/>
    </row>
    <row r="1436" spans="1:14" x14ac:dyDescent="0.25">
      <c r="A1436" s="93" t="s">
        <v>21</v>
      </c>
      <c r="B1436" s="97">
        <v>1519.07</v>
      </c>
      <c r="C1436" s="97">
        <v>1887.2</v>
      </c>
      <c r="D1436" s="97">
        <v>1518.93</v>
      </c>
      <c r="E1436" s="97">
        <v>1276.8100000000002</v>
      </c>
      <c r="F1436" s="708">
        <v>823.2</v>
      </c>
      <c r="G1436" s="708">
        <f t="shared" ref="G1436:M1436" si="68">G1433-G1435</f>
        <v>946.06000000000006</v>
      </c>
      <c r="H1436" s="47">
        <f t="shared" si="68"/>
        <v>412.75000000000011</v>
      </c>
      <c r="I1436" s="47">
        <f t="shared" si="68"/>
        <v>235.22000000000003</v>
      </c>
      <c r="J1436" s="47">
        <f t="shared" si="68"/>
        <v>105.54999999999995</v>
      </c>
      <c r="K1436" s="47">
        <f t="shared" si="68"/>
        <v>143.28000000000009</v>
      </c>
      <c r="L1436" s="47">
        <f t="shared" si="68"/>
        <v>139.8900000000001</v>
      </c>
      <c r="M1436" s="47">
        <f t="shared" si="68"/>
        <v>256.27499999999998</v>
      </c>
      <c r="N1436" s="496"/>
    </row>
    <row r="1437" spans="1:14" x14ac:dyDescent="0.25">
      <c r="A1437" s="126" t="s">
        <v>22</v>
      </c>
      <c r="B1437" s="21">
        <v>2016</v>
      </c>
      <c r="C1437" s="21">
        <v>2017</v>
      </c>
      <c r="D1437" s="21">
        <v>2018</v>
      </c>
      <c r="E1437" s="21">
        <v>2019</v>
      </c>
      <c r="F1437" s="660">
        <v>2020</v>
      </c>
      <c r="G1437" s="660">
        <v>2021</v>
      </c>
      <c r="H1437" s="498">
        <v>2022</v>
      </c>
      <c r="I1437" s="498">
        <v>2023</v>
      </c>
      <c r="J1437" s="498">
        <v>2024</v>
      </c>
      <c r="K1437" s="498">
        <v>2025</v>
      </c>
      <c r="L1437" s="498">
        <v>2026</v>
      </c>
      <c r="M1437" s="498">
        <v>2027</v>
      </c>
      <c r="N1437" s="498">
        <v>2028</v>
      </c>
    </row>
    <row r="1438" spans="1:14" x14ac:dyDescent="0.25">
      <c r="A1438" s="126" t="s">
        <v>580</v>
      </c>
      <c r="B1438" s="305"/>
      <c r="C1438" s="305"/>
      <c r="D1438" s="305"/>
      <c r="E1438" s="305"/>
      <c r="F1438" s="829"/>
      <c r="G1438" s="829"/>
      <c r="H1438" s="784"/>
      <c r="I1438" s="784"/>
      <c r="J1438" s="784"/>
      <c r="K1438" s="784"/>
      <c r="L1438" s="784"/>
      <c r="M1438" s="669"/>
      <c r="N1438" s="672"/>
    </row>
    <row r="1439" spans="1:14" x14ac:dyDescent="0.25">
      <c r="A1439" s="128" t="s">
        <v>288</v>
      </c>
      <c r="B1439" s="13"/>
      <c r="C1439" s="13"/>
      <c r="D1439" s="13"/>
      <c r="E1439" s="13"/>
      <c r="F1439" s="657"/>
      <c r="G1439" s="657"/>
      <c r="N1439" s="684"/>
    </row>
    <row r="1440" spans="1:14" x14ac:dyDescent="0.25">
      <c r="A1440" s="128" t="s">
        <v>289</v>
      </c>
      <c r="B1440" s="13"/>
      <c r="C1440" s="13"/>
      <c r="D1440" s="13"/>
      <c r="E1440" s="13"/>
      <c r="F1440" s="657"/>
      <c r="G1440" s="657"/>
      <c r="N1440" s="684"/>
    </row>
    <row r="1441" spans="1:14" x14ac:dyDescent="0.25">
      <c r="A1441" s="128" t="s">
        <v>509</v>
      </c>
      <c r="B1441" s="13"/>
      <c r="C1441" s="13"/>
      <c r="D1441" s="13"/>
      <c r="E1441" s="13"/>
      <c r="F1441" s="657"/>
      <c r="G1441" s="657"/>
      <c r="N1441" s="684"/>
    </row>
    <row r="1442" spans="1:14" x14ac:dyDescent="0.25">
      <c r="A1442" s="128" t="s">
        <v>148</v>
      </c>
      <c r="B1442" s="13"/>
      <c r="C1442" s="13"/>
      <c r="D1442" s="13"/>
      <c r="E1442" s="13"/>
      <c r="F1442" s="657"/>
      <c r="G1442" s="657"/>
      <c r="N1442" s="684"/>
    </row>
    <row r="1443" spans="1:14" x14ac:dyDescent="0.25">
      <c r="A1443" s="128" t="s">
        <v>507</v>
      </c>
      <c r="B1443" s="13"/>
      <c r="C1443" s="13"/>
      <c r="D1443" s="13"/>
      <c r="E1443" s="13"/>
      <c r="F1443" s="657"/>
      <c r="G1443" s="657"/>
      <c r="N1443" s="684"/>
    </row>
    <row r="1444" spans="1:14" x14ac:dyDescent="0.25">
      <c r="A1444" s="128" t="s">
        <v>679</v>
      </c>
      <c r="B1444" s="13"/>
      <c r="C1444" s="13"/>
      <c r="D1444" s="13"/>
      <c r="E1444" s="13"/>
      <c r="F1444" s="657"/>
      <c r="G1444" s="657"/>
      <c r="N1444" s="684"/>
    </row>
    <row r="1445" spans="1:14" x14ac:dyDescent="0.25">
      <c r="A1445" s="128" t="s">
        <v>829</v>
      </c>
      <c r="B1445" s="13"/>
      <c r="C1445" s="13"/>
      <c r="D1445" s="13"/>
      <c r="E1445" s="13"/>
      <c r="F1445" s="657"/>
      <c r="G1445" s="657"/>
      <c r="N1445" s="684"/>
    </row>
    <row r="1446" spans="1:14" x14ac:dyDescent="0.25">
      <c r="A1446" s="298" t="s">
        <v>830</v>
      </c>
      <c r="B1446" s="121"/>
      <c r="C1446" s="121"/>
      <c r="D1446" s="121"/>
      <c r="E1446" s="121"/>
      <c r="F1446" s="716"/>
      <c r="G1446" s="716"/>
      <c r="H1446" s="685"/>
      <c r="I1446" s="685"/>
      <c r="J1446" s="685"/>
      <c r="K1446" s="685"/>
      <c r="L1446" s="685"/>
      <c r="M1446" s="685"/>
      <c r="N1446" s="675"/>
    </row>
    <row r="1447" spans="1:14" x14ac:dyDescent="0.25">
      <c r="A1447" s="13"/>
      <c r="B1447" s="13"/>
      <c r="C1447" s="13"/>
      <c r="D1447" s="13"/>
      <c r="E1447" s="13"/>
      <c r="F1447" s="657"/>
      <c r="G1447" s="657"/>
    </row>
    <row r="1448" spans="1:14" x14ac:dyDescent="0.25">
      <c r="A1448" s="362"/>
      <c r="C1448" s="387"/>
    </row>
    <row r="1449" spans="1:14" x14ac:dyDescent="0.25">
      <c r="A1449" s="10" t="s">
        <v>203</v>
      </c>
      <c r="B1449" s="11" t="s">
        <v>74</v>
      </c>
      <c r="C1449" s="11" t="s">
        <v>152</v>
      </c>
      <c r="D1449" s="13"/>
      <c r="E1449" s="13"/>
      <c r="F1449" s="657"/>
      <c r="G1449" s="657"/>
    </row>
    <row r="1450" spans="1:14" x14ac:dyDescent="0.25">
      <c r="A1450" s="298" t="s">
        <v>16</v>
      </c>
      <c r="B1450" s="329">
        <v>2014</v>
      </c>
      <c r="C1450" s="300">
        <v>2015</v>
      </c>
      <c r="D1450" s="300">
        <v>2016</v>
      </c>
      <c r="E1450" s="300">
        <v>2017</v>
      </c>
      <c r="F1450" s="824">
        <v>2018</v>
      </c>
      <c r="G1450" s="824">
        <v>2019</v>
      </c>
      <c r="H1450" s="770">
        <v>2020</v>
      </c>
      <c r="I1450" s="770">
        <v>2021</v>
      </c>
      <c r="J1450" s="770">
        <v>2022</v>
      </c>
      <c r="K1450" s="770">
        <v>2023</v>
      </c>
      <c r="L1450" s="770">
        <v>2024</v>
      </c>
      <c r="M1450" s="770">
        <v>2025</v>
      </c>
      <c r="N1450" s="770">
        <v>2026</v>
      </c>
    </row>
    <row r="1451" spans="1:14" x14ac:dyDescent="0.25">
      <c r="A1451" s="93" t="s">
        <v>17</v>
      </c>
      <c r="B1451" s="97">
        <v>35</v>
      </c>
      <c r="C1451" s="97">
        <v>35</v>
      </c>
      <c r="D1451" s="97">
        <v>35</v>
      </c>
      <c r="E1451" s="97">
        <v>35</v>
      </c>
      <c r="F1451" s="708">
        <v>35</v>
      </c>
      <c r="G1451" s="708">
        <v>35</v>
      </c>
      <c r="H1451" s="47">
        <v>29.4</v>
      </c>
      <c r="I1451" s="47">
        <v>29.4</v>
      </c>
      <c r="J1451" s="47">
        <v>29.4</v>
      </c>
      <c r="K1451" s="47">
        <v>29.4</v>
      </c>
      <c r="L1451" s="47">
        <v>29.4</v>
      </c>
      <c r="M1451" s="47">
        <v>29.4</v>
      </c>
      <c r="N1451" s="47">
        <v>29.4</v>
      </c>
    </row>
    <row r="1452" spans="1:14" x14ac:dyDescent="0.25">
      <c r="A1452" s="93" t="s">
        <v>18</v>
      </c>
      <c r="B1452" s="97">
        <v>35</v>
      </c>
      <c r="C1452" s="97">
        <v>42</v>
      </c>
      <c r="D1452" s="97">
        <v>42</v>
      </c>
      <c r="E1452" s="97">
        <v>42</v>
      </c>
      <c r="F1452" s="708">
        <v>42</v>
      </c>
      <c r="G1452" s="708">
        <v>42</v>
      </c>
      <c r="H1452" s="47">
        <v>36.4</v>
      </c>
      <c r="I1452" s="47">
        <v>36.4</v>
      </c>
      <c r="J1452" s="47"/>
      <c r="K1452" s="47"/>
      <c r="L1452" s="47">
        <v>29.4</v>
      </c>
      <c r="M1452" s="47">
        <v>29.4</v>
      </c>
      <c r="N1452" s="47">
        <v>29.4</v>
      </c>
    </row>
    <row r="1453" spans="1:14" x14ac:dyDescent="0.25">
      <c r="A1453" s="93" t="s">
        <v>19</v>
      </c>
      <c r="B1453" s="313" t="s">
        <v>136</v>
      </c>
      <c r="C1453" s="505" t="s">
        <v>149</v>
      </c>
      <c r="D1453" s="505" t="s">
        <v>149</v>
      </c>
      <c r="E1453" s="505" t="s">
        <v>149</v>
      </c>
      <c r="F1453" s="941" t="s">
        <v>149</v>
      </c>
      <c r="G1453" s="941" t="s">
        <v>149</v>
      </c>
      <c r="H1453" s="851" t="s">
        <v>299</v>
      </c>
      <c r="I1453" s="851" t="s">
        <v>299</v>
      </c>
      <c r="J1453" s="851"/>
      <c r="K1453" s="851"/>
      <c r="L1453" s="47">
        <v>29.4</v>
      </c>
      <c r="M1453" s="47">
        <v>29.4</v>
      </c>
      <c r="N1453" s="47">
        <v>29.4</v>
      </c>
    </row>
    <row r="1454" spans="1:14" x14ac:dyDescent="0.25">
      <c r="A1454" s="93" t="s">
        <v>20</v>
      </c>
      <c r="B1454" s="97">
        <v>9.7799999999999994</v>
      </c>
      <c r="C1454" s="97">
        <v>3.07</v>
      </c>
      <c r="D1454" s="97">
        <v>26.19</v>
      </c>
      <c r="E1454" s="97">
        <v>25.13</v>
      </c>
      <c r="F1454" s="708">
        <v>24.55</v>
      </c>
      <c r="G1454" s="708">
        <v>12.91</v>
      </c>
      <c r="H1454" s="47">
        <v>20.36</v>
      </c>
      <c r="I1454" s="47">
        <v>11.52</v>
      </c>
      <c r="J1454" s="47">
        <v>10.3</v>
      </c>
      <c r="K1454" s="47">
        <v>12.92</v>
      </c>
      <c r="L1454" s="47">
        <v>16.309999999999999</v>
      </c>
      <c r="M1454" s="47">
        <v>14.975</v>
      </c>
      <c r="N1454" s="47"/>
    </row>
    <row r="1455" spans="1:14" x14ac:dyDescent="0.25">
      <c r="A1455" s="93" t="s">
        <v>21</v>
      </c>
      <c r="B1455" s="97">
        <v>25.22</v>
      </c>
      <c r="C1455" s="97">
        <v>38.93</v>
      </c>
      <c r="D1455" s="97">
        <v>15.81</v>
      </c>
      <c r="E1455" s="97">
        <v>16.87</v>
      </c>
      <c r="F1455" s="708">
        <v>17.45</v>
      </c>
      <c r="G1455" s="708">
        <f>G1452-G1454</f>
        <v>29.09</v>
      </c>
      <c r="H1455" s="47">
        <f>H1452-H1454</f>
        <v>16.04</v>
      </c>
      <c r="I1455" s="47">
        <f>I1452-I1454</f>
        <v>24.88</v>
      </c>
      <c r="J1455" s="47">
        <f>J1451-J1454</f>
        <v>19.099999999999998</v>
      </c>
      <c r="K1455" s="47">
        <f>K1451-K1454</f>
        <v>16.479999999999997</v>
      </c>
      <c r="L1455" s="47">
        <f>L1451-L1454</f>
        <v>13.09</v>
      </c>
      <c r="M1455" s="47">
        <f>M1451-M1454</f>
        <v>14.424999999999999</v>
      </c>
      <c r="N1455" s="709"/>
    </row>
    <row r="1456" spans="1:14" x14ac:dyDescent="0.25">
      <c r="A1456" s="102" t="s">
        <v>22</v>
      </c>
      <c r="B1456" s="503">
        <v>2016</v>
      </c>
      <c r="C1456" s="503">
        <v>2017</v>
      </c>
      <c r="D1456" s="503">
        <v>2018</v>
      </c>
      <c r="E1456" s="503">
        <v>2019</v>
      </c>
      <c r="F1456" s="939">
        <v>2020</v>
      </c>
      <c r="G1456" s="939">
        <v>2021</v>
      </c>
      <c r="H1456" s="939">
        <v>2022</v>
      </c>
      <c r="I1456" s="939">
        <v>2023</v>
      </c>
      <c r="J1456" s="939">
        <v>2024</v>
      </c>
      <c r="K1456" s="939">
        <v>2025</v>
      </c>
      <c r="L1456" s="939">
        <v>2026</v>
      </c>
      <c r="M1456" s="939">
        <v>2027</v>
      </c>
      <c r="N1456" s="939">
        <v>2028</v>
      </c>
    </row>
    <row r="1457" spans="1:14" x14ac:dyDescent="0.25">
      <c r="A1457" s="126" t="s">
        <v>150</v>
      </c>
      <c r="B1457" s="305"/>
      <c r="C1457" s="305"/>
      <c r="D1457" s="305"/>
      <c r="E1457" s="305"/>
      <c r="F1457" s="829"/>
      <c r="G1457" s="829"/>
      <c r="H1457" s="829"/>
      <c r="I1457" s="829"/>
      <c r="J1457" s="829"/>
      <c r="K1457" s="829"/>
      <c r="L1457" s="669"/>
      <c r="M1457" s="669"/>
      <c r="N1457" s="672"/>
    </row>
    <row r="1458" spans="1:14" x14ac:dyDescent="0.25">
      <c r="A1458" s="128" t="s">
        <v>581</v>
      </c>
      <c r="B1458" s="499"/>
      <c r="C1458" s="499"/>
      <c r="D1458" s="499"/>
      <c r="E1458" s="499"/>
      <c r="F1458" s="937"/>
      <c r="G1458" s="937"/>
      <c r="H1458" s="937"/>
      <c r="I1458" s="937"/>
      <c r="J1458" s="937"/>
      <c r="K1458" s="937"/>
      <c r="N1458" s="684"/>
    </row>
    <row r="1459" spans="1:14" x14ac:dyDescent="0.25">
      <c r="A1459" s="146" t="s">
        <v>510</v>
      </c>
      <c r="B1459" s="147"/>
      <c r="C1459" s="147"/>
      <c r="D1459" s="147"/>
      <c r="E1459" s="147"/>
      <c r="F1459" s="734"/>
      <c r="G1459" s="734"/>
      <c r="H1459" s="734"/>
      <c r="I1459" s="734"/>
      <c r="J1459" s="734"/>
      <c r="K1459" s="734"/>
      <c r="L1459" s="685"/>
      <c r="M1459" s="685"/>
      <c r="N1459" s="675"/>
    </row>
    <row r="1460" spans="1:14" x14ac:dyDescent="0.25">
      <c r="A1460" s="362"/>
      <c r="C1460" s="387"/>
    </row>
    <row r="1461" spans="1:14" x14ac:dyDescent="0.25">
      <c r="A1461" s="10" t="s">
        <v>14</v>
      </c>
      <c r="B1461" s="11" t="s">
        <v>79</v>
      </c>
      <c r="C1461" s="11" t="s">
        <v>152</v>
      </c>
      <c r="D1461" s="13"/>
      <c r="E1461" s="13"/>
      <c r="F1461" s="657"/>
      <c r="G1461" s="657"/>
    </row>
    <row r="1462" spans="1:14" x14ac:dyDescent="0.25">
      <c r="A1462" s="298" t="s">
        <v>16</v>
      </c>
      <c r="B1462" s="329">
        <v>2014</v>
      </c>
      <c r="C1462" s="300">
        <v>2015</v>
      </c>
      <c r="D1462" s="300">
        <v>2016</v>
      </c>
      <c r="E1462" s="300">
        <v>2017</v>
      </c>
      <c r="F1462" s="824">
        <v>2018</v>
      </c>
      <c r="G1462" s="824">
        <v>2019</v>
      </c>
      <c r="H1462" s="770">
        <v>2020</v>
      </c>
      <c r="I1462" s="770">
        <v>2021</v>
      </c>
      <c r="J1462" s="770">
        <v>2022</v>
      </c>
      <c r="K1462" s="770">
        <v>2023</v>
      </c>
      <c r="L1462" s="501">
        <v>2024</v>
      </c>
      <c r="M1462" s="501">
        <v>2025</v>
      </c>
      <c r="N1462" s="501">
        <v>2026</v>
      </c>
    </row>
    <row r="1463" spans="1:14" x14ac:dyDescent="0.25">
      <c r="A1463" s="93" t="s">
        <v>17</v>
      </c>
      <c r="B1463" s="97">
        <v>20</v>
      </c>
      <c r="C1463" s="97">
        <v>20</v>
      </c>
      <c r="D1463" s="97">
        <v>20</v>
      </c>
      <c r="E1463" s="97">
        <v>20</v>
      </c>
      <c r="F1463" s="708">
        <v>20</v>
      </c>
      <c r="G1463" s="708">
        <v>20</v>
      </c>
      <c r="H1463" s="708">
        <v>20</v>
      </c>
      <c r="I1463" s="708">
        <v>20</v>
      </c>
      <c r="J1463" s="708">
        <v>20</v>
      </c>
      <c r="K1463" s="708">
        <v>20</v>
      </c>
      <c r="L1463" s="506">
        <v>20</v>
      </c>
      <c r="M1463" s="506">
        <v>20</v>
      </c>
      <c r="N1463" s="506">
        <v>20</v>
      </c>
    </row>
    <row r="1464" spans="1:14" x14ac:dyDescent="0.25">
      <c r="A1464" s="93" t="s">
        <v>18</v>
      </c>
      <c r="B1464" s="97">
        <v>20</v>
      </c>
      <c r="C1464" s="97">
        <v>24</v>
      </c>
      <c r="D1464" s="97">
        <v>24</v>
      </c>
      <c r="E1464" s="97">
        <v>24</v>
      </c>
      <c r="F1464" s="708">
        <v>24</v>
      </c>
      <c r="G1464" s="708">
        <v>24</v>
      </c>
      <c r="H1464" s="708">
        <v>24</v>
      </c>
      <c r="I1464" s="708">
        <v>24</v>
      </c>
      <c r="J1464" s="708"/>
      <c r="K1464" s="708"/>
      <c r="L1464" s="506">
        <v>20</v>
      </c>
      <c r="M1464" s="506">
        <v>20</v>
      </c>
      <c r="N1464" s="506">
        <v>20</v>
      </c>
    </row>
    <row r="1465" spans="1:14" x14ac:dyDescent="0.25">
      <c r="A1465" s="93" t="s">
        <v>19</v>
      </c>
      <c r="B1465" s="313" t="s">
        <v>136</v>
      </c>
      <c r="C1465" s="313" t="s">
        <v>151</v>
      </c>
      <c r="D1465" s="313" t="s">
        <v>151</v>
      </c>
      <c r="E1465" s="313" t="s">
        <v>151</v>
      </c>
      <c r="F1465" s="833" t="s">
        <v>151</v>
      </c>
      <c r="G1465" s="833" t="s">
        <v>151</v>
      </c>
      <c r="H1465" s="833" t="s">
        <v>151</v>
      </c>
      <c r="I1465" s="833" t="s">
        <v>151</v>
      </c>
      <c r="J1465" s="833"/>
      <c r="K1465" s="833"/>
      <c r="L1465" s="507">
        <v>20</v>
      </c>
      <c r="M1465" s="507">
        <v>20</v>
      </c>
      <c r="N1465" s="507">
        <v>20</v>
      </c>
    </row>
    <row r="1466" spans="1:14" x14ac:dyDescent="0.25">
      <c r="A1466" s="93" t="s">
        <v>20</v>
      </c>
      <c r="B1466" s="97">
        <v>0.15</v>
      </c>
      <c r="C1466" s="97">
        <v>0</v>
      </c>
      <c r="D1466" s="97">
        <v>0</v>
      </c>
      <c r="E1466" s="97">
        <v>0.14000000000000001</v>
      </c>
      <c r="F1466" s="708">
        <v>0</v>
      </c>
      <c r="G1466" s="708">
        <v>0</v>
      </c>
      <c r="H1466" s="47">
        <v>0</v>
      </c>
      <c r="I1466" s="47">
        <v>0</v>
      </c>
      <c r="J1466" s="47">
        <v>0</v>
      </c>
      <c r="K1466" s="47">
        <v>0</v>
      </c>
      <c r="L1466" s="496">
        <v>0</v>
      </c>
      <c r="M1466" s="496">
        <v>0</v>
      </c>
      <c r="N1466" s="496"/>
    </row>
    <row r="1467" spans="1:14" x14ac:dyDescent="0.25">
      <c r="A1467" s="93" t="s">
        <v>21</v>
      </c>
      <c r="B1467" s="97">
        <v>19.850000000000001</v>
      </c>
      <c r="C1467" s="97">
        <v>24</v>
      </c>
      <c r="D1467" s="97">
        <v>24</v>
      </c>
      <c r="E1467" s="97">
        <v>23.86</v>
      </c>
      <c r="F1467" s="708">
        <v>24</v>
      </c>
      <c r="G1467" s="708">
        <f>G1464-G1466</f>
        <v>24</v>
      </c>
      <c r="H1467" s="708">
        <f>H1464-H1466</f>
        <v>24</v>
      </c>
      <c r="I1467" s="47">
        <v>24</v>
      </c>
      <c r="J1467" s="47">
        <v>20</v>
      </c>
      <c r="K1467" s="47">
        <v>20</v>
      </c>
      <c r="L1467" s="496">
        <v>20</v>
      </c>
      <c r="M1467" s="496">
        <f>M1464-M1466</f>
        <v>20</v>
      </c>
      <c r="N1467" s="496"/>
    </row>
    <row r="1468" spans="1:14" x14ac:dyDescent="0.25">
      <c r="A1468" s="102" t="s">
        <v>22</v>
      </c>
      <c r="B1468" s="503">
        <v>2016</v>
      </c>
      <c r="C1468" s="503">
        <v>2017</v>
      </c>
      <c r="D1468" s="503">
        <v>2018</v>
      </c>
      <c r="E1468" s="503">
        <v>2019</v>
      </c>
      <c r="F1468" s="939">
        <v>2020</v>
      </c>
      <c r="G1468" s="939">
        <v>2021</v>
      </c>
      <c r="H1468" s="939"/>
      <c r="I1468" s="939"/>
      <c r="J1468" s="939"/>
      <c r="K1468" s="939"/>
      <c r="L1468" s="939"/>
      <c r="M1468" s="939"/>
      <c r="N1468" s="709"/>
    </row>
    <row r="1469" spans="1:14" x14ac:dyDescent="0.25">
      <c r="A1469" s="126" t="s">
        <v>150</v>
      </c>
      <c r="B1469" s="305"/>
      <c r="C1469" s="305"/>
      <c r="D1469" s="305"/>
      <c r="E1469" s="305"/>
      <c r="F1469" s="829"/>
      <c r="G1469" s="829"/>
      <c r="H1469" s="829"/>
      <c r="I1469" s="829"/>
      <c r="J1469" s="829"/>
      <c r="K1469" s="829"/>
      <c r="L1469" s="669"/>
      <c r="M1469" s="669"/>
      <c r="N1469" s="672"/>
    </row>
    <row r="1470" spans="1:14" x14ac:dyDescent="0.25">
      <c r="A1470" s="146" t="s">
        <v>510</v>
      </c>
      <c r="B1470" s="147"/>
      <c r="C1470" s="147"/>
      <c r="D1470" s="147"/>
      <c r="E1470" s="147"/>
      <c r="F1470" s="734"/>
      <c r="G1470" s="734"/>
      <c r="H1470" s="734"/>
      <c r="I1470" s="734"/>
      <c r="J1470" s="734"/>
      <c r="K1470" s="734"/>
      <c r="L1470" s="685"/>
      <c r="M1470" s="685"/>
      <c r="N1470" s="675"/>
    </row>
    <row r="1471" spans="1:14" x14ac:dyDescent="0.25">
      <c r="A1471" s="362"/>
      <c r="C1471" s="387"/>
    </row>
    <row r="1472" spans="1:14" x14ac:dyDescent="0.25">
      <c r="A1472" s="362"/>
      <c r="C1472" s="387"/>
    </row>
    <row r="1473" spans="1:15" x14ac:dyDescent="0.25">
      <c r="A1473" s="8" t="s">
        <v>12</v>
      </c>
      <c r="B1473" s="9" t="s">
        <v>398</v>
      </c>
    </row>
    <row r="1474" spans="1:15" s="265" customFormat="1" x14ac:dyDescent="0.25">
      <c r="A1474" s="8" t="s">
        <v>14</v>
      </c>
      <c r="B1474" s="9" t="s">
        <v>623</v>
      </c>
      <c r="C1474" s="9" t="s">
        <v>152</v>
      </c>
      <c r="D1474" s="6"/>
      <c r="E1474" s="6"/>
      <c r="F1474" s="68"/>
      <c r="G1474" s="68"/>
      <c r="H1474" s="68"/>
      <c r="I1474" s="68"/>
      <c r="J1474" s="68"/>
      <c r="K1474" s="280"/>
      <c r="L1474" s="280"/>
      <c r="M1474" s="280"/>
      <c r="N1474" s="280"/>
      <c r="O1474" s="280"/>
    </row>
    <row r="1475" spans="1:15" s="265" customFormat="1" x14ac:dyDescent="0.25">
      <c r="A1475" s="72" t="s">
        <v>16</v>
      </c>
      <c r="B1475" s="333">
        <v>2016</v>
      </c>
      <c r="C1475" s="210">
        <v>2017</v>
      </c>
      <c r="D1475" s="210">
        <v>2018</v>
      </c>
      <c r="E1475" s="210">
        <v>2019</v>
      </c>
      <c r="F1475" s="770">
        <v>2020</v>
      </c>
      <c r="G1475" s="770">
        <v>2021</v>
      </c>
      <c r="H1475" s="770">
        <v>2022</v>
      </c>
      <c r="I1475" s="770">
        <v>2023</v>
      </c>
      <c r="J1475" s="770">
        <v>2024</v>
      </c>
      <c r="K1475" s="770">
        <v>2025</v>
      </c>
      <c r="L1475" s="770">
        <v>2026</v>
      </c>
      <c r="M1475" s="280"/>
      <c r="N1475" s="280"/>
      <c r="O1475" s="280"/>
    </row>
    <row r="1476" spans="1:15" s="265" customFormat="1" x14ac:dyDescent="0.25">
      <c r="A1476" s="28" t="s">
        <v>17</v>
      </c>
      <c r="B1476" s="30"/>
      <c r="C1476" s="30"/>
      <c r="D1476" s="30"/>
      <c r="E1476" s="30"/>
      <c r="F1476" s="47"/>
      <c r="G1476" s="47"/>
      <c r="H1476" s="47"/>
      <c r="I1476" s="47"/>
      <c r="J1476" s="47"/>
      <c r="K1476" s="47"/>
      <c r="L1476" s="47"/>
      <c r="M1476" s="280"/>
      <c r="N1476" s="280"/>
      <c r="O1476" s="280"/>
    </row>
    <row r="1477" spans="1:15" s="265" customFormat="1" x14ac:dyDescent="0.25">
      <c r="A1477" s="28" t="s">
        <v>18</v>
      </c>
      <c r="B1477" s="30"/>
      <c r="C1477" s="30"/>
      <c r="D1477" s="30">
        <f>D1476-C1479</f>
        <v>-94.685890000000001</v>
      </c>
      <c r="E1477" s="30">
        <f t="shared" ref="E1477:K1477" si="69">E1476+D1480</f>
        <v>-97.335890000000006</v>
      </c>
      <c r="F1477" s="47">
        <f t="shared" si="69"/>
        <v>-104.01589000000001</v>
      </c>
      <c r="G1477" s="47">
        <f t="shared" si="69"/>
        <v>-110.74589000000002</v>
      </c>
      <c r="H1477" s="47">
        <f t="shared" si="69"/>
        <v>-114.20589000000001</v>
      </c>
      <c r="I1477" s="47">
        <f t="shared" si="69"/>
        <v>-114.69860000000001</v>
      </c>
      <c r="J1477" s="47">
        <f t="shared" si="69"/>
        <v>-115.27760000000001</v>
      </c>
      <c r="K1477" s="47">
        <f t="shared" si="69"/>
        <v>-118.1876</v>
      </c>
      <c r="L1477" s="47">
        <f>L1476+K1480</f>
        <v>-121.19760000000001</v>
      </c>
      <c r="M1477" s="280"/>
      <c r="N1477" s="280"/>
      <c r="O1477" s="280"/>
    </row>
    <row r="1478" spans="1:15" s="265" customFormat="1" x14ac:dyDescent="0.25">
      <c r="A1478" s="28" t="s">
        <v>19</v>
      </c>
      <c r="B1478" s="212"/>
      <c r="C1478" s="508" t="s">
        <v>862</v>
      </c>
      <c r="D1478" s="509"/>
      <c r="E1478" s="509"/>
      <c r="F1478" s="509"/>
      <c r="G1478" s="509"/>
      <c r="H1478" s="509"/>
      <c r="I1478" s="509"/>
      <c r="J1478" s="510"/>
      <c r="K1478" s="810"/>
      <c r="L1478" s="810"/>
      <c r="M1478" s="280"/>
      <c r="N1478" s="280"/>
      <c r="O1478" s="280"/>
    </row>
    <row r="1479" spans="1:15" s="265" customFormat="1" x14ac:dyDescent="0.25">
      <c r="A1479" s="28" t="s">
        <v>20</v>
      </c>
      <c r="B1479" s="212"/>
      <c r="C1479" s="511">
        <v>94.685890000000001</v>
      </c>
      <c r="D1479" s="511">
        <v>2.65</v>
      </c>
      <c r="E1479" s="512">
        <v>6.68</v>
      </c>
      <c r="F1479" s="252">
        <v>6.73</v>
      </c>
      <c r="G1479" s="252">
        <v>3.46</v>
      </c>
      <c r="H1479" s="47">
        <v>0.49270999999999998</v>
      </c>
      <c r="I1479" s="47">
        <v>0.57899999999999996</v>
      </c>
      <c r="J1479" s="47">
        <v>2.91</v>
      </c>
      <c r="K1479" s="47">
        <v>3.01</v>
      </c>
      <c r="L1479" s="810"/>
      <c r="M1479" s="280"/>
      <c r="N1479" s="280"/>
      <c r="O1479" s="280"/>
    </row>
    <row r="1480" spans="1:15" s="265" customFormat="1" x14ac:dyDescent="0.25">
      <c r="A1480" s="28" t="s">
        <v>21</v>
      </c>
      <c r="B1480" s="30"/>
      <c r="C1480" s="30">
        <f>C1476-C1479</f>
        <v>-94.685890000000001</v>
      </c>
      <c r="D1480" s="30">
        <f t="shared" ref="D1480:I1480" si="70">D1477-D1479</f>
        <v>-97.335890000000006</v>
      </c>
      <c r="E1480" s="30">
        <f t="shared" si="70"/>
        <v>-104.01589000000001</v>
      </c>
      <c r="F1480" s="47">
        <f t="shared" si="70"/>
        <v>-110.74589000000002</v>
      </c>
      <c r="G1480" s="47">
        <f t="shared" si="70"/>
        <v>-114.20589000000001</v>
      </c>
      <c r="H1480" s="47">
        <f t="shared" si="70"/>
        <v>-114.69860000000001</v>
      </c>
      <c r="I1480" s="47">
        <f t="shared" si="70"/>
        <v>-115.27760000000001</v>
      </c>
      <c r="J1480" s="47">
        <f>J1477-J1479</f>
        <v>-118.1876</v>
      </c>
      <c r="K1480" s="47">
        <f>K1477-K1479</f>
        <v>-121.19760000000001</v>
      </c>
      <c r="L1480" s="810"/>
      <c r="M1480" s="280"/>
      <c r="N1480" s="280"/>
      <c r="O1480" s="280"/>
    </row>
    <row r="1481" spans="1:15" s="265" customFormat="1" x14ac:dyDescent="0.25">
      <c r="A1481" s="34" t="s">
        <v>22</v>
      </c>
      <c r="B1481" s="513">
        <v>2017</v>
      </c>
      <c r="C1481" s="513">
        <v>2018</v>
      </c>
      <c r="D1481" s="513">
        <v>2019</v>
      </c>
      <c r="E1481" s="513">
        <v>2020</v>
      </c>
      <c r="F1481" s="942">
        <v>2021</v>
      </c>
      <c r="G1481" s="942">
        <v>2022</v>
      </c>
      <c r="H1481" s="942">
        <v>2023</v>
      </c>
      <c r="I1481" s="942">
        <v>2024</v>
      </c>
      <c r="J1481" s="942">
        <v>2025</v>
      </c>
      <c r="K1481" s="942">
        <v>2026</v>
      </c>
      <c r="L1481" s="942">
        <v>2027</v>
      </c>
      <c r="M1481" s="280"/>
      <c r="N1481" s="280"/>
      <c r="O1481" s="280"/>
    </row>
    <row r="1482" spans="1:15" s="265" customFormat="1" x14ac:dyDescent="0.25">
      <c r="A1482" s="36" t="s">
        <v>179</v>
      </c>
      <c r="B1482" s="37"/>
      <c r="C1482" s="37"/>
      <c r="D1482" s="37"/>
      <c r="E1482" s="37"/>
      <c r="F1482" s="669"/>
      <c r="G1482" s="669"/>
      <c r="H1482" s="669"/>
      <c r="I1482" s="669"/>
      <c r="J1482" s="669"/>
      <c r="K1482" s="815"/>
      <c r="L1482" s="806"/>
      <c r="M1482" s="280"/>
      <c r="N1482" s="280"/>
      <c r="O1482" s="280"/>
    </row>
    <row r="1483" spans="1:15" s="265" customFormat="1" x14ac:dyDescent="0.25">
      <c r="A1483" s="50" t="s">
        <v>1006</v>
      </c>
      <c r="B1483" s="51"/>
      <c r="C1483" s="51"/>
      <c r="D1483" s="51"/>
      <c r="E1483" s="51"/>
      <c r="F1483" s="676"/>
      <c r="G1483" s="676"/>
      <c r="H1483" s="676"/>
      <c r="I1483" s="676"/>
      <c r="J1483" s="676"/>
      <c r="K1483" s="943"/>
      <c r="L1483" s="944"/>
      <c r="M1483" s="280"/>
      <c r="N1483" s="280"/>
      <c r="O1483" s="280"/>
    </row>
    <row r="1484" spans="1:15" s="265" customFormat="1" x14ac:dyDescent="0.25">
      <c r="A1484" s="64"/>
      <c r="B1484" s="6"/>
      <c r="C1484" s="6"/>
      <c r="D1484" s="6"/>
      <c r="E1484" s="6"/>
      <c r="F1484" s="68"/>
      <c r="G1484" s="68"/>
      <c r="H1484" s="68"/>
      <c r="I1484" s="68"/>
      <c r="J1484" s="68"/>
      <c r="K1484" s="280"/>
      <c r="L1484" s="280"/>
      <c r="M1484" s="280"/>
      <c r="N1484" s="280"/>
      <c r="O1484" s="280"/>
    </row>
    <row r="1485" spans="1:15" s="265" customFormat="1" x14ac:dyDescent="0.25">
      <c r="A1485" s="64"/>
      <c r="B1485" s="6"/>
      <c r="C1485" s="6"/>
      <c r="D1485" s="6"/>
      <c r="E1485" s="6"/>
      <c r="F1485" s="68"/>
      <c r="G1485" s="68"/>
      <c r="H1485" s="68"/>
      <c r="I1485" s="68"/>
      <c r="J1485" s="68"/>
      <c r="K1485" s="280"/>
      <c r="L1485" s="280"/>
      <c r="M1485" s="280"/>
      <c r="N1485" s="280"/>
      <c r="O1485" s="280"/>
    </row>
    <row r="1486" spans="1:15" x14ac:dyDescent="0.25">
      <c r="A1486" s="8" t="s">
        <v>14</v>
      </c>
      <c r="B1486" s="9" t="s">
        <v>74</v>
      </c>
      <c r="C1486" s="27" t="s">
        <v>152</v>
      </c>
    </row>
    <row r="1487" spans="1:15" x14ac:dyDescent="0.25">
      <c r="A1487" s="72" t="s">
        <v>16</v>
      </c>
      <c r="B1487" s="333">
        <v>2016</v>
      </c>
      <c r="C1487" s="210">
        <v>2017</v>
      </c>
      <c r="D1487" s="210">
        <v>2018</v>
      </c>
      <c r="E1487" s="210">
        <v>2019</v>
      </c>
      <c r="F1487" s="770">
        <v>2020</v>
      </c>
      <c r="G1487" s="770">
        <v>2021</v>
      </c>
      <c r="H1487" s="770">
        <v>2022</v>
      </c>
      <c r="I1487" s="770">
        <v>2023</v>
      </c>
      <c r="J1487" s="770">
        <v>2024</v>
      </c>
      <c r="K1487" s="770">
        <v>2025</v>
      </c>
      <c r="L1487" s="770">
        <v>2026</v>
      </c>
    </row>
    <row r="1488" spans="1:15" x14ac:dyDescent="0.25">
      <c r="A1488" s="28" t="s">
        <v>17</v>
      </c>
      <c r="B1488" s="30">
        <v>10</v>
      </c>
      <c r="C1488" s="30">
        <v>10</v>
      </c>
      <c r="D1488" s="30">
        <v>10</v>
      </c>
      <c r="E1488" s="30">
        <v>10</v>
      </c>
      <c r="F1488" s="47">
        <v>10</v>
      </c>
      <c r="G1488" s="47">
        <v>10</v>
      </c>
      <c r="H1488" s="47">
        <v>10</v>
      </c>
      <c r="I1488" s="47">
        <v>10</v>
      </c>
      <c r="J1488" s="47">
        <v>10</v>
      </c>
      <c r="K1488" s="47">
        <v>10</v>
      </c>
      <c r="L1488" s="47">
        <v>10</v>
      </c>
    </row>
    <row r="1489" spans="1:15" x14ac:dyDescent="0.25">
      <c r="A1489" s="28" t="s">
        <v>18</v>
      </c>
      <c r="B1489" s="30">
        <v>10</v>
      </c>
      <c r="C1489" s="30">
        <f>C1488+B1492</f>
        <v>-106.85</v>
      </c>
      <c r="D1489" s="30">
        <f>D1488+C1492</f>
        <v>-107.18599999999999</v>
      </c>
      <c r="E1489" s="30">
        <f>E1488+D1492</f>
        <v>-97.965349999999987</v>
      </c>
      <c r="F1489" s="47">
        <f>F1488+E1492</f>
        <v>-89.945349999999991</v>
      </c>
      <c r="G1489" s="47">
        <f>F1492+G1488</f>
        <v>-81.765349999999984</v>
      </c>
      <c r="H1489" s="47">
        <f xml:space="preserve"> 1.25*G1492+H1488</f>
        <v>-94.519187499999973</v>
      </c>
      <c r="I1489" s="47">
        <f xml:space="preserve"> 1.25*H1492+I1488</f>
        <v>-115.64898437499997</v>
      </c>
      <c r="J1489" s="47">
        <f xml:space="preserve"> 1.25*I1492+J1488</f>
        <v>-136.97123046874995</v>
      </c>
      <c r="K1489" s="47">
        <f xml:space="preserve"> 1.25*J1492+K1488</f>
        <v>-161.21403808593743</v>
      </c>
      <c r="L1489" s="47">
        <f xml:space="preserve"> 1.25*K1492+L1488</f>
        <v>-191.51754760742179</v>
      </c>
    </row>
    <row r="1490" spans="1:15" x14ac:dyDescent="0.25">
      <c r="A1490" s="28" t="s">
        <v>19</v>
      </c>
      <c r="B1490" s="212"/>
      <c r="C1490" s="212" t="s">
        <v>399</v>
      </c>
      <c r="D1490" s="212" t="s">
        <v>400</v>
      </c>
      <c r="E1490" s="212" t="s">
        <v>401</v>
      </c>
      <c r="F1490" s="252" t="s">
        <v>402</v>
      </c>
      <c r="G1490" s="252" t="s">
        <v>566</v>
      </c>
      <c r="H1490" s="252" t="s">
        <v>604</v>
      </c>
      <c r="I1490" s="252" t="s">
        <v>625</v>
      </c>
      <c r="J1490" s="252" t="s">
        <v>783</v>
      </c>
      <c r="K1490" s="252" t="s">
        <v>991</v>
      </c>
      <c r="L1490" s="252" t="s">
        <v>1146</v>
      </c>
    </row>
    <row r="1491" spans="1:15" x14ac:dyDescent="0.25">
      <c r="A1491" s="28" t="s">
        <v>20</v>
      </c>
      <c r="B1491" s="212">
        <v>126.85</v>
      </c>
      <c r="C1491" s="212">
        <v>10.336</v>
      </c>
      <c r="D1491" s="212">
        <v>0.77934999999999999</v>
      </c>
      <c r="E1491" s="212">
        <v>1.98</v>
      </c>
      <c r="F1491" s="252">
        <v>1.82</v>
      </c>
      <c r="G1491" s="252">
        <v>1.85</v>
      </c>
      <c r="H1491" s="252">
        <v>6</v>
      </c>
      <c r="I1491" s="252">
        <v>1.9279999999999999</v>
      </c>
      <c r="J1491" s="252">
        <v>0</v>
      </c>
      <c r="K1491" s="252">
        <v>0</v>
      </c>
      <c r="L1491" s="252"/>
    </row>
    <row r="1492" spans="1:15" x14ac:dyDescent="0.25">
      <c r="A1492" s="28" t="s">
        <v>21</v>
      </c>
      <c r="B1492" s="30">
        <f t="shared" ref="B1492:K1492" si="71">B1489-B1491</f>
        <v>-116.85</v>
      </c>
      <c r="C1492" s="30">
        <f t="shared" si="71"/>
        <v>-117.18599999999999</v>
      </c>
      <c r="D1492" s="30">
        <f t="shared" si="71"/>
        <v>-107.96534999999999</v>
      </c>
      <c r="E1492" s="30">
        <f t="shared" si="71"/>
        <v>-99.945349999999991</v>
      </c>
      <c r="F1492" s="47">
        <f t="shared" si="71"/>
        <v>-91.765349999999984</v>
      </c>
      <c r="G1492" s="47">
        <f t="shared" si="71"/>
        <v>-83.615349999999978</v>
      </c>
      <c r="H1492" s="47">
        <f t="shared" si="71"/>
        <v>-100.51918749999997</v>
      </c>
      <c r="I1492" s="47">
        <f t="shared" si="71"/>
        <v>-117.57698437499997</v>
      </c>
      <c r="J1492" s="47">
        <f t="shared" si="71"/>
        <v>-136.97123046874995</v>
      </c>
      <c r="K1492" s="47">
        <f t="shared" si="71"/>
        <v>-161.21403808593743</v>
      </c>
      <c r="L1492" s="47"/>
    </row>
    <row r="1493" spans="1:15" x14ac:dyDescent="0.25">
      <c r="A1493" s="62" t="s">
        <v>22</v>
      </c>
      <c r="B1493" s="513">
        <v>2017</v>
      </c>
      <c r="C1493" s="513">
        <v>2018</v>
      </c>
      <c r="D1493" s="513">
        <v>2019</v>
      </c>
      <c r="E1493" s="513">
        <v>2020</v>
      </c>
      <c r="F1493" s="942">
        <v>2021</v>
      </c>
      <c r="G1493" s="942">
        <v>2022</v>
      </c>
      <c r="H1493" s="942">
        <v>2023</v>
      </c>
      <c r="I1493" s="942">
        <v>2024</v>
      </c>
      <c r="J1493" s="942">
        <v>2025</v>
      </c>
      <c r="K1493" s="942">
        <v>2026</v>
      </c>
      <c r="L1493" s="942">
        <v>2027</v>
      </c>
    </row>
    <row r="1494" spans="1:15" x14ac:dyDescent="0.25">
      <c r="A1494" s="36" t="s">
        <v>179</v>
      </c>
      <c r="B1494" s="37"/>
      <c r="C1494" s="37"/>
      <c r="D1494" s="37"/>
      <c r="E1494" s="37"/>
      <c r="F1494" s="669"/>
      <c r="G1494" s="669"/>
      <c r="H1494" s="669"/>
      <c r="I1494" s="669"/>
      <c r="J1494" s="669"/>
      <c r="K1494" s="669"/>
      <c r="L1494" s="672"/>
    </row>
    <row r="1495" spans="1:15" x14ac:dyDescent="0.25">
      <c r="A1495" s="195" t="s">
        <v>403</v>
      </c>
      <c r="B1495" s="37"/>
      <c r="C1495" s="37"/>
      <c r="D1495" s="37"/>
      <c r="E1495" s="37"/>
      <c r="F1495" s="669"/>
      <c r="G1495" s="669"/>
      <c r="H1495" s="669"/>
      <c r="I1495" s="669"/>
      <c r="J1495" s="669"/>
      <c r="K1495" s="669"/>
      <c r="L1495" s="672"/>
    </row>
    <row r="1496" spans="1:15" x14ac:dyDescent="0.25">
      <c r="A1496" s="85" t="s">
        <v>404</v>
      </c>
      <c r="L1496" s="684"/>
    </row>
    <row r="1497" spans="1:15" x14ac:dyDescent="0.25">
      <c r="A1497" s="85" t="s">
        <v>405</v>
      </c>
      <c r="L1497" s="684"/>
    </row>
    <row r="1498" spans="1:15" x14ac:dyDescent="0.25">
      <c r="A1498" s="85" t="s">
        <v>565</v>
      </c>
      <c r="C1498" s="387"/>
      <c r="L1498" s="684"/>
    </row>
    <row r="1499" spans="1:15" x14ac:dyDescent="0.25">
      <c r="A1499" s="85" t="s">
        <v>567</v>
      </c>
      <c r="C1499" s="387"/>
      <c r="L1499" s="684"/>
    </row>
    <row r="1500" spans="1:15" x14ac:dyDescent="0.25">
      <c r="A1500" s="85" t="s">
        <v>892</v>
      </c>
      <c r="C1500" s="387"/>
      <c r="L1500" s="684"/>
    </row>
    <row r="1501" spans="1:15" x14ac:dyDescent="0.25">
      <c r="A1501" s="85" t="s">
        <v>893</v>
      </c>
      <c r="C1501" s="387"/>
      <c r="L1501" s="684"/>
    </row>
    <row r="1502" spans="1:15" x14ac:dyDescent="0.25">
      <c r="A1502" s="85" t="s">
        <v>1016</v>
      </c>
      <c r="C1502" s="387"/>
      <c r="L1502" s="684"/>
    </row>
    <row r="1503" spans="1:15" x14ac:dyDescent="0.25">
      <c r="A1503" s="85" t="s">
        <v>1113</v>
      </c>
      <c r="C1503" s="387"/>
      <c r="L1503" s="684"/>
    </row>
    <row r="1504" spans="1:15" s="73" customFormat="1" x14ac:dyDescent="0.25">
      <c r="A1504" s="359" t="s">
        <v>1250</v>
      </c>
      <c r="C1504" s="360"/>
      <c r="F1504" s="685"/>
      <c r="G1504" s="685"/>
      <c r="H1504" s="685"/>
      <c r="I1504" s="685"/>
      <c r="J1504" s="685"/>
      <c r="K1504" s="685"/>
      <c r="L1504" s="675"/>
      <c r="M1504" s="685"/>
      <c r="N1504" s="685"/>
      <c r="O1504" s="685"/>
    </row>
    <row r="1505" spans="1:13" x14ac:dyDescent="0.25">
      <c r="A1505" s="362"/>
      <c r="C1505" s="387"/>
    </row>
    <row r="1506" spans="1:13" x14ac:dyDescent="0.25">
      <c r="A1506" s="8" t="s">
        <v>12</v>
      </c>
      <c r="B1506" s="9" t="s">
        <v>1208</v>
      </c>
    </row>
    <row r="1507" spans="1:13" x14ac:dyDescent="0.25">
      <c r="A1507" s="322" t="s">
        <v>14</v>
      </c>
      <c r="B1507" s="323" t="s">
        <v>1204</v>
      </c>
      <c r="C1507" s="11" t="s">
        <v>152</v>
      </c>
      <c r="D1507" s="183"/>
      <c r="E1507" s="165"/>
      <c r="F1507" s="747"/>
    </row>
    <row r="1508" spans="1:13" x14ac:dyDescent="0.25">
      <c r="A1508" s="298" t="s">
        <v>16</v>
      </c>
      <c r="B1508" s="300"/>
      <c r="C1508" s="300">
        <v>2018</v>
      </c>
      <c r="D1508" s="300">
        <v>2019</v>
      </c>
      <c r="E1508" s="300">
        <v>2020</v>
      </c>
      <c r="F1508" s="824">
        <v>2021</v>
      </c>
      <c r="G1508" s="824">
        <v>2022</v>
      </c>
      <c r="H1508" s="824">
        <v>2023</v>
      </c>
      <c r="I1508" s="824">
        <v>2024</v>
      </c>
      <c r="J1508" s="824">
        <v>2025</v>
      </c>
      <c r="K1508" s="824">
        <v>2026</v>
      </c>
    </row>
    <row r="1509" spans="1:13" x14ac:dyDescent="0.25">
      <c r="A1509" s="93" t="s">
        <v>17</v>
      </c>
      <c r="B1509" s="97"/>
      <c r="C1509" s="16"/>
      <c r="D1509" s="16"/>
      <c r="E1509" s="16"/>
      <c r="F1509" s="506"/>
      <c r="G1509" s="839"/>
      <c r="H1509" s="839"/>
      <c r="I1509" s="840"/>
      <c r="J1509" s="945">
        <v>125</v>
      </c>
      <c r="K1509" s="945">
        <v>125</v>
      </c>
    </row>
    <row r="1510" spans="1:13" ht="15" x14ac:dyDescent="0.3">
      <c r="A1510" s="93" t="s">
        <v>18</v>
      </c>
      <c r="B1510" s="97"/>
      <c r="C1510" s="16"/>
      <c r="D1510" s="16"/>
      <c r="E1510" s="16">
        <v>-4.5005962749999959</v>
      </c>
      <c r="F1510" s="506">
        <v>-95.627388774999986</v>
      </c>
      <c r="G1510" s="946">
        <v>-275.36213877500001</v>
      </c>
      <c r="H1510" s="186">
        <v>-555.68713877499999</v>
      </c>
      <c r="I1510" s="186">
        <v>-786.01213877500004</v>
      </c>
      <c r="J1510" s="945">
        <f>I1513+J1509</f>
        <v>-761.33713877500008</v>
      </c>
      <c r="K1510" s="947">
        <f>J1513+K1509</f>
        <v>-766.67013877500005</v>
      </c>
    </row>
    <row r="1511" spans="1:13" ht="25" x14ac:dyDescent="0.25">
      <c r="A1511" s="93" t="s">
        <v>19</v>
      </c>
      <c r="B1511" s="313"/>
      <c r="C1511" s="175"/>
      <c r="D1511" s="327" t="s">
        <v>1209</v>
      </c>
      <c r="E1511" s="327" t="s">
        <v>1210</v>
      </c>
      <c r="F1511" s="841" t="s">
        <v>1211</v>
      </c>
      <c r="G1511" s="841" t="s">
        <v>1212</v>
      </c>
      <c r="H1511" s="841" t="s">
        <v>1206</v>
      </c>
      <c r="I1511" s="841" t="s">
        <v>1205</v>
      </c>
      <c r="J1511" s="841" t="s">
        <v>1371</v>
      </c>
      <c r="K1511" s="841"/>
    </row>
    <row r="1512" spans="1:13" ht="15" x14ac:dyDescent="0.3">
      <c r="A1512" s="93" t="s">
        <v>20</v>
      </c>
      <c r="B1512" s="97"/>
      <c r="C1512" s="16">
        <v>70</v>
      </c>
      <c r="D1512" s="16">
        <v>26</v>
      </c>
      <c r="E1512" s="16">
        <v>112</v>
      </c>
      <c r="F1512" s="506">
        <v>200</v>
      </c>
      <c r="G1512" s="506">
        <v>300</v>
      </c>
      <c r="H1512" s="506">
        <v>250</v>
      </c>
      <c r="I1512" s="506">
        <v>120</v>
      </c>
      <c r="J1512" s="948">
        <v>130.333</v>
      </c>
      <c r="K1512" s="506"/>
    </row>
    <row r="1513" spans="1:13" ht="15" x14ac:dyDescent="0.3">
      <c r="A1513" s="93" t="s">
        <v>21</v>
      </c>
      <c r="B1513" s="97"/>
      <c r="C1513" s="16"/>
      <c r="D1513" s="16">
        <v>-4.5005962749999959</v>
      </c>
      <c r="E1513" s="16">
        <v>-95.627388774999986</v>
      </c>
      <c r="F1513" s="506">
        <v>-275.36213877500001</v>
      </c>
      <c r="G1513" s="506">
        <v>-555.68713877499999</v>
      </c>
      <c r="H1513" s="506">
        <v>-786.01213877500004</v>
      </c>
      <c r="I1513" s="506">
        <v>-886.33713877500008</v>
      </c>
      <c r="J1513" s="948">
        <f>J1510-J1512</f>
        <v>-891.67013877500005</v>
      </c>
      <c r="K1513" s="840"/>
    </row>
    <row r="1514" spans="1:13" x14ac:dyDescent="0.25">
      <c r="A1514" s="152" t="s">
        <v>22</v>
      </c>
      <c r="B1514" s="20"/>
      <c r="C1514" s="20"/>
      <c r="D1514" s="20"/>
      <c r="E1514" s="20"/>
      <c r="F1514" s="659"/>
      <c r="G1514" s="842"/>
      <c r="H1514" s="842"/>
      <c r="I1514" s="949"/>
      <c r="J1514" s="835"/>
      <c r="K1514" s="835"/>
    </row>
    <row r="1515" spans="1:13" x14ac:dyDescent="0.25">
      <c r="A1515" s="23" t="s">
        <v>23</v>
      </c>
      <c r="B1515" s="24"/>
      <c r="C1515" s="25"/>
      <c r="D1515" s="25"/>
      <c r="E1515" s="24"/>
      <c r="F1515" s="662"/>
      <c r="G1515" s="676"/>
      <c r="H1515" s="676"/>
      <c r="I1515" s="676"/>
      <c r="J1515" s="676"/>
      <c r="K1515" s="717"/>
    </row>
    <row r="1516" spans="1:13" x14ac:dyDescent="0.25">
      <c r="A1516" s="113"/>
      <c r="B1516" s="165"/>
      <c r="C1516" s="183"/>
      <c r="D1516" s="183"/>
      <c r="E1516" s="165"/>
      <c r="F1516" s="747"/>
    </row>
    <row r="1517" spans="1:13" x14ac:dyDescent="0.25">
      <c r="A1517" s="514" t="s">
        <v>1</v>
      </c>
      <c r="B1517" s="515" t="s">
        <v>642</v>
      </c>
      <c r="C1517" s="516" t="s">
        <v>2</v>
      </c>
      <c r="E1517" s="165"/>
      <c r="F1517" s="747"/>
    </row>
    <row r="1518" spans="1:13" x14ac:dyDescent="0.25">
      <c r="A1518" s="77" t="s">
        <v>3</v>
      </c>
      <c r="B1518" s="77">
        <v>2016</v>
      </c>
      <c r="C1518" s="517">
        <v>2017</v>
      </c>
      <c r="D1518" s="77">
        <v>2018</v>
      </c>
      <c r="E1518" s="518">
        <v>2019</v>
      </c>
      <c r="F1518" s="690">
        <v>2020</v>
      </c>
      <c r="G1518" s="950">
        <v>2021</v>
      </c>
      <c r="H1518" s="690">
        <v>2022</v>
      </c>
      <c r="I1518" s="951">
        <v>2023</v>
      </c>
      <c r="J1518" s="690">
        <v>2024</v>
      </c>
      <c r="K1518" s="950">
        <v>2025</v>
      </c>
      <c r="L1518" s="690">
        <v>2026</v>
      </c>
      <c r="M1518" s="952">
        <v>2027</v>
      </c>
    </row>
    <row r="1519" spans="1:13" x14ac:dyDescent="0.25">
      <c r="A1519" s="77" t="s">
        <v>4</v>
      </c>
      <c r="B1519" s="78">
        <v>1323.28</v>
      </c>
      <c r="C1519" s="519">
        <v>1588.77</v>
      </c>
      <c r="D1519" s="78">
        <v>1846</v>
      </c>
      <c r="E1519" s="520">
        <v>2060</v>
      </c>
      <c r="F1519" s="953">
        <v>2255</v>
      </c>
      <c r="G1519" s="691">
        <v>2255</v>
      </c>
      <c r="H1519" s="691">
        <v>2255</v>
      </c>
      <c r="I1519" s="691">
        <v>2548</v>
      </c>
      <c r="J1519" s="691">
        <v>2548</v>
      </c>
      <c r="K1519" s="691">
        <v>2548</v>
      </c>
      <c r="L1519" s="691">
        <v>2950.03</v>
      </c>
      <c r="M1519" s="691"/>
    </row>
    <row r="1520" spans="1:13" x14ac:dyDescent="0.25">
      <c r="A1520" s="77" t="s">
        <v>5</v>
      </c>
      <c r="B1520" s="78">
        <v>1373.28</v>
      </c>
      <c r="C1520" s="519">
        <v>1638.77</v>
      </c>
      <c r="D1520" s="78">
        <v>1800</v>
      </c>
      <c r="E1520" s="520">
        <v>2060</v>
      </c>
      <c r="F1520" s="953">
        <v>2235</v>
      </c>
      <c r="G1520" s="691">
        <v>2235</v>
      </c>
      <c r="H1520" s="691">
        <v>2235</v>
      </c>
      <c r="I1520" s="691">
        <v>2548</v>
      </c>
      <c r="J1520" s="691">
        <v>2548</v>
      </c>
      <c r="K1520" s="691">
        <v>2558</v>
      </c>
      <c r="L1520" s="691">
        <f>L1519+K1523</f>
        <v>2903.229472</v>
      </c>
      <c r="M1520" s="691"/>
    </row>
    <row r="1521" spans="1:15" x14ac:dyDescent="0.25">
      <c r="A1521" s="77" t="s">
        <v>6</v>
      </c>
      <c r="B1521" s="78"/>
      <c r="C1521" s="519"/>
      <c r="D1521" s="78"/>
      <c r="E1521" s="520"/>
      <c r="F1521" s="953"/>
      <c r="G1521" s="691"/>
      <c r="H1521" s="691"/>
      <c r="I1521" s="691"/>
      <c r="J1521" s="691"/>
      <c r="K1521" s="691"/>
      <c r="L1521" s="691"/>
      <c r="M1521" s="691"/>
    </row>
    <row r="1522" spans="1:15" ht="15" x14ac:dyDescent="0.3">
      <c r="A1522" s="77" t="s">
        <v>7</v>
      </c>
      <c r="B1522" s="78">
        <v>1367.8</v>
      </c>
      <c r="C1522" s="519">
        <v>1630.75</v>
      </c>
      <c r="D1522" s="78">
        <v>1791.6</v>
      </c>
      <c r="E1522" s="520">
        <v>2051.65</v>
      </c>
      <c r="F1522" s="953">
        <v>2228.1950000000002</v>
      </c>
      <c r="G1522" s="691">
        <v>2234.1750000000002</v>
      </c>
      <c r="H1522" s="691">
        <v>2226.42</v>
      </c>
      <c r="I1522" s="691">
        <v>2538</v>
      </c>
      <c r="J1522" s="691">
        <v>2538</v>
      </c>
      <c r="K1522" s="954">
        <v>2604.8005280000002</v>
      </c>
      <c r="L1522" s="691"/>
      <c r="M1522" s="691"/>
    </row>
    <row r="1523" spans="1:15" ht="15" x14ac:dyDescent="0.3">
      <c r="A1523" s="77" t="s">
        <v>8</v>
      </c>
      <c r="B1523" s="78">
        <f>B1520-B1522</f>
        <v>5.4800000000000182</v>
      </c>
      <c r="C1523" s="78">
        <f t="shared" ref="C1523:J1523" si="72">C1520-C1522</f>
        <v>8.0199999999999818</v>
      </c>
      <c r="D1523" s="78">
        <f t="shared" si="72"/>
        <v>8.4000000000000909</v>
      </c>
      <c r="E1523" s="78">
        <f t="shared" si="72"/>
        <v>8.3499999999999091</v>
      </c>
      <c r="F1523" s="691">
        <f t="shared" si="72"/>
        <v>6.8049999999998363</v>
      </c>
      <c r="G1523" s="691">
        <f t="shared" si="72"/>
        <v>0.8249999999998181</v>
      </c>
      <c r="H1523" s="691">
        <f t="shared" si="72"/>
        <v>8.5799999999999272</v>
      </c>
      <c r="I1523" s="691">
        <f t="shared" si="72"/>
        <v>10</v>
      </c>
      <c r="J1523" s="691">
        <f t="shared" si="72"/>
        <v>10</v>
      </c>
      <c r="K1523" s="954">
        <f>K1520-K1522</f>
        <v>-46.800528000000213</v>
      </c>
      <c r="L1523" s="691"/>
      <c r="M1523" s="691"/>
    </row>
    <row r="1524" spans="1:15" x14ac:dyDescent="0.25">
      <c r="A1524" s="77" t="s">
        <v>9</v>
      </c>
      <c r="B1524" s="77"/>
      <c r="C1524" s="517"/>
      <c r="D1524" s="77"/>
      <c r="E1524" s="518"/>
      <c r="F1524" s="951"/>
      <c r="G1524" s="690"/>
      <c r="H1524" s="690"/>
      <c r="I1524" s="690"/>
      <c r="J1524" s="690"/>
      <c r="K1524" s="690"/>
      <c r="L1524" s="690"/>
      <c r="M1524" s="690"/>
    </row>
    <row r="1525" spans="1:15" ht="12.65" customHeight="1" x14ac:dyDescent="0.35">
      <c r="A1525" s="521" t="s">
        <v>10</v>
      </c>
      <c r="B1525" s="522"/>
      <c r="C1525" s="522"/>
      <c r="D1525" s="522"/>
      <c r="E1525" s="522"/>
      <c r="F1525" s="522"/>
      <c r="G1525" s="522"/>
      <c r="H1525" s="522"/>
      <c r="I1525" s="522"/>
      <c r="J1525" s="522"/>
      <c r="K1525" s="522"/>
      <c r="L1525" s="522"/>
      <c r="M1525" s="523"/>
    </row>
    <row r="1527" spans="1:15" x14ac:dyDescent="0.25">
      <c r="A1527" s="8" t="s">
        <v>11</v>
      </c>
      <c r="B1527" s="9" t="s">
        <v>0</v>
      </c>
    </row>
    <row r="1528" spans="1:15" s="265" customFormat="1" x14ac:dyDescent="0.25">
      <c r="A1528" s="8" t="s">
        <v>1</v>
      </c>
      <c r="B1528" s="9" t="s">
        <v>624</v>
      </c>
      <c r="C1528" s="27" t="s">
        <v>2</v>
      </c>
      <c r="D1528" s="6"/>
      <c r="E1528" s="6"/>
      <c r="F1528" s="68"/>
      <c r="G1528" s="68"/>
      <c r="H1528" s="280"/>
      <c r="I1528" s="280"/>
      <c r="J1528" s="280"/>
      <c r="K1528" s="280"/>
      <c r="L1528" s="280"/>
      <c r="M1528" s="280"/>
      <c r="N1528" s="280"/>
      <c r="O1528" s="280"/>
    </row>
    <row r="1529" spans="1:15" s="265" customFormat="1" x14ac:dyDescent="0.25">
      <c r="A1529" s="28" t="s">
        <v>3</v>
      </c>
      <c r="B1529" s="210">
        <v>2017</v>
      </c>
      <c r="C1529" s="210">
        <v>2018</v>
      </c>
      <c r="D1529" s="231">
        <v>2019</v>
      </c>
      <c r="E1529" s="210">
        <v>2020</v>
      </c>
      <c r="F1529" s="770">
        <v>2021</v>
      </c>
      <c r="G1529" s="770">
        <v>2022</v>
      </c>
      <c r="H1529" s="770">
        <v>2023</v>
      </c>
      <c r="I1529" s="770">
        <v>2024</v>
      </c>
      <c r="J1529" s="770">
        <v>2025</v>
      </c>
      <c r="K1529" s="955">
        <v>2026</v>
      </c>
      <c r="L1529" s="955">
        <v>2027</v>
      </c>
      <c r="M1529" s="280"/>
      <c r="N1529" s="280"/>
      <c r="O1529" s="280"/>
    </row>
    <row r="1530" spans="1:15" s="265" customFormat="1" x14ac:dyDescent="0.25">
      <c r="A1530" s="28" t="s">
        <v>4</v>
      </c>
      <c r="B1530" s="212">
        <v>200</v>
      </c>
      <c r="C1530" s="212">
        <v>200</v>
      </c>
      <c r="D1530" s="233">
        <v>215</v>
      </c>
      <c r="E1530" s="212">
        <v>215</v>
      </c>
      <c r="F1530" s="781">
        <v>242</v>
      </c>
      <c r="G1530" s="781">
        <v>242</v>
      </c>
      <c r="H1530" s="781">
        <v>242</v>
      </c>
      <c r="I1530" s="781">
        <v>302</v>
      </c>
      <c r="J1530" s="781">
        <v>302</v>
      </c>
      <c r="K1530" s="956">
        <v>302</v>
      </c>
      <c r="L1530" s="956">
        <v>302</v>
      </c>
      <c r="M1530" s="280"/>
      <c r="N1530" s="280"/>
      <c r="O1530" s="280"/>
    </row>
    <row r="1531" spans="1:15" s="265" customFormat="1" x14ac:dyDescent="0.25">
      <c r="A1531" s="28" t="s">
        <v>5</v>
      </c>
      <c r="B1531" s="212">
        <v>250</v>
      </c>
      <c r="C1531" s="212">
        <v>250</v>
      </c>
      <c r="D1531" s="233">
        <v>265</v>
      </c>
      <c r="E1531" s="212">
        <v>265</v>
      </c>
      <c r="F1531" s="781">
        <f t="shared" ref="F1531:L1531" si="73">F1530+0.25*D1530</f>
        <v>295.75</v>
      </c>
      <c r="G1531" s="781">
        <f t="shared" si="73"/>
        <v>295.75</v>
      </c>
      <c r="H1531" s="781">
        <f t="shared" si="73"/>
        <v>302.5</v>
      </c>
      <c r="I1531" s="781">
        <f t="shared" si="73"/>
        <v>362.5</v>
      </c>
      <c r="J1531" s="781">
        <f t="shared" si="73"/>
        <v>362.5</v>
      </c>
      <c r="K1531" s="956">
        <f t="shared" si="73"/>
        <v>377.5</v>
      </c>
      <c r="L1531" s="956">
        <f t="shared" si="73"/>
        <v>377.5</v>
      </c>
      <c r="M1531" s="280"/>
      <c r="N1531" s="280"/>
      <c r="O1531" s="280"/>
    </row>
    <row r="1532" spans="1:15" s="265" customFormat="1" x14ac:dyDescent="0.25">
      <c r="A1532" s="28" t="s">
        <v>6</v>
      </c>
      <c r="B1532" s="212"/>
      <c r="C1532" s="212"/>
      <c r="D1532" s="212"/>
      <c r="E1532" s="212"/>
      <c r="F1532" s="781"/>
      <c r="G1532" s="781"/>
      <c r="H1532" s="781"/>
      <c r="I1532" s="781"/>
      <c r="J1532" s="781"/>
      <c r="K1532" s="956"/>
      <c r="L1532" s="956"/>
      <c r="M1532" s="280"/>
      <c r="N1532" s="280"/>
      <c r="O1532" s="280"/>
    </row>
    <row r="1533" spans="1:15" s="265" customFormat="1" x14ac:dyDescent="0.25">
      <c r="A1533" s="28" t="s">
        <v>7</v>
      </c>
      <c r="B1533" s="212">
        <v>20</v>
      </c>
      <c r="C1533" s="212">
        <v>20</v>
      </c>
      <c r="D1533" s="212">
        <v>25</v>
      </c>
      <c r="E1533" s="212">
        <v>29</v>
      </c>
      <c r="F1533" s="781">
        <v>40</v>
      </c>
      <c r="G1533" s="781">
        <v>60</v>
      </c>
      <c r="H1533" s="781">
        <v>90</v>
      </c>
      <c r="I1533" s="781">
        <v>120</v>
      </c>
      <c r="J1533" s="781">
        <v>150</v>
      </c>
      <c r="K1533" s="956"/>
      <c r="L1533" s="956"/>
      <c r="M1533" s="280"/>
      <c r="N1533" s="280"/>
      <c r="O1533" s="280"/>
    </row>
    <row r="1534" spans="1:15" s="265" customFormat="1" x14ac:dyDescent="0.25">
      <c r="A1534" s="28" t="s">
        <v>8</v>
      </c>
      <c r="B1534" s="212">
        <v>230</v>
      </c>
      <c r="C1534" s="212">
        <v>230</v>
      </c>
      <c r="D1534" s="212">
        <v>240</v>
      </c>
      <c r="E1534" s="212">
        <v>236</v>
      </c>
      <c r="F1534" s="781">
        <f>F1531-F1533</f>
        <v>255.75</v>
      </c>
      <c r="G1534" s="781">
        <f>G1531-G1533</f>
        <v>235.75</v>
      </c>
      <c r="H1534" s="781">
        <f>H1531-H1533</f>
        <v>212.5</v>
      </c>
      <c r="I1534" s="781">
        <f>I1531-I1533</f>
        <v>242.5</v>
      </c>
      <c r="J1534" s="781">
        <f>J1531-J1533</f>
        <v>212.5</v>
      </c>
      <c r="K1534" s="956"/>
      <c r="L1534" s="956"/>
      <c r="M1534" s="280"/>
      <c r="N1534" s="280"/>
      <c r="O1534" s="280"/>
    </row>
    <row r="1535" spans="1:15" s="265" customFormat="1" x14ac:dyDescent="0.25">
      <c r="A1535" s="34" t="s">
        <v>9</v>
      </c>
      <c r="B1535" s="215">
        <v>2019</v>
      </c>
      <c r="C1535" s="215">
        <v>2020</v>
      </c>
      <c r="D1535" s="243">
        <v>2021</v>
      </c>
      <c r="E1535" s="215">
        <v>2022</v>
      </c>
      <c r="F1535" s="789">
        <v>2023</v>
      </c>
      <c r="G1535" s="789">
        <v>2024</v>
      </c>
      <c r="H1535" s="789">
        <v>2025</v>
      </c>
      <c r="I1535" s="789">
        <v>2026</v>
      </c>
      <c r="J1535" s="789">
        <v>2027</v>
      </c>
      <c r="K1535" s="957">
        <v>2028</v>
      </c>
      <c r="L1535" s="957">
        <v>2029</v>
      </c>
      <c r="M1535" s="280"/>
      <c r="N1535" s="280"/>
      <c r="O1535" s="280"/>
    </row>
    <row r="1536" spans="1:15" s="265" customFormat="1" x14ac:dyDescent="0.25">
      <c r="A1536" s="36" t="s">
        <v>10</v>
      </c>
      <c r="B1536" s="37"/>
      <c r="C1536" s="37"/>
      <c r="D1536" s="37"/>
      <c r="E1536" s="37"/>
      <c r="F1536" s="669"/>
      <c r="G1536" s="669"/>
      <c r="H1536" s="815"/>
      <c r="I1536" s="815"/>
      <c r="J1536" s="815"/>
      <c r="K1536" s="815"/>
      <c r="L1536" s="806"/>
      <c r="M1536" s="280"/>
      <c r="N1536" s="280"/>
      <c r="O1536" s="280"/>
    </row>
    <row r="1537" spans="1:15" s="265" customFormat="1" x14ac:dyDescent="0.25">
      <c r="A1537" s="524" t="s">
        <v>737</v>
      </c>
      <c r="B1537" s="525"/>
      <c r="C1537" s="525"/>
      <c r="D1537" s="525"/>
      <c r="E1537" s="525"/>
      <c r="F1537" s="525"/>
      <c r="G1537" s="525"/>
      <c r="H1537" s="815"/>
      <c r="I1537" s="815"/>
      <c r="J1537" s="815"/>
      <c r="K1537" s="815"/>
      <c r="L1537" s="806"/>
      <c r="M1537" s="280"/>
      <c r="N1537" s="280"/>
      <c r="O1537" s="280"/>
    </row>
    <row r="1538" spans="1:15" s="265" customFormat="1" x14ac:dyDescent="0.25">
      <c r="A1538" s="526" t="s">
        <v>738</v>
      </c>
      <c r="B1538" s="527"/>
      <c r="C1538" s="527"/>
      <c r="D1538" s="527"/>
      <c r="E1538" s="527"/>
      <c r="F1538" s="527"/>
      <c r="G1538" s="527"/>
      <c r="H1538" s="280"/>
      <c r="I1538" s="280"/>
      <c r="J1538" s="280"/>
      <c r="K1538" s="280"/>
      <c r="L1538" s="807"/>
      <c r="M1538" s="280"/>
      <c r="N1538" s="280"/>
      <c r="O1538" s="280"/>
    </row>
    <row r="1539" spans="1:15" s="265" customFormat="1" x14ac:dyDescent="0.25">
      <c r="A1539" s="526" t="s">
        <v>739</v>
      </c>
      <c r="B1539" s="527"/>
      <c r="C1539" s="527"/>
      <c r="D1539" s="527"/>
      <c r="E1539" s="527"/>
      <c r="F1539" s="527"/>
      <c r="G1539" s="527"/>
      <c r="H1539" s="280"/>
      <c r="I1539" s="280"/>
      <c r="J1539" s="280"/>
      <c r="K1539" s="280"/>
      <c r="L1539" s="807"/>
      <c r="M1539" s="280"/>
      <c r="N1539" s="280"/>
      <c r="O1539" s="280"/>
    </row>
    <row r="1540" spans="1:15" x14ac:dyDescent="0.25">
      <c r="A1540" s="526" t="s">
        <v>740</v>
      </c>
      <c r="B1540" s="527"/>
      <c r="C1540" s="527"/>
      <c r="D1540" s="527"/>
      <c r="E1540" s="527"/>
      <c r="F1540" s="527"/>
      <c r="G1540" s="527"/>
      <c r="L1540" s="684"/>
    </row>
    <row r="1541" spans="1:15" x14ac:dyDescent="0.25">
      <c r="A1541" s="528" t="s">
        <v>932</v>
      </c>
      <c r="B1541" s="362"/>
      <c r="C1541" s="362"/>
      <c r="D1541" s="362"/>
      <c r="E1541" s="362"/>
      <c r="F1541" s="874"/>
      <c r="G1541" s="874"/>
      <c r="L1541" s="684"/>
    </row>
    <row r="1542" spans="1:15" x14ac:dyDescent="0.25">
      <c r="A1542" s="528" t="s">
        <v>952</v>
      </c>
      <c r="B1542" s="362"/>
      <c r="C1542" s="362"/>
      <c r="D1542" s="362"/>
      <c r="E1542" s="362"/>
      <c r="F1542" s="874"/>
      <c r="G1542" s="874"/>
      <c r="L1542" s="684"/>
    </row>
    <row r="1543" spans="1:15" x14ac:dyDescent="0.25">
      <c r="A1543" s="528" t="s">
        <v>1169</v>
      </c>
      <c r="B1543" s="362"/>
      <c r="C1543" s="362"/>
      <c r="D1543" s="362"/>
      <c r="E1543" s="362"/>
      <c r="F1543" s="874"/>
      <c r="G1543" s="874"/>
      <c r="L1543" s="684"/>
    </row>
    <row r="1544" spans="1:15" x14ac:dyDescent="0.25">
      <c r="A1544" s="529" t="s">
        <v>1322</v>
      </c>
      <c r="B1544" s="530"/>
      <c r="C1544" s="530"/>
      <c r="D1544" s="530"/>
      <c r="E1544" s="530"/>
      <c r="F1544" s="958"/>
      <c r="G1544" s="958"/>
      <c r="H1544" s="685"/>
      <c r="I1544" s="685"/>
      <c r="J1544" s="685"/>
      <c r="K1544" s="685"/>
      <c r="L1544" s="675"/>
    </row>
    <row r="1545" spans="1:15" x14ac:dyDescent="0.25">
      <c r="A1545" s="5"/>
      <c r="B1545" s="5"/>
    </row>
    <row r="1546" spans="1:15" x14ac:dyDescent="0.25">
      <c r="A1546" s="8" t="s">
        <v>1</v>
      </c>
      <c r="B1546" s="9" t="s">
        <v>623</v>
      </c>
      <c r="C1546" s="27" t="s">
        <v>2</v>
      </c>
    </row>
    <row r="1547" spans="1:15" x14ac:dyDescent="0.25">
      <c r="A1547" s="28" t="s">
        <v>3</v>
      </c>
      <c r="B1547" s="210">
        <v>2017</v>
      </c>
      <c r="C1547" s="210">
        <v>2018</v>
      </c>
      <c r="D1547" s="231">
        <v>2019</v>
      </c>
      <c r="E1547" s="210">
        <v>2020</v>
      </c>
      <c r="F1547" s="770">
        <v>2021</v>
      </c>
      <c r="G1547" s="770">
        <v>2022</v>
      </c>
      <c r="H1547" s="770">
        <v>2023</v>
      </c>
      <c r="I1547" s="770">
        <v>2024</v>
      </c>
      <c r="J1547" s="770">
        <v>2025</v>
      </c>
      <c r="K1547" s="955">
        <v>2026</v>
      </c>
      <c r="L1547" s="955">
        <v>2027</v>
      </c>
    </row>
    <row r="1548" spans="1:15" x14ac:dyDescent="0.25">
      <c r="A1548" s="28" t="s">
        <v>4</v>
      </c>
      <c r="B1548" s="212">
        <v>850</v>
      </c>
      <c r="C1548" s="212">
        <v>850</v>
      </c>
      <c r="D1548" s="233">
        <v>850</v>
      </c>
      <c r="E1548" s="212">
        <v>850</v>
      </c>
      <c r="F1548" s="781">
        <v>850</v>
      </c>
      <c r="G1548" s="781">
        <v>850</v>
      </c>
      <c r="H1548" s="781">
        <v>850</v>
      </c>
      <c r="I1548" s="781">
        <v>850</v>
      </c>
      <c r="J1548" s="781">
        <v>850</v>
      </c>
      <c r="K1548" s="959">
        <v>1186</v>
      </c>
      <c r="L1548" s="959">
        <v>1186</v>
      </c>
    </row>
    <row r="1549" spans="1:15" x14ac:dyDescent="0.25">
      <c r="A1549" s="28" t="s">
        <v>5</v>
      </c>
      <c r="B1549" s="212">
        <v>950</v>
      </c>
      <c r="C1549" s="212">
        <v>900</v>
      </c>
      <c r="D1549" s="233">
        <v>1000</v>
      </c>
      <c r="E1549" s="212">
        <v>995</v>
      </c>
      <c r="F1549" s="781">
        <v>1095</v>
      </c>
      <c r="G1549" s="781">
        <f>G1548+E1552+150+20+25</f>
        <v>1104.1799999999998</v>
      </c>
      <c r="H1549" s="781">
        <f>H1548+0.15*F1548+150+20+25</f>
        <v>1172.5</v>
      </c>
      <c r="I1549" s="781">
        <f>I1548+G1552+150+20+25+200</f>
        <v>1263.81</v>
      </c>
      <c r="J1549" s="781">
        <f>J1548+H1552+150+20+25+200</f>
        <v>1272.43</v>
      </c>
      <c r="K1549" s="959">
        <v>1488.5</v>
      </c>
      <c r="L1549" s="959">
        <v>1453.26</v>
      </c>
    </row>
    <row r="1550" spans="1:15" x14ac:dyDescent="0.25">
      <c r="A1550" s="28" t="s">
        <v>6</v>
      </c>
      <c r="B1550" s="212"/>
      <c r="C1550" s="212"/>
      <c r="D1550" s="233"/>
      <c r="E1550" s="212"/>
      <c r="F1550" s="781"/>
      <c r="G1550" s="781"/>
      <c r="H1550" s="781"/>
      <c r="I1550" s="781"/>
      <c r="J1550" s="781"/>
      <c r="K1550" s="956"/>
      <c r="L1550" s="956"/>
    </row>
    <row r="1551" spans="1:15" x14ac:dyDescent="0.25">
      <c r="A1551" s="28" t="s">
        <v>7</v>
      </c>
      <c r="B1551" s="212">
        <v>900</v>
      </c>
      <c r="C1551" s="212">
        <v>950</v>
      </c>
      <c r="D1551" s="233">
        <v>950</v>
      </c>
      <c r="E1551" s="212">
        <v>935.82</v>
      </c>
      <c r="F1551" s="781">
        <v>955.3</v>
      </c>
      <c r="G1551" s="781">
        <v>1085.3699999999999</v>
      </c>
      <c r="H1551" s="781">
        <v>1145.07</v>
      </c>
      <c r="I1551" s="781">
        <v>886.85</v>
      </c>
      <c r="J1551" s="781">
        <v>1180.17</v>
      </c>
      <c r="K1551" s="956"/>
      <c r="L1551" s="956"/>
    </row>
    <row r="1552" spans="1:15" x14ac:dyDescent="0.25">
      <c r="A1552" s="28" t="s">
        <v>8</v>
      </c>
      <c r="B1552" s="212">
        <f t="shared" ref="B1552:J1552" si="74">B1549-B1551</f>
        <v>50</v>
      </c>
      <c r="C1552" s="212">
        <f t="shared" si="74"/>
        <v>-50</v>
      </c>
      <c r="D1552" s="212">
        <f t="shared" si="74"/>
        <v>50</v>
      </c>
      <c r="E1552" s="212">
        <f t="shared" si="74"/>
        <v>59.17999999999995</v>
      </c>
      <c r="F1552" s="781">
        <f t="shared" si="74"/>
        <v>139.70000000000005</v>
      </c>
      <c r="G1552" s="781">
        <f t="shared" si="74"/>
        <v>18.809999999999945</v>
      </c>
      <c r="H1552" s="781">
        <f t="shared" si="74"/>
        <v>27.430000000000064</v>
      </c>
      <c r="I1552" s="781">
        <f t="shared" si="74"/>
        <v>376.95999999999992</v>
      </c>
      <c r="J1552" s="781">
        <f t="shared" si="74"/>
        <v>92.259999999999991</v>
      </c>
      <c r="K1552" s="956"/>
      <c r="L1552" s="956"/>
    </row>
    <row r="1553" spans="1:12" ht="13.4" customHeight="1" x14ac:dyDescent="0.25">
      <c r="A1553" s="34" t="s">
        <v>9</v>
      </c>
      <c r="B1553" s="215">
        <v>2019</v>
      </c>
      <c r="C1553" s="215">
        <v>2020</v>
      </c>
      <c r="D1553" s="243">
        <v>2021</v>
      </c>
      <c r="E1553" s="215">
        <v>2022</v>
      </c>
      <c r="F1553" s="789">
        <v>2023</v>
      </c>
      <c r="G1553" s="789">
        <v>2024</v>
      </c>
      <c r="H1553" s="789">
        <v>2025</v>
      </c>
      <c r="I1553" s="789">
        <v>2026</v>
      </c>
      <c r="J1553" s="789">
        <v>2027</v>
      </c>
      <c r="K1553" s="957">
        <v>2028</v>
      </c>
      <c r="L1553" s="957">
        <v>2029</v>
      </c>
    </row>
    <row r="1554" spans="1:12" ht="13.4" customHeight="1" x14ac:dyDescent="0.25">
      <c r="A1554" s="36" t="s">
        <v>10</v>
      </c>
      <c r="B1554" s="37"/>
      <c r="C1554" s="37"/>
      <c r="D1554" s="37"/>
      <c r="E1554" s="37"/>
      <c r="F1554" s="669"/>
      <c r="G1554" s="669"/>
      <c r="H1554" s="669"/>
      <c r="I1554" s="669"/>
      <c r="J1554" s="669"/>
      <c r="K1554" s="669"/>
      <c r="L1554" s="672"/>
    </row>
    <row r="1555" spans="1:12" x14ac:dyDescent="0.25">
      <c r="A1555" s="36" t="s">
        <v>741</v>
      </c>
      <c r="B1555" s="37"/>
      <c r="C1555" s="37"/>
      <c r="D1555" s="37"/>
      <c r="E1555" s="37"/>
      <c r="F1555" s="669"/>
      <c r="G1555" s="669"/>
      <c r="H1555" s="669"/>
      <c r="I1555" s="669"/>
      <c r="J1555" s="669"/>
      <c r="K1555" s="669"/>
      <c r="L1555" s="672"/>
    </row>
    <row r="1556" spans="1:12" x14ac:dyDescent="0.25">
      <c r="A1556" s="64" t="s">
        <v>742</v>
      </c>
      <c r="L1556" s="684"/>
    </row>
    <row r="1557" spans="1:12" x14ac:dyDescent="0.25">
      <c r="A1557" s="85" t="s">
        <v>743</v>
      </c>
      <c r="B1557" s="74"/>
      <c r="C1557" s="74"/>
      <c r="D1557" s="74"/>
      <c r="E1557" s="74"/>
      <c r="F1557" s="686"/>
      <c r="G1557" s="686"/>
      <c r="H1557" s="686"/>
      <c r="L1557" s="684"/>
    </row>
    <row r="1558" spans="1:12" x14ac:dyDescent="0.25">
      <c r="A1558" s="64" t="s">
        <v>744</v>
      </c>
      <c r="L1558" s="684"/>
    </row>
    <row r="1559" spans="1:12" x14ac:dyDescent="0.25">
      <c r="A1559" s="64" t="s">
        <v>745</v>
      </c>
      <c r="L1559" s="684"/>
    </row>
    <row r="1560" spans="1:12" x14ac:dyDescent="0.25">
      <c r="A1560" s="64" t="s">
        <v>746</v>
      </c>
      <c r="L1560" s="684"/>
    </row>
    <row r="1561" spans="1:12" x14ac:dyDescent="0.25">
      <c r="A1561" s="219" t="s">
        <v>953</v>
      </c>
      <c r="B1561" s="246"/>
      <c r="C1561" s="246"/>
      <c r="D1561" s="246"/>
      <c r="E1561" s="246"/>
      <c r="F1561" s="377"/>
      <c r="G1561" s="377"/>
      <c r="H1561" s="377"/>
      <c r="L1561" s="684"/>
    </row>
    <row r="1562" spans="1:12" x14ac:dyDescent="0.25">
      <c r="A1562" s="219" t="s">
        <v>954</v>
      </c>
      <c r="B1562" s="246"/>
      <c r="C1562" s="246"/>
      <c r="D1562" s="246"/>
      <c r="E1562" s="246"/>
      <c r="F1562" s="377"/>
      <c r="G1562" s="377"/>
      <c r="H1562" s="377"/>
      <c r="L1562" s="684"/>
    </row>
    <row r="1563" spans="1:12" x14ac:dyDescent="0.25">
      <c r="A1563" s="219" t="s">
        <v>1323</v>
      </c>
      <c r="B1563" s="246"/>
      <c r="C1563" s="246"/>
      <c r="D1563" s="246"/>
      <c r="E1563" s="246"/>
      <c r="F1563" s="377"/>
      <c r="G1563" s="377"/>
      <c r="H1563" s="377"/>
      <c r="L1563" s="684"/>
    </row>
    <row r="1564" spans="1:12" x14ac:dyDescent="0.25">
      <c r="A1564" s="220" t="s">
        <v>1324</v>
      </c>
      <c r="B1564" s="247"/>
      <c r="C1564" s="247"/>
      <c r="D1564" s="247"/>
      <c r="E1564" s="247"/>
      <c r="F1564" s="791"/>
      <c r="G1564" s="791"/>
      <c r="H1564" s="791"/>
      <c r="I1564" s="685"/>
      <c r="J1564" s="685"/>
      <c r="K1564" s="685"/>
      <c r="L1564" s="675"/>
    </row>
    <row r="1566" spans="1:12" x14ac:dyDescent="0.25">
      <c r="A1566" s="8" t="s">
        <v>1</v>
      </c>
      <c r="B1566" s="9" t="s">
        <v>642</v>
      </c>
      <c r="C1566" s="27" t="s">
        <v>2</v>
      </c>
    </row>
    <row r="1567" spans="1:12" x14ac:dyDescent="0.25">
      <c r="A1567" s="28" t="s">
        <v>3</v>
      </c>
      <c r="B1567" s="29"/>
      <c r="C1567" s="531"/>
      <c r="D1567" s="61"/>
      <c r="E1567" s="210">
        <v>2020</v>
      </c>
      <c r="F1567" s="770">
        <v>2021</v>
      </c>
      <c r="G1567" s="770">
        <v>2022</v>
      </c>
      <c r="H1567" s="770">
        <v>2023</v>
      </c>
      <c r="I1567" s="961">
        <v>2024</v>
      </c>
      <c r="J1567" s="961">
        <v>2025</v>
      </c>
      <c r="K1567" s="961">
        <v>2026</v>
      </c>
    </row>
    <row r="1568" spans="1:12" x14ac:dyDescent="0.25">
      <c r="A1568" s="28" t="s">
        <v>4</v>
      </c>
      <c r="B1568" s="29"/>
      <c r="C1568" s="532"/>
      <c r="D1568" s="250"/>
      <c r="E1568" s="30">
        <v>3284</v>
      </c>
      <c r="F1568" s="795">
        <v>3284</v>
      </c>
      <c r="G1568" s="795">
        <v>3284</v>
      </c>
      <c r="H1568" s="795">
        <v>3700</v>
      </c>
      <c r="I1568" s="962">
        <v>3700</v>
      </c>
      <c r="J1568" s="962">
        <v>3700</v>
      </c>
      <c r="K1568" s="962">
        <v>4379.47</v>
      </c>
    </row>
    <row r="1569" spans="1:15" x14ac:dyDescent="0.25">
      <c r="A1569" s="28" t="s">
        <v>5</v>
      </c>
      <c r="B1569" s="29"/>
      <c r="C1569" s="532"/>
      <c r="D1569" s="250"/>
      <c r="E1569" s="30">
        <v>3488.62</v>
      </c>
      <c r="F1569" s="795">
        <v>3318.91</v>
      </c>
      <c r="G1569" s="795">
        <f>G1568+F1572+259.62</f>
        <v>3568.2699999999995</v>
      </c>
      <c r="H1569" s="795">
        <f>H1568+3</f>
        <v>3703</v>
      </c>
      <c r="I1569" s="962">
        <f>I1568+H1572</f>
        <v>3739</v>
      </c>
      <c r="J1569" s="962">
        <f>J1568+I1572+50</f>
        <v>3870.13</v>
      </c>
      <c r="K1569" s="962">
        <f>K1568+J1572+55+55</f>
        <v>4633.09</v>
      </c>
    </row>
    <row r="1570" spans="1:15" x14ac:dyDescent="0.25">
      <c r="A1570" s="28" t="s">
        <v>6</v>
      </c>
      <c r="B1570" s="29"/>
      <c r="C1570" s="532"/>
      <c r="D1570" s="250"/>
      <c r="E1570" s="30"/>
      <c r="F1570" s="795"/>
      <c r="G1570" s="795"/>
      <c r="H1570" s="795"/>
      <c r="I1570" s="962"/>
      <c r="J1570" s="962"/>
      <c r="K1570" s="962"/>
    </row>
    <row r="1571" spans="1:15" x14ac:dyDescent="0.25">
      <c r="A1571" s="28" t="s">
        <v>7</v>
      </c>
      <c r="B1571" s="29"/>
      <c r="C1571" s="532"/>
      <c r="D1571" s="250"/>
      <c r="E1571" s="30">
        <v>3453.71</v>
      </c>
      <c r="F1571" s="795">
        <v>3294.26</v>
      </c>
      <c r="G1571" s="795">
        <v>3565.05</v>
      </c>
      <c r="H1571" s="795">
        <v>3664</v>
      </c>
      <c r="I1571" s="962">
        <v>3618.87</v>
      </c>
      <c r="J1571" s="962">
        <v>3726.38</v>
      </c>
      <c r="K1571" s="962"/>
    </row>
    <row r="1572" spans="1:15" x14ac:dyDescent="0.25">
      <c r="A1572" s="28" t="s">
        <v>8</v>
      </c>
      <c r="B1572" s="29"/>
      <c r="C1572" s="532"/>
      <c r="D1572" s="250"/>
      <c r="E1572" s="30">
        <v>34.909999999999997</v>
      </c>
      <c r="F1572" s="795">
        <f>F1569-F1571</f>
        <v>24.649999999999636</v>
      </c>
      <c r="G1572" s="795">
        <f>G1569-G1571</f>
        <v>3.2199999999993452</v>
      </c>
      <c r="H1572" s="795">
        <f>H1569-H1571</f>
        <v>39</v>
      </c>
      <c r="I1572" s="962">
        <f>I1569-I1571</f>
        <v>120.13000000000011</v>
      </c>
      <c r="J1572" s="962">
        <v>143.62</v>
      </c>
      <c r="K1572" s="962"/>
    </row>
    <row r="1573" spans="1:15" x14ac:dyDescent="0.25">
      <c r="A1573" s="34" t="s">
        <v>9</v>
      </c>
      <c r="B1573" s="35"/>
      <c r="C1573" s="215"/>
      <c r="D1573" s="107"/>
      <c r="E1573" s="215">
        <v>2021</v>
      </c>
      <c r="F1573" s="789">
        <v>2022</v>
      </c>
      <c r="G1573" s="789">
        <v>2023</v>
      </c>
      <c r="H1573" s="789">
        <v>2024</v>
      </c>
      <c r="I1573" s="789">
        <v>2025</v>
      </c>
      <c r="J1573" s="789">
        <v>2026</v>
      </c>
      <c r="K1573" s="789">
        <v>2027</v>
      </c>
    </row>
    <row r="1574" spans="1:15" x14ac:dyDescent="0.25">
      <c r="A1574" s="50" t="s">
        <v>10</v>
      </c>
      <c r="B1574" s="51"/>
      <c r="C1574" s="51"/>
      <c r="D1574" s="51"/>
      <c r="E1574" s="51"/>
      <c r="F1574" s="676"/>
      <c r="G1574" s="676"/>
      <c r="H1574" s="676"/>
      <c r="I1574" s="676"/>
      <c r="J1574" s="676"/>
      <c r="K1574" s="717"/>
    </row>
    <row r="1575" spans="1:15" x14ac:dyDescent="0.25">
      <c r="A1575" s="85" t="s">
        <v>748</v>
      </c>
      <c r="K1575" s="684"/>
    </row>
    <row r="1576" spans="1:15" x14ac:dyDescent="0.25">
      <c r="A1576" s="528" t="s">
        <v>749</v>
      </c>
      <c r="K1576" s="684"/>
    </row>
    <row r="1577" spans="1:15" x14ac:dyDescent="0.25">
      <c r="A1577" s="528" t="s">
        <v>750</v>
      </c>
      <c r="B1577" s="488"/>
      <c r="C1577" s="488"/>
      <c r="D1577" s="488"/>
      <c r="E1577" s="488"/>
      <c r="F1577" s="933"/>
      <c r="G1577" s="933"/>
      <c r="K1577" s="684"/>
    </row>
    <row r="1578" spans="1:15" x14ac:dyDescent="0.25">
      <c r="A1578" s="64" t="s">
        <v>747</v>
      </c>
      <c r="K1578" s="684"/>
    </row>
    <row r="1579" spans="1:15" x14ac:dyDescent="0.25">
      <c r="A1579" s="64" t="s">
        <v>955</v>
      </c>
      <c r="K1579" s="684"/>
    </row>
    <row r="1580" spans="1:15" x14ac:dyDescent="0.25">
      <c r="A1580" s="64" t="s">
        <v>1122</v>
      </c>
      <c r="K1580" s="684"/>
    </row>
    <row r="1581" spans="1:15" s="73" customFormat="1" x14ac:dyDescent="0.25">
      <c r="A1581" s="69" t="s">
        <v>1279</v>
      </c>
      <c r="F1581" s="685"/>
      <c r="G1581" s="685"/>
      <c r="H1581" s="685"/>
      <c r="I1581" s="685"/>
      <c r="J1581" s="685"/>
      <c r="K1581" s="675"/>
      <c r="L1581" s="685"/>
      <c r="M1581" s="685"/>
      <c r="N1581" s="685"/>
      <c r="O1581" s="685"/>
    </row>
    <row r="1582" spans="1:15" x14ac:dyDescent="0.25">
      <c r="A1582" s="72"/>
      <c r="B1582" s="73"/>
      <c r="C1582" s="73"/>
    </row>
    <row r="1583" spans="1:15" x14ac:dyDescent="0.25">
      <c r="A1583" s="207" t="s">
        <v>1</v>
      </c>
      <c r="B1583" s="57" t="s">
        <v>74</v>
      </c>
      <c r="C1583" s="533" t="s">
        <v>2</v>
      </c>
    </row>
    <row r="1584" spans="1:15" x14ac:dyDescent="0.25">
      <c r="A1584" s="28" t="s">
        <v>3</v>
      </c>
      <c r="B1584" s="210">
        <v>2017</v>
      </c>
      <c r="C1584" s="210">
        <v>2018</v>
      </c>
      <c r="D1584" s="231">
        <v>2019</v>
      </c>
      <c r="E1584" s="210">
        <v>2020</v>
      </c>
      <c r="F1584" s="770">
        <v>2021</v>
      </c>
      <c r="G1584" s="770">
        <v>2022</v>
      </c>
      <c r="H1584" s="770">
        <v>2023</v>
      </c>
      <c r="I1584" s="770">
        <v>2024</v>
      </c>
      <c r="J1584" s="955">
        <v>2025</v>
      </c>
      <c r="K1584" s="955">
        <v>2026</v>
      </c>
    </row>
    <row r="1585" spans="1:11" x14ac:dyDescent="0.25">
      <c r="A1585" s="28" t="s">
        <v>4</v>
      </c>
      <c r="B1585" s="30">
        <v>10</v>
      </c>
      <c r="C1585" s="532">
        <v>10</v>
      </c>
      <c r="D1585" s="250">
        <v>10</v>
      </c>
      <c r="E1585" s="30">
        <v>10</v>
      </c>
      <c r="F1585" s="795">
        <v>10</v>
      </c>
      <c r="G1585" s="795">
        <v>10</v>
      </c>
      <c r="H1585" s="795">
        <v>10</v>
      </c>
      <c r="I1585" s="795">
        <v>10</v>
      </c>
      <c r="J1585" s="963">
        <v>10</v>
      </c>
      <c r="K1585" s="963">
        <v>10</v>
      </c>
    </row>
    <row r="1586" spans="1:11" x14ac:dyDescent="0.25">
      <c r="A1586" s="28" t="s">
        <v>5</v>
      </c>
      <c r="B1586" s="30">
        <v>10</v>
      </c>
      <c r="C1586" s="532">
        <v>-62</v>
      </c>
      <c r="D1586" s="250">
        <v>-52</v>
      </c>
      <c r="E1586" s="30">
        <v>-42</v>
      </c>
      <c r="F1586" s="795">
        <v>-32</v>
      </c>
      <c r="G1586" s="795">
        <v>-22</v>
      </c>
      <c r="H1586" s="795">
        <v>-12</v>
      </c>
      <c r="I1586" s="795">
        <f>H1589+I1585</f>
        <v>-2</v>
      </c>
      <c r="J1586" s="963">
        <f>I1589+J1585</f>
        <v>8</v>
      </c>
      <c r="K1586" s="963">
        <v>10</v>
      </c>
    </row>
    <row r="1587" spans="1:11" x14ac:dyDescent="0.25">
      <c r="A1587" s="28" t="s">
        <v>6</v>
      </c>
      <c r="B1587" s="30"/>
      <c r="C1587" s="532"/>
      <c r="D1587" s="250"/>
      <c r="E1587" s="30"/>
      <c r="F1587" s="795"/>
      <c r="G1587" s="795"/>
      <c r="H1587" s="795"/>
      <c r="I1587" s="795"/>
      <c r="J1587" s="963"/>
      <c r="K1587" s="963"/>
    </row>
    <row r="1588" spans="1:11" x14ac:dyDescent="0.25">
      <c r="A1588" s="28" t="s">
        <v>7</v>
      </c>
      <c r="B1588" s="30">
        <v>82</v>
      </c>
      <c r="C1588" s="532">
        <v>0</v>
      </c>
      <c r="D1588" s="250">
        <v>0</v>
      </c>
      <c r="E1588" s="30">
        <v>0</v>
      </c>
      <c r="F1588" s="795">
        <v>0</v>
      </c>
      <c r="G1588" s="795">
        <v>0</v>
      </c>
      <c r="H1588" s="795">
        <v>0</v>
      </c>
      <c r="I1588" s="795">
        <v>0</v>
      </c>
      <c r="J1588" s="963">
        <v>0</v>
      </c>
      <c r="K1588" s="963"/>
    </row>
    <row r="1589" spans="1:11" x14ac:dyDescent="0.25">
      <c r="A1589" s="28" t="s">
        <v>8</v>
      </c>
      <c r="B1589" s="30">
        <v>-72</v>
      </c>
      <c r="C1589" s="532">
        <v>-62</v>
      </c>
      <c r="D1589" s="250">
        <v>-52</v>
      </c>
      <c r="E1589" s="30">
        <v>-42</v>
      </c>
      <c r="F1589" s="795">
        <v>-32</v>
      </c>
      <c r="G1589" s="795">
        <v>-22</v>
      </c>
      <c r="H1589" s="795">
        <f>H1586-H1588</f>
        <v>-12</v>
      </c>
      <c r="I1589" s="795">
        <f>I1586-I1588</f>
        <v>-2</v>
      </c>
      <c r="J1589" s="795">
        <f>J1586-J1588</f>
        <v>8</v>
      </c>
      <c r="K1589" s="963"/>
    </row>
    <row r="1590" spans="1:11" x14ac:dyDescent="0.25">
      <c r="A1590" s="34" t="s">
        <v>9</v>
      </c>
      <c r="B1590" s="215">
        <v>2018</v>
      </c>
      <c r="C1590" s="215">
        <v>2019</v>
      </c>
      <c r="D1590" s="215">
        <v>2020</v>
      </c>
      <c r="E1590" s="215">
        <v>2021</v>
      </c>
      <c r="F1590" s="257">
        <v>2022</v>
      </c>
      <c r="G1590" s="257">
        <v>2023</v>
      </c>
      <c r="H1590" s="257">
        <v>2024</v>
      </c>
      <c r="I1590" s="257">
        <v>2025</v>
      </c>
      <c r="J1590" s="859">
        <v>2026</v>
      </c>
      <c r="K1590" s="859">
        <v>2027</v>
      </c>
    </row>
    <row r="1591" spans="1:11" x14ac:dyDescent="0.25">
      <c r="A1591" s="36" t="s">
        <v>10</v>
      </c>
      <c r="B1591" s="37"/>
      <c r="C1591" s="37"/>
      <c r="D1591" s="37"/>
      <c r="E1591" s="37"/>
      <c r="F1591" s="669"/>
      <c r="G1591" s="669"/>
      <c r="H1591" s="669"/>
      <c r="I1591" s="669"/>
      <c r="J1591" s="964"/>
      <c r="K1591" s="965"/>
    </row>
    <row r="1592" spans="1:11" x14ac:dyDescent="0.25">
      <c r="A1592" s="195" t="s">
        <v>752</v>
      </c>
      <c r="B1592" s="196"/>
      <c r="C1592" s="196"/>
      <c r="D1592" s="196"/>
      <c r="E1592" s="196"/>
      <c r="F1592" s="763"/>
      <c r="G1592" s="669"/>
      <c r="H1592" s="669"/>
      <c r="I1592" s="669"/>
      <c r="J1592" s="669"/>
      <c r="K1592" s="672"/>
    </row>
    <row r="1593" spans="1:11" x14ac:dyDescent="0.25">
      <c r="A1593" s="64" t="s">
        <v>753</v>
      </c>
      <c r="B1593" s="74"/>
      <c r="C1593" s="74"/>
      <c r="D1593" s="74"/>
      <c r="E1593" s="74"/>
      <c r="F1593" s="686"/>
      <c r="K1593" s="684"/>
    </row>
    <row r="1594" spans="1:11" x14ac:dyDescent="0.25">
      <c r="A1594" s="85" t="s">
        <v>754</v>
      </c>
      <c r="B1594" s="74"/>
      <c r="C1594" s="74"/>
      <c r="D1594" s="74"/>
      <c r="E1594" s="74"/>
      <c r="F1594" s="686"/>
      <c r="K1594" s="684"/>
    </row>
    <row r="1595" spans="1:11" x14ac:dyDescent="0.25">
      <c r="A1595" s="64" t="s">
        <v>755</v>
      </c>
      <c r="K1595" s="684"/>
    </row>
    <row r="1596" spans="1:11" x14ac:dyDescent="0.25">
      <c r="A1596" s="64" t="s">
        <v>751</v>
      </c>
      <c r="K1596" s="684"/>
    </row>
    <row r="1597" spans="1:11" x14ac:dyDescent="0.25">
      <c r="A1597" s="72" t="s">
        <v>1325</v>
      </c>
      <c r="B1597" s="73"/>
      <c r="C1597" s="73"/>
      <c r="D1597" s="73"/>
      <c r="E1597" s="73"/>
      <c r="F1597" s="685"/>
      <c r="G1597" s="685"/>
      <c r="H1597" s="685"/>
      <c r="I1597" s="685"/>
      <c r="J1597" s="685"/>
      <c r="K1597" s="675"/>
    </row>
    <row r="1600" spans="1:11" x14ac:dyDescent="0.25">
      <c r="A1600" s="8" t="s">
        <v>24</v>
      </c>
      <c r="B1600" s="9" t="s">
        <v>25</v>
      </c>
    </row>
    <row r="1601" spans="1:15" x14ac:dyDescent="0.25">
      <c r="A1601" s="207" t="s">
        <v>14</v>
      </c>
      <c r="B1601" s="57" t="s">
        <v>624</v>
      </c>
      <c r="C1601" s="534" t="s">
        <v>26</v>
      </c>
    </row>
    <row r="1602" spans="1:15" x14ac:dyDescent="0.25">
      <c r="A1602" s="229" t="s">
        <v>27</v>
      </c>
      <c r="B1602" s="333">
        <v>2016</v>
      </c>
      <c r="C1602" s="210">
        <v>2017</v>
      </c>
      <c r="D1602" s="535">
        <v>2018</v>
      </c>
      <c r="E1602" s="210">
        <v>2019</v>
      </c>
      <c r="F1602" s="770">
        <v>2020</v>
      </c>
      <c r="G1602" s="770">
        <v>2021</v>
      </c>
      <c r="H1602" s="770">
        <v>2022</v>
      </c>
      <c r="I1602" s="770">
        <v>2023</v>
      </c>
      <c r="J1602" s="770">
        <v>2024</v>
      </c>
      <c r="K1602" s="770">
        <v>2025</v>
      </c>
      <c r="L1602" s="770">
        <v>2026</v>
      </c>
    </row>
    <row r="1603" spans="1:15" x14ac:dyDescent="0.25">
      <c r="A1603" s="29" t="s">
        <v>28</v>
      </c>
      <c r="B1603" s="97">
        <v>200</v>
      </c>
      <c r="C1603" s="97">
        <v>200</v>
      </c>
      <c r="D1603" s="97">
        <v>200</v>
      </c>
      <c r="E1603" s="97">
        <v>215</v>
      </c>
      <c r="F1603" s="47">
        <v>215</v>
      </c>
      <c r="G1603" s="46">
        <v>242</v>
      </c>
      <c r="H1603" s="46">
        <v>242</v>
      </c>
      <c r="I1603" s="46">
        <v>242</v>
      </c>
      <c r="J1603" s="46">
        <v>302</v>
      </c>
      <c r="K1603" s="46">
        <v>302</v>
      </c>
      <c r="L1603" s="46">
        <v>302</v>
      </c>
    </row>
    <row r="1604" spans="1:15" x14ac:dyDescent="0.25">
      <c r="A1604" s="29" t="s">
        <v>29</v>
      </c>
      <c r="B1604" s="97">
        <f>200+200*0.25</f>
        <v>250</v>
      </c>
      <c r="C1604" s="97">
        <f>200+200*0.25</f>
        <v>250</v>
      </c>
      <c r="D1604" s="97">
        <f t="shared" ref="D1604:K1604" si="75">D1603+B1603*0.25</f>
        <v>250</v>
      </c>
      <c r="E1604" s="97">
        <f t="shared" si="75"/>
        <v>265</v>
      </c>
      <c r="F1604" s="708">
        <f t="shared" si="75"/>
        <v>265</v>
      </c>
      <c r="G1604" s="708">
        <f t="shared" si="75"/>
        <v>295.75</v>
      </c>
      <c r="H1604" s="708">
        <f t="shared" si="75"/>
        <v>295.75</v>
      </c>
      <c r="I1604" s="708">
        <f t="shared" si="75"/>
        <v>302.5</v>
      </c>
      <c r="J1604" s="708">
        <f t="shared" si="75"/>
        <v>362.5</v>
      </c>
      <c r="K1604" s="708">
        <f t="shared" si="75"/>
        <v>362.5</v>
      </c>
      <c r="L1604" s="708">
        <f>L1603+J1603*0.25</f>
        <v>377.5</v>
      </c>
    </row>
    <row r="1605" spans="1:15" x14ac:dyDescent="0.25">
      <c r="A1605" s="29" t="s">
        <v>30</v>
      </c>
      <c r="B1605" s="303" t="s">
        <v>410</v>
      </c>
      <c r="C1605" s="303" t="s">
        <v>410</v>
      </c>
      <c r="D1605" s="303" t="s">
        <v>410</v>
      </c>
      <c r="E1605" s="303" t="s">
        <v>411</v>
      </c>
      <c r="F1605" s="826" t="s">
        <v>411</v>
      </c>
      <c r="G1605" s="826" t="s">
        <v>430</v>
      </c>
      <c r="H1605" s="826" t="s">
        <v>430</v>
      </c>
      <c r="I1605" s="826" t="s">
        <v>802</v>
      </c>
      <c r="J1605" s="826" t="s">
        <v>1038</v>
      </c>
      <c r="K1605" s="826" t="s">
        <v>1038</v>
      </c>
      <c r="L1605" s="826" t="s">
        <v>1280</v>
      </c>
    </row>
    <row r="1606" spans="1:15" x14ac:dyDescent="0.25">
      <c r="A1606" s="29" t="s">
        <v>31</v>
      </c>
      <c r="B1606" s="97">
        <v>2.19</v>
      </c>
      <c r="C1606" s="97">
        <v>0.38</v>
      </c>
      <c r="D1606" s="97">
        <v>7.19</v>
      </c>
      <c r="E1606" s="97">
        <v>0.28999999999999998</v>
      </c>
      <c r="F1606" s="47">
        <v>1.45</v>
      </c>
      <c r="G1606" s="46">
        <v>0.72</v>
      </c>
      <c r="H1606" s="46">
        <v>0.64</v>
      </c>
      <c r="I1606" s="46">
        <v>0.2</v>
      </c>
      <c r="J1606" s="46">
        <v>0</v>
      </c>
      <c r="K1606" s="46">
        <v>0</v>
      </c>
      <c r="L1606" s="46"/>
    </row>
    <row r="1607" spans="1:15" x14ac:dyDescent="0.25">
      <c r="A1607" s="29" t="s">
        <v>32</v>
      </c>
      <c r="B1607" s="97">
        <f t="shared" ref="B1607:K1607" si="76">B1604-B1606</f>
        <v>247.81</v>
      </c>
      <c r="C1607" s="97">
        <f t="shared" si="76"/>
        <v>249.62</v>
      </c>
      <c r="D1607" s="97">
        <f t="shared" si="76"/>
        <v>242.81</v>
      </c>
      <c r="E1607" s="97">
        <f t="shared" si="76"/>
        <v>264.70999999999998</v>
      </c>
      <c r="F1607" s="708">
        <f t="shared" si="76"/>
        <v>263.55</v>
      </c>
      <c r="G1607" s="47">
        <f t="shared" si="76"/>
        <v>295.02999999999997</v>
      </c>
      <c r="H1607" s="47">
        <f t="shared" si="76"/>
        <v>295.11</v>
      </c>
      <c r="I1607" s="47">
        <f t="shared" si="76"/>
        <v>302.3</v>
      </c>
      <c r="J1607" s="47">
        <f t="shared" si="76"/>
        <v>362.5</v>
      </c>
      <c r="K1607" s="47">
        <f t="shared" si="76"/>
        <v>362.5</v>
      </c>
      <c r="L1607" s="47"/>
    </row>
    <row r="1608" spans="1:15" x14ac:dyDescent="0.25">
      <c r="A1608" s="34" t="s">
        <v>33</v>
      </c>
      <c r="B1608" s="215">
        <v>2018</v>
      </c>
      <c r="C1608" s="215">
        <v>2019</v>
      </c>
      <c r="D1608" s="536">
        <v>2020</v>
      </c>
      <c r="E1608" s="215">
        <v>2021</v>
      </c>
      <c r="F1608" s="257">
        <v>2022</v>
      </c>
      <c r="G1608" s="49">
        <v>2023</v>
      </c>
      <c r="H1608" s="49">
        <v>2024</v>
      </c>
      <c r="I1608" s="49">
        <v>2025</v>
      </c>
      <c r="J1608" s="49">
        <v>2026</v>
      </c>
      <c r="K1608" s="49">
        <v>2027</v>
      </c>
      <c r="L1608" s="49">
        <v>2028</v>
      </c>
    </row>
    <row r="1609" spans="1:15" ht="13.4" customHeight="1" x14ac:dyDescent="0.25">
      <c r="A1609" s="50" t="s">
        <v>135</v>
      </c>
      <c r="B1609" s="51"/>
      <c r="C1609" s="51"/>
      <c r="D1609" s="51"/>
      <c r="E1609" s="51"/>
      <c r="F1609" s="676"/>
      <c r="G1609" s="676"/>
      <c r="H1609" s="676"/>
      <c r="I1609" s="676"/>
      <c r="J1609" s="676"/>
      <c r="K1609" s="676"/>
      <c r="L1609" s="717"/>
    </row>
    <row r="1610" spans="1:15" x14ac:dyDescent="0.25">
      <c r="A1610" s="5"/>
      <c r="B1610" s="5"/>
    </row>
    <row r="1611" spans="1:15" x14ac:dyDescent="0.25">
      <c r="A1611" s="8" t="s">
        <v>14</v>
      </c>
      <c r="B1611" s="9" t="s">
        <v>623</v>
      </c>
      <c r="C1611" s="534" t="s">
        <v>26</v>
      </c>
    </row>
    <row r="1612" spans="1:15" x14ac:dyDescent="0.25">
      <c r="A1612" s="229" t="s">
        <v>27</v>
      </c>
      <c r="B1612" s="333">
        <v>2013</v>
      </c>
      <c r="C1612" s="210">
        <v>2014</v>
      </c>
      <c r="D1612" s="535">
        <v>2015</v>
      </c>
      <c r="E1612" s="210">
        <v>2016</v>
      </c>
      <c r="F1612" s="770">
        <v>2017</v>
      </c>
      <c r="G1612" s="966">
        <v>2018</v>
      </c>
      <c r="H1612" s="770">
        <v>2019</v>
      </c>
      <c r="I1612" s="770">
        <v>2020</v>
      </c>
      <c r="J1612" s="770">
        <v>2021</v>
      </c>
      <c r="K1612" s="770">
        <v>2022</v>
      </c>
      <c r="L1612" s="770">
        <v>2023</v>
      </c>
      <c r="M1612" s="770">
        <v>2024</v>
      </c>
      <c r="N1612" s="770">
        <v>2025</v>
      </c>
      <c r="O1612" s="770">
        <v>2026</v>
      </c>
    </row>
    <row r="1613" spans="1:15" x14ac:dyDescent="0.25">
      <c r="A1613" s="29" t="s">
        <v>28</v>
      </c>
      <c r="B1613" s="30">
        <v>200</v>
      </c>
      <c r="C1613" s="30">
        <v>200</v>
      </c>
      <c r="D1613" s="97">
        <v>200</v>
      </c>
      <c r="E1613" s="97">
        <v>200</v>
      </c>
      <c r="F1613" s="708">
        <v>200</v>
      </c>
      <c r="G1613" s="708">
        <v>200</v>
      </c>
      <c r="H1613" s="708">
        <v>200</v>
      </c>
      <c r="I1613" s="47">
        <v>200</v>
      </c>
      <c r="J1613" s="47">
        <v>200</v>
      </c>
      <c r="K1613" s="47">
        <v>200</v>
      </c>
      <c r="L1613" s="47">
        <v>200</v>
      </c>
      <c r="M1613" s="47">
        <v>200</v>
      </c>
      <c r="N1613" s="47">
        <v>200</v>
      </c>
      <c r="O1613" s="47">
        <v>200</v>
      </c>
    </row>
    <row r="1614" spans="1:15" x14ac:dyDescent="0.25">
      <c r="A1614" s="29" t="s">
        <v>29</v>
      </c>
      <c r="B1614" s="212">
        <f>(B1615)</f>
        <v>300</v>
      </c>
      <c r="C1614" s="212">
        <f>(C1615)</f>
        <v>300</v>
      </c>
      <c r="D1614" s="97">
        <v>300</v>
      </c>
      <c r="E1614" s="97">
        <v>300</v>
      </c>
      <c r="F1614" s="708">
        <v>300</v>
      </c>
      <c r="G1614" s="708">
        <v>280</v>
      </c>
      <c r="H1614" s="708">
        <v>280</v>
      </c>
      <c r="I1614" s="47">
        <v>280</v>
      </c>
      <c r="J1614" s="47">
        <v>280</v>
      </c>
      <c r="K1614" s="47">
        <v>280</v>
      </c>
      <c r="L1614" s="47">
        <v>280</v>
      </c>
      <c r="M1614" s="47">
        <v>280</v>
      </c>
      <c r="N1614" s="47">
        <f>(200+(200*0.4))</f>
        <v>280</v>
      </c>
      <c r="O1614" s="47">
        <f>(200+(200*0.4))</f>
        <v>280</v>
      </c>
    </row>
    <row r="1615" spans="1:15" x14ac:dyDescent="0.25">
      <c r="A1615" s="29" t="s">
        <v>30</v>
      </c>
      <c r="B1615" s="30">
        <f>(B1613*50%)+B1613</f>
        <v>300</v>
      </c>
      <c r="C1615" s="30">
        <f>(C1613*50%)+C1613</f>
        <v>300</v>
      </c>
      <c r="D1615" s="303" t="s">
        <v>247</v>
      </c>
      <c r="E1615" s="303" t="s">
        <v>247</v>
      </c>
      <c r="F1615" s="826" t="s">
        <v>247</v>
      </c>
      <c r="G1615" s="826" t="s">
        <v>248</v>
      </c>
      <c r="H1615" s="826" t="s">
        <v>248</v>
      </c>
      <c r="I1615" s="826" t="s">
        <v>248</v>
      </c>
      <c r="J1615" s="826" t="s">
        <v>248</v>
      </c>
      <c r="K1615" s="826" t="s">
        <v>248</v>
      </c>
      <c r="L1615" s="826" t="s">
        <v>248</v>
      </c>
      <c r="M1615" s="826" t="s">
        <v>248</v>
      </c>
      <c r="N1615" s="252" t="s">
        <v>248</v>
      </c>
      <c r="O1615" s="252" t="s">
        <v>248</v>
      </c>
    </row>
    <row r="1616" spans="1:15" x14ac:dyDescent="0.25">
      <c r="A1616" s="29" t="s">
        <v>31</v>
      </c>
      <c r="B1616" s="30">
        <v>32</v>
      </c>
      <c r="C1616" s="30">
        <v>32</v>
      </c>
      <c r="D1616" s="97">
        <v>31</v>
      </c>
      <c r="E1616" s="97">
        <v>36</v>
      </c>
      <c r="F1616" s="708">
        <v>64</v>
      </c>
      <c r="G1616" s="708">
        <v>45</v>
      </c>
      <c r="H1616" s="708">
        <v>30</v>
      </c>
      <c r="I1616" s="47">
        <v>21</v>
      </c>
      <c r="J1616" s="47">
        <v>25</v>
      </c>
      <c r="K1616" s="47">
        <v>22</v>
      </c>
      <c r="L1616" s="47">
        <v>26</v>
      </c>
      <c r="M1616" s="47">
        <v>20</v>
      </c>
      <c r="N1616" s="47">
        <v>13</v>
      </c>
      <c r="O1616" s="47"/>
    </row>
    <row r="1617" spans="1:18" x14ac:dyDescent="0.25">
      <c r="A1617" s="29" t="s">
        <v>32</v>
      </c>
      <c r="B1617" s="212">
        <f>(B1614-B1616)</f>
        <v>268</v>
      </c>
      <c r="C1617" s="212">
        <f>(C1614-C1616)</f>
        <v>268</v>
      </c>
      <c r="D1617" s="97">
        <f t="shared" ref="D1617:N1617" si="77">D1614-D1616</f>
        <v>269</v>
      </c>
      <c r="E1617" s="97">
        <f t="shared" si="77"/>
        <v>264</v>
      </c>
      <c r="F1617" s="708">
        <f t="shared" si="77"/>
        <v>236</v>
      </c>
      <c r="G1617" s="708">
        <f t="shared" si="77"/>
        <v>235</v>
      </c>
      <c r="H1617" s="708">
        <f t="shared" si="77"/>
        <v>250</v>
      </c>
      <c r="I1617" s="708">
        <f t="shared" si="77"/>
        <v>259</v>
      </c>
      <c r="J1617" s="708">
        <f t="shared" si="77"/>
        <v>255</v>
      </c>
      <c r="K1617" s="708">
        <f t="shared" si="77"/>
        <v>258</v>
      </c>
      <c r="L1617" s="708">
        <f t="shared" si="77"/>
        <v>254</v>
      </c>
      <c r="M1617" s="708">
        <f t="shared" si="77"/>
        <v>260</v>
      </c>
      <c r="N1617" s="708">
        <f t="shared" si="77"/>
        <v>267</v>
      </c>
      <c r="O1617" s="47"/>
    </row>
    <row r="1618" spans="1:18" ht="13.4" customHeight="1" x14ac:dyDescent="0.25">
      <c r="A1618" s="36" t="s">
        <v>33</v>
      </c>
      <c r="B1618" s="237">
        <v>2015</v>
      </c>
      <c r="C1618" s="237">
        <v>2016</v>
      </c>
      <c r="D1618" s="237">
        <v>2017</v>
      </c>
      <c r="E1618" s="237">
        <v>2018</v>
      </c>
      <c r="F1618" s="498">
        <v>2019</v>
      </c>
      <c r="G1618" s="967">
        <v>2020</v>
      </c>
      <c r="H1618" s="498">
        <v>2021</v>
      </c>
      <c r="I1618" s="498">
        <v>2022</v>
      </c>
      <c r="J1618" s="498">
        <v>2023</v>
      </c>
      <c r="K1618" s="498">
        <v>2024</v>
      </c>
      <c r="L1618" s="498">
        <v>2025</v>
      </c>
      <c r="M1618" s="498">
        <v>2026</v>
      </c>
      <c r="N1618" s="498">
        <v>2027</v>
      </c>
      <c r="O1618" s="498">
        <v>2028</v>
      </c>
    </row>
    <row r="1619" spans="1:18" ht="13.4" customHeight="1" x14ac:dyDescent="0.25">
      <c r="A1619" s="36" t="s">
        <v>502</v>
      </c>
      <c r="B1619" s="238"/>
      <c r="C1619" s="238"/>
      <c r="D1619" s="238"/>
      <c r="E1619" s="238"/>
      <c r="F1619" s="784"/>
      <c r="G1619" s="784"/>
      <c r="H1619" s="784"/>
      <c r="I1619" s="784"/>
      <c r="J1619" s="784"/>
      <c r="K1619" s="784"/>
      <c r="L1619" s="784"/>
      <c r="M1619" s="784"/>
      <c r="N1619" s="669"/>
      <c r="O1619" s="672"/>
    </row>
    <row r="1620" spans="1:18" x14ac:dyDescent="0.25">
      <c r="A1620" s="72" t="s">
        <v>503</v>
      </c>
      <c r="B1620" s="380"/>
      <c r="C1620" s="380"/>
      <c r="D1620" s="380"/>
      <c r="E1620" s="380"/>
      <c r="F1620" s="883"/>
      <c r="G1620" s="883"/>
      <c r="H1620" s="883"/>
      <c r="I1620" s="883"/>
      <c r="J1620" s="883"/>
      <c r="K1620" s="883"/>
      <c r="L1620" s="883"/>
      <c r="M1620" s="883"/>
      <c r="N1620" s="685"/>
      <c r="O1620" s="675"/>
    </row>
    <row r="1622" spans="1:18" ht="14" x14ac:dyDescent="0.3">
      <c r="A1622" s="8" t="s">
        <v>14</v>
      </c>
      <c r="B1622" s="9" t="s">
        <v>645</v>
      </c>
      <c r="C1622" s="9" t="s">
        <v>26</v>
      </c>
      <c r="O1622" s="968"/>
    </row>
    <row r="1623" spans="1:18" x14ac:dyDescent="0.25">
      <c r="A1623" s="72" t="s">
        <v>27</v>
      </c>
      <c r="B1623" s="333">
        <v>2010</v>
      </c>
      <c r="C1623" s="210">
        <v>2011</v>
      </c>
      <c r="D1623" s="210">
        <v>2012</v>
      </c>
      <c r="E1623" s="210">
        <v>2013</v>
      </c>
      <c r="F1623" s="770">
        <v>2014</v>
      </c>
      <c r="G1623" s="770">
        <v>2015</v>
      </c>
      <c r="H1623" s="770">
        <v>2016</v>
      </c>
      <c r="I1623" s="966">
        <v>2017</v>
      </c>
      <c r="J1623" s="770">
        <v>2018</v>
      </c>
      <c r="K1623" s="770">
        <v>2019</v>
      </c>
      <c r="L1623" s="770">
        <v>2020</v>
      </c>
      <c r="M1623" s="770">
        <v>2021</v>
      </c>
      <c r="N1623" s="770">
        <v>2022</v>
      </c>
      <c r="O1623" s="770">
        <v>2023</v>
      </c>
      <c r="P1623" s="210">
        <v>2024</v>
      </c>
      <c r="Q1623" s="210">
        <v>2025</v>
      </c>
      <c r="R1623" s="210">
        <v>2026</v>
      </c>
    </row>
    <row r="1624" spans="1:18" x14ac:dyDescent="0.25">
      <c r="A1624" s="28" t="s">
        <v>28</v>
      </c>
      <c r="B1624" s="30">
        <v>95</v>
      </c>
      <c r="C1624" s="30">
        <v>95</v>
      </c>
      <c r="D1624" s="30">
        <v>95</v>
      </c>
      <c r="E1624" s="30">
        <v>95</v>
      </c>
      <c r="F1624" s="252">
        <v>95</v>
      </c>
      <c r="G1624" s="771">
        <v>108.98</v>
      </c>
      <c r="H1624" s="771">
        <v>108.98</v>
      </c>
      <c r="I1624" s="969">
        <v>108.98</v>
      </c>
      <c r="J1624" s="771">
        <v>128.44</v>
      </c>
      <c r="K1624" s="771">
        <v>128.44</v>
      </c>
      <c r="L1624" s="771">
        <v>128.44</v>
      </c>
      <c r="M1624" s="771">
        <v>128.44</v>
      </c>
      <c r="N1624" s="771">
        <v>149.34</v>
      </c>
      <c r="O1624" s="771">
        <v>149.34</v>
      </c>
      <c r="P1624" s="211">
        <v>149.34</v>
      </c>
      <c r="Q1624" s="211">
        <v>149.34</v>
      </c>
      <c r="R1624" s="211">
        <v>171.34</v>
      </c>
    </row>
    <row r="1625" spans="1:18" x14ac:dyDescent="0.25">
      <c r="A1625" s="28" t="s">
        <v>29</v>
      </c>
      <c r="B1625" s="212">
        <f>(B1626)</f>
        <v>56</v>
      </c>
      <c r="C1625" s="212">
        <f t="shared" ref="C1625:J1625" si="78">(C1626)</f>
        <v>137</v>
      </c>
      <c r="D1625" s="212">
        <f t="shared" si="78"/>
        <v>103.5</v>
      </c>
      <c r="E1625" s="212">
        <f t="shared" si="78"/>
        <v>147.9</v>
      </c>
      <c r="F1625" s="252">
        <f t="shared" si="78"/>
        <v>103.5</v>
      </c>
      <c r="G1625" s="771">
        <f t="shared" si="78"/>
        <v>74.980000000000018</v>
      </c>
      <c r="H1625" s="771">
        <f t="shared" si="78"/>
        <v>78.980000000000047</v>
      </c>
      <c r="I1625" s="969">
        <f t="shared" si="78"/>
        <v>76.980000000000047</v>
      </c>
      <c r="J1625" s="771">
        <f t="shared" si="78"/>
        <v>97.44000000000004</v>
      </c>
      <c r="K1625" s="771">
        <f t="shared" ref="K1625:Q1625" si="79">K1626</f>
        <v>85.440000000000055</v>
      </c>
      <c r="L1625" s="47">
        <f t="shared" si="79"/>
        <v>95.440000000000055</v>
      </c>
      <c r="M1625" s="47">
        <f t="shared" si="79"/>
        <v>95.440000000000055</v>
      </c>
      <c r="N1625" s="47">
        <f t="shared" si="79"/>
        <v>122.78000000000006</v>
      </c>
      <c r="O1625" s="47">
        <f t="shared" si="79"/>
        <v>152.12000000000006</v>
      </c>
      <c r="P1625" s="30">
        <f t="shared" si="79"/>
        <v>202.46000000000006</v>
      </c>
      <c r="Q1625" s="211">
        <f t="shared" si="79"/>
        <v>238.68</v>
      </c>
      <c r="R1625" s="211">
        <f>R1626</f>
        <v>171.34</v>
      </c>
    </row>
    <row r="1626" spans="1:18" x14ac:dyDescent="0.25">
      <c r="A1626" s="28" t="s">
        <v>30</v>
      </c>
      <c r="B1626" s="211">
        <f>(B1624+47.5)-86.5</f>
        <v>56</v>
      </c>
      <c r="C1626" s="211">
        <f>(C1624+B1628)</f>
        <v>137</v>
      </c>
      <c r="D1626" s="211">
        <f>D1624+95-86.5</f>
        <v>103.5</v>
      </c>
      <c r="E1626" s="211">
        <f>E1624+D1628</f>
        <v>147.9</v>
      </c>
      <c r="F1626" s="771">
        <f>(F1624+95)-86.5</f>
        <v>103.5</v>
      </c>
      <c r="G1626" s="771">
        <f>(G1624+F1628)-86.5</f>
        <v>74.980000000000018</v>
      </c>
      <c r="H1626" s="771">
        <f>(H1624+G1628)-51.98</f>
        <v>78.980000000000047</v>
      </c>
      <c r="I1626" s="969">
        <f>(I1624+H1628)-55.98</f>
        <v>76.980000000000047</v>
      </c>
      <c r="J1626" s="771">
        <f>(J1624+I1628)-73.98</f>
        <v>97.44000000000004</v>
      </c>
      <c r="K1626" s="771">
        <f>K1624+J1628-60.44</f>
        <v>85.440000000000055</v>
      </c>
      <c r="L1626" s="47">
        <f>L1624+K1628-79.44</f>
        <v>95.440000000000055</v>
      </c>
      <c r="M1626" s="47">
        <f>M1624+L1628-100.44</f>
        <v>95.440000000000055</v>
      </c>
      <c r="N1626" s="47">
        <f>N1624+M1628-60</f>
        <v>122.78000000000006</v>
      </c>
      <c r="O1626" s="47">
        <f>O1624+N1628-60</f>
        <v>152.12000000000006</v>
      </c>
      <c r="P1626" s="30">
        <f>P1624-60+O1628</f>
        <v>202.46000000000006</v>
      </c>
      <c r="Q1626" s="174">
        <f>Q1624-60+P1624</f>
        <v>238.68</v>
      </c>
      <c r="R1626" s="211">
        <v>171.34</v>
      </c>
    </row>
    <row r="1627" spans="1:18" x14ac:dyDescent="0.25">
      <c r="A1627" s="28" t="s">
        <v>31</v>
      </c>
      <c r="B1627" s="212">
        <v>14</v>
      </c>
      <c r="C1627" s="212">
        <v>14</v>
      </c>
      <c r="D1627" s="212">
        <v>50.6</v>
      </c>
      <c r="E1627" s="212">
        <v>22</v>
      </c>
      <c r="F1627" s="252">
        <v>51</v>
      </c>
      <c r="G1627" s="252">
        <v>53</v>
      </c>
      <c r="H1627" s="252">
        <v>55</v>
      </c>
      <c r="I1627" s="970">
        <v>34</v>
      </c>
      <c r="J1627" s="252">
        <v>80</v>
      </c>
      <c r="K1627" s="252">
        <v>39</v>
      </c>
      <c r="L1627" s="47">
        <v>28</v>
      </c>
      <c r="M1627" s="47">
        <v>62</v>
      </c>
      <c r="N1627" s="47">
        <v>60</v>
      </c>
      <c r="O1627" s="47">
        <v>39</v>
      </c>
      <c r="P1627" s="30">
        <v>16</v>
      </c>
      <c r="Q1627" s="211">
        <v>10</v>
      </c>
      <c r="R1627" s="211"/>
    </row>
    <row r="1628" spans="1:18" x14ac:dyDescent="0.25">
      <c r="A1628" s="28" t="s">
        <v>32</v>
      </c>
      <c r="B1628" s="212">
        <f>(B1625-B1627)</f>
        <v>42</v>
      </c>
      <c r="C1628" s="212">
        <f t="shared" ref="C1628:J1628" si="80">(C1625-C1627)</f>
        <v>123</v>
      </c>
      <c r="D1628" s="212">
        <f t="shared" si="80"/>
        <v>52.9</v>
      </c>
      <c r="E1628" s="212">
        <f t="shared" si="80"/>
        <v>125.9</v>
      </c>
      <c r="F1628" s="252">
        <f t="shared" si="80"/>
        <v>52.5</v>
      </c>
      <c r="G1628" s="252">
        <f t="shared" si="80"/>
        <v>21.980000000000018</v>
      </c>
      <c r="H1628" s="252">
        <f t="shared" si="80"/>
        <v>23.980000000000047</v>
      </c>
      <c r="I1628" s="970">
        <f t="shared" si="80"/>
        <v>42.980000000000047</v>
      </c>
      <c r="J1628" s="252">
        <f t="shared" si="80"/>
        <v>17.44000000000004</v>
      </c>
      <c r="K1628" s="252">
        <f t="shared" ref="K1628:P1628" si="81">K1625-K1627</f>
        <v>46.440000000000055</v>
      </c>
      <c r="L1628" s="47">
        <f t="shared" si="81"/>
        <v>67.440000000000055</v>
      </c>
      <c r="M1628" s="47">
        <f t="shared" si="81"/>
        <v>33.440000000000055</v>
      </c>
      <c r="N1628" s="47">
        <f t="shared" si="81"/>
        <v>62.780000000000058</v>
      </c>
      <c r="O1628" s="47">
        <f t="shared" si="81"/>
        <v>113.12000000000006</v>
      </c>
      <c r="P1628" s="30">
        <f t="shared" si="81"/>
        <v>186.46000000000006</v>
      </c>
      <c r="Q1628" s="30">
        <f>Q1625-Q1627</f>
        <v>228.68</v>
      </c>
      <c r="R1628" s="211"/>
    </row>
    <row r="1629" spans="1:18" x14ac:dyDescent="0.25">
      <c r="A1629" s="36" t="s">
        <v>33</v>
      </c>
      <c r="B1629" s="237">
        <v>2011</v>
      </c>
      <c r="C1629" s="237">
        <v>2012</v>
      </c>
      <c r="D1629" s="237">
        <v>2013</v>
      </c>
      <c r="E1629" s="237">
        <v>2014</v>
      </c>
      <c r="F1629" s="498">
        <v>2015</v>
      </c>
      <c r="G1629" s="498">
        <v>2016</v>
      </c>
      <c r="H1629" s="498">
        <v>2017</v>
      </c>
      <c r="I1629" s="967">
        <v>2018</v>
      </c>
      <c r="J1629" s="498">
        <v>2019</v>
      </c>
      <c r="K1629" s="498">
        <v>2020</v>
      </c>
      <c r="L1629" s="498">
        <v>2021</v>
      </c>
      <c r="M1629" s="498">
        <v>2022</v>
      </c>
      <c r="N1629" s="498">
        <v>2023</v>
      </c>
      <c r="O1629" s="498">
        <v>2024</v>
      </c>
      <c r="P1629" s="237">
        <v>2025</v>
      </c>
      <c r="Q1629" s="237">
        <v>2026</v>
      </c>
      <c r="R1629" s="237">
        <v>2027</v>
      </c>
    </row>
    <row r="1630" spans="1:18" x14ac:dyDescent="0.25">
      <c r="A1630" s="36" t="s">
        <v>34</v>
      </c>
      <c r="B1630" s="37"/>
      <c r="C1630" s="37"/>
      <c r="D1630" s="37"/>
      <c r="E1630" s="37"/>
      <c r="F1630" s="669"/>
      <c r="G1630" s="669"/>
      <c r="H1630" s="669"/>
      <c r="I1630" s="669"/>
      <c r="J1630" s="669"/>
      <c r="K1630" s="669"/>
      <c r="L1630" s="669"/>
      <c r="M1630" s="669"/>
      <c r="N1630" s="669"/>
      <c r="O1630" s="669"/>
      <c r="P1630" s="37"/>
      <c r="Q1630" s="37"/>
      <c r="R1630" s="40"/>
    </row>
    <row r="1631" spans="1:18" x14ac:dyDescent="0.25">
      <c r="A1631" s="195" t="s">
        <v>35</v>
      </c>
      <c r="B1631" s="37"/>
      <c r="C1631" s="37"/>
      <c r="D1631" s="37"/>
      <c r="E1631" s="37"/>
      <c r="F1631" s="669"/>
      <c r="G1631" s="669"/>
      <c r="H1631" s="669"/>
      <c r="I1631" s="669"/>
      <c r="J1631" s="669"/>
      <c r="K1631" s="669"/>
      <c r="L1631" s="669"/>
      <c r="M1631" s="669"/>
      <c r="N1631" s="669"/>
      <c r="O1631" s="669"/>
      <c r="P1631" s="37"/>
      <c r="Q1631" s="37"/>
      <c r="R1631" s="40"/>
    </row>
    <row r="1632" spans="1:18" x14ac:dyDescent="0.25">
      <c r="A1632" s="85" t="s">
        <v>717</v>
      </c>
      <c r="R1632" s="66"/>
    </row>
    <row r="1633" spans="1:18" x14ac:dyDescent="0.25">
      <c r="A1633" s="85" t="s">
        <v>718</v>
      </c>
      <c r="R1633" s="66"/>
    </row>
    <row r="1634" spans="1:18" x14ac:dyDescent="0.25">
      <c r="A1634" s="85" t="s">
        <v>719</v>
      </c>
      <c r="R1634" s="66"/>
    </row>
    <row r="1635" spans="1:18" x14ac:dyDescent="0.25">
      <c r="A1635" s="85" t="s">
        <v>720</v>
      </c>
      <c r="R1635" s="66"/>
    </row>
    <row r="1636" spans="1:18" x14ac:dyDescent="0.25">
      <c r="A1636" s="64" t="s">
        <v>721</v>
      </c>
      <c r="R1636" s="66"/>
    </row>
    <row r="1637" spans="1:18" x14ac:dyDescent="0.25">
      <c r="A1637" s="64" t="s">
        <v>722</v>
      </c>
      <c r="R1637" s="66"/>
    </row>
    <row r="1638" spans="1:18" x14ac:dyDescent="0.25">
      <c r="A1638" s="64" t="s">
        <v>723</v>
      </c>
      <c r="R1638" s="66"/>
    </row>
    <row r="1639" spans="1:18" x14ac:dyDescent="0.25">
      <c r="A1639" s="64" t="s">
        <v>724</v>
      </c>
      <c r="R1639" s="66"/>
    </row>
    <row r="1640" spans="1:18" x14ac:dyDescent="0.25">
      <c r="A1640" s="64" t="s">
        <v>725</v>
      </c>
      <c r="R1640" s="66"/>
    </row>
    <row r="1641" spans="1:18" x14ac:dyDescent="0.25">
      <c r="A1641" s="64" t="s">
        <v>726</v>
      </c>
      <c r="R1641" s="66"/>
    </row>
    <row r="1642" spans="1:18" x14ac:dyDescent="0.25">
      <c r="A1642" s="64" t="s">
        <v>727</v>
      </c>
      <c r="R1642" s="66"/>
    </row>
    <row r="1643" spans="1:18" x14ac:dyDescent="0.25">
      <c r="A1643" s="64" t="s">
        <v>803</v>
      </c>
      <c r="R1643" s="66"/>
    </row>
    <row r="1644" spans="1:18" x14ac:dyDescent="0.25">
      <c r="A1644" s="64" t="s">
        <v>884</v>
      </c>
      <c r="R1644" s="66"/>
    </row>
    <row r="1645" spans="1:18" x14ac:dyDescent="0.25">
      <c r="A1645" s="64" t="s">
        <v>1039</v>
      </c>
      <c r="R1645" s="66"/>
    </row>
    <row r="1646" spans="1:18" x14ac:dyDescent="0.25">
      <c r="A1646" s="64" t="s">
        <v>1229</v>
      </c>
      <c r="R1646" s="66"/>
    </row>
    <row r="1647" spans="1:18" x14ac:dyDescent="0.25">
      <c r="A1647" s="69" t="s">
        <v>1326</v>
      </c>
      <c r="B1647" s="73"/>
      <c r="C1647" s="73"/>
      <c r="D1647" s="73"/>
      <c r="E1647" s="73"/>
      <c r="F1647" s="685"/>
      <c r="G1647" s="685"/>
      <c r="H1647" s="685"/>
      <c r="I1647" s="685"/>
      <c r="J1647" s="685"/>
      <c r="K1647" s="685"/>
      <c r="L1647" s="685"/>
      <c r="M1647" s="685"/>
      <c r="N1647" s="685"/>
      <c r="O1647" s="685"/>
      <c r="P1647" s="73"/>
      <c r="Q1647" s="73"/>
      <c r="R1647" s="45"/>
    </row>
    <row r="1649" spans="1:15" x14ac:dyDescent="0.25">
      <c r="A1649" s="8" t="s">
        <v>14</v>
      </c>
      <c r="B1649" s="9" t="s">
        <v>74</v>
      </c>
      <c r="C1649" s="9" t="s">
        <v>26</v>
      </c>
    </row>
    <row r="1650" spans="1:15" x14ac:dyDescent="0.25">
      <c r="A1650" s="72" t="s">
        <v>27</v>
      </c>
      <c r="B1650" s="333">
        <v>2013</v>
      </c>
      <c r="C1650" s="210">
        <v>2014</v>
      </c>
      <c r="D1650" s="210">
        <v>2015</v>
      </c>
      <c r="E1650" s="535">
        <v>2016</v>
      </c>
      <c r="F1650" s="770">
        <v>2017</v>
      </c>
      <c r="G1650" s="966">
        <v>2018</v>
      </c>
      <c r="H1650" s="770">
        <v>2019</v>
      </c>
      <c r="I1650" s="770">
        <v>2020</v>
      </c>
      <c r="J1650" s="770">
        <v>2021</v>
      </c>
      <c r="K1650" s="770">
        <v>2022</v>
      </c>
      <c r="L1650" s="770">
        <v>2023</v>
      </c>
      <c r="M1650" s="770">
        <v>2024</v>
      </c>
      <c r="N1650" s="770">
        <v>2025</v>
      </c>
      <c r="O1650" s="770">
        <v>2026</v>
      </c>
    </row>
    <row r="1651" spans="1:15" x14ac:dyDescent="0.25">
      <c r="A1651" s="28" t="s">
        <v>28</v>
      </c>
      <c r="B1651" s="30">
        <v>70</v>
      </c>
      <c r="C1651" s="30">
        <v>70</v>
      </c>
      <c r="D1651" s="30">
        <v>70</v>
      </c>
      <c r="E1651" s="30">
        <v>70</v>
      </c>
      <c r="F1651" s="252">
        <v>70</v>
      </c>
      <c r="G1651" s="252">
        <v>70</v>
      </c>
      <c r="H1651" s="252">
        <v>70</v>
      </c>
      <c r="I1651" s="47">
        <v>58.9</v>
      </c>
      <c r="J1651" s="47">
        <v>58.9</v>
      </c>
      <c r="K1651" s="47">
        <v>58.9</v>
      </c>
      <c r="L1651" s="47">
        <v>58.9</v>
      </c>
      <c r="M1651" s="47">
        <v>58.9</v>
      </c>
      <c r="N1651" s="47">
        <v>58.9</v>
      </c>
      <c r="O1651" s="47">
        <v>58.9</v>
      </c>
    </row>
    <row r="1652" spans="1:15" x14ac:dyDescent="0.25">
      <c r="A1652" s="28" t="s">
        <v>29</v>
      </c>
      <c r="B1652" s="30">
        <f>(B1653)</f>
        <v>-15</v>
      </c>
      <c r="C1652" s="30">
        <f t="shared" ref="C1652:H1652" si="82">(C1653)</f>
        <v>3</v>
      </c>
      <c r="D1652" s="30">
        <v>55</v>
      </c>
      <c r="E1652" s="30">
        <f t="shared" si="82"/>
        <v>56</v>
      </c>
      <c r="F1652" s="47">
        <f t="shared" si="82"/>
        <v>61</v>
      </c>
      <c r="G1652" s="252">
        <f t="shared" si="82"/>
        <v>71</v>
      </c>
      <c r="H1652" s="252">
        <f t="shared" si="82"/>
        <v>73</v>
      </c>
      <c r="I1652" s="47">
        <v>65.900000000000006</v>
      </c>
      <c r="J1652" s="47"/>
      <c r="K1652" s="47"/>
      <c r="L1652" s="47"/>
      <c r="M1652" s="47"/>
      <c r="N1652" s="47"/>
      <c r="O1652" s="47"/>
    </row>
    <row r="1653" spans="1:15" x14ac:dyDescent="0.25">
      <c r="A1653" s="28" t="s">
        <v>30</v>
      </c>
      <c r="B1653" s="212">
        <f>(B1651-B1654)</f>
        <v>-15</v>
      </c>
      <c r="C1653" s="212">
        <f>(C1651-C1654)</f>
        <v>3</v>
      </c>
      <c r="D1653" s="212">
        <f>D1651+B1655</f>
        <v>55</v>
      </c>
      <c r="E1653" s="212">
        <f>E1651+D1655+C1655</f>
        <v>56</v>
      </c>
      <c r="F1653" s="252">
        <f>F1651+E1655</f>
        <v>61</v>
      </c>
      <c r="G1653" s="252">
        <f>G1651+F1655</f>
        <v>71</v>
      </c>
      <c r="H1653" s="252">
        <f>H1651+G1655</f>
        <v>73</v>
      </c>
      <c r="I1653" s="47">
        <f>I1651+0.1*H1651</f>
        <v>65.900000000000006</v>
      </c>
      <c r="J1653" s="47"/>
      <c r="K1653" s="47"/>
      <c r="L1653" s="47"/>
      <c r="M1653" s="47"/>
      <c r="N1653" s="47"/>
      <c r="O1653" s="47"/>
    </row>
    <row r="1654" spans="1:15" x14ac:dyDescent="0.25">
      <c r="A1654" s="28" t="s">
        <v>36</v>
      </c>
      <c r="B1654" s="212">
        <v>85</v>
      </c>
      <c r="C1654" s="212">
        <v>67</v>
      </c>
      <c r="D1654" s="212">
        <v>72</v>
      </c>
      <c r="E1654" s="212">
        <v>65</v>
      </c>
      <c r="F1654" s="252">
        <v>60</v>
      </c>
      <c r="G1654" s="252">
        <v>68</v>
      </c>
      <c r="H1654" s="252">
        <v>51</v>
      </c>
      <c r="I1654" s="47">
        <v>39</v>
      </c>
      <c r="J1654" s="47">
        <v>43</v>
      </c>
      <c r="K1654" s="47">
        <v>29</v>
      </c>
      <c r="L1654" s="47">
        <v>43</v>
      </c>
      <c r="M1654" s="47">
        <v>35</v>
      </c>
      <c r="N1654" s="47">
        <v>27</v>
      </c>
      <c r="O1654" s="47"/>
    </row>
    <row r="1655" spans="1:15" x14ac:dyDescent="0.25">
      <c r="A1655" s="28" t="s">
        <v>37</v>
      </c>
      <c r="B1655" s="30">
        <f>(B1653)</f>
        <v>-15</v>
      </c>
      <c r="C1655" s="30">
        <f>(C1653)</f>
        <v>3</v>
      </c>
      <c r="D1655" s="30">
        <f t="shared" ref="D1655:I1655" si="83">D1652-D1654</f>
        <v>-17</v>
      </c>
      <c r="E1655" s="30">
        <f t="shared" si="83"/>
        <v>-9</v>
      </c>
      <c r="F1655" s="47">
        <f t="shared" si="83"/>
        <v>1</v>
      </c>
      <c r="G1655" s="252">
        <f t="shared" si="83"/>
        <v>3</v>
      </c>
      <c r="H1655" s="252">
        <f t="shared" si="83"/>
        <v>22</v>
      </c>
      <c r="I1655" s="47">
        <f t="shared" si="83"/>
        <v>26.900000000000006</v>
      </c>
      <c r="J1655" s="47">
        <f>J1651-J1654</f>
        <v>15.899999999999999</v>
      </c>
      <c r="K1655" s="47">
        <f>K1651-K1654</f>
        <v>29.9</v>
      </c>
      <c r="L1655" s="47">
        <f>L1651-L1654</f>
        <v>15.899999999999999</v>
      </c>
      <c r="M1655" s="47">
        <f>M1651-M1654</f>
        <v>23.9</v>
      </c>
      <c r="N1655" s="47">
        <f>N1651-N1654</f>
        <v>31.9</v>
      </c>
      <c r="O1655" s="47"/>
    </row>
    <row r="1656" spans="1:15" x14ac:dyDescent="0.25">
      <c r="A1656" s="36" t="s">
        <v>33</v>
      </c>
      <c r="B1656" s="513">
        <v>2015</v>
      </c>
      <c r="C1656" s="513">
        <v>2016</v>
      </c>
      <c r="D1656" s="513">
        <v>2016</v>
      </c>
      <c r="E1656" s="513">
        <v>2017</v>
      </c>
      <c r="F1656" s="942">
        <v>2018</v>
      </c>
      <c r="G1656" s="942">
        <v>2019</v>
      </c>
      <c r="H1656" s="942">
        <v>2020</v>
      </c>
      <c r="I1656" s="498"/>
      <c r="J1656" s="498"/>
      <c r="K1656" s="498"/>
      <c r="L1656" s="498">
        <v>2024</v>
      </c>
      <c r="M1656" s="942">
        <v>2025</v>
      </c>
      <c r="N1656" s="942">
        <v>2026</v>
      </c>
      <c r="O1656" s="942">
        <v>2027</v>
      </c>
    </row>
    <row r="1657" spans="1:15" x14ac:dyDescent="0.25">
      <c r="A1657" s="36" t="s">
        <v>34</v>
      </c>
      <c r="B1657" s="37"/>
      <c r="C1657" s="37"/>
      <c r="D1657" s="37"/>
      <c r="E1657" s="37"/>
      <c r="F1657" s="669"/>
      <c r="G1657" s="669"/>
      <c r="H1657" s="669"/>
      <c r="I1657" s="669"/>
      <c r="J1657" s="669"/>
      <c r="K1657" s="669"/>
      <c r="L1657" s="669"/>
      <c r="M1657" s="669"/>
      <c r="N1657" s="669"/>
      <c r="O1657" s="672"/>
    </row>
    <row r="1658" spans="1:15" x14ac:dyDescent="0.25">
      <c r="A1658" s="195" t="s">
        <v>311</v>
      </c>
      <c r="B1658" s="37"/>
      <c r="C1658" s="37"/>
      <c r="D1658" s="37"/>
      <c r="E1658" s="37"/>
      <c r="F1658" s="669"/>
      <c r="G1658" s="669"/>
      <c r="H1658" s="669"/>
      <c r="I1658" s="669"/>
      <c r="J1658" s="669"/>
      <c r="K1658" s="669"/>
      <c r="L1658" s="669"/>
      <c r="M1658" s="669"/>
      <c r="N1658" s="669"/>
      <c r="O1658" s="672"/>
    </row>
    <row r="1659" spans="1:15" x14ac:dyDescent="0.25">
      <c r="A1659" s="64" t="s">
        <v>312</v>
      </c>
      <c r="O1659" s="684"/>
    </row>
    <row r="1660" spans="1:15" x14ac:dyDescent="0.25">
      <c r="A1660" s="85" t="s">
        <v>313</v>
      </c>
      <c r="O1660" s="684"/>
    </row>
    <row r="1661" spans="1:15" x14ac:dyDescent="0.25">
      <c r="A1661" s="85" t="s">
        <v>314</v>
      </c>
      <c r="O1661" s="684"/>
    </row>
    <row r="1662" spans="1:15" x14ac:dyDescent="0.25">
      <c r="A1662" s="64" t="s">
        <v>305</v>
      </c>
      <c r="O1662" s="684"/>
    </row>
    <row r="1663" spans="1:15" x14ac:dyDescent="0.25">
      <c r="A1663" s="64" t="s">
        <v>407</v>
      </c>
      <c r="O1663" s="684"/>
    </row>
    <row r="1664" spans="1:15" x14ac:dyDescent="0.25">
      <c r="A1664" s="64" t="s">
        <v>1170</v>
      </c>
      <c r="O1664" s="684"/>
    </row>
    <row r="1665" spans="1:15" x14ac:dyDescent="0.25">
      <c r="A1665" s="64" t="s">
        <v>1171</v>
      </c>
      <c r="O1665" s="684"/>
    </row>
    <row r="1666" spans="1:15" x14ac:dyDescent="0.25">
      <c r="A1666" s="64" t="s">
        <v>1172</v>
      </c>
      <c r="O1666" s="684"/>
    </row>
    <row r="1667" spans="1:15" x14ac:dyDescent="0.25">
      <c r="A1667" s="64" t="s">
        <v>1173</v>
      </c>
      <c r="O1667" s="684"/>
    </row>
    <row r="1668" spans="1:15" x14ac:dyDescent="0.25">
      <c r="A1668" s="69" t="s">
        <v>1327</v>
      </c>
      <c r="B1668" s="73"/>
      <c r="C1668" s="73"/>
      <c r="D1668" s="73"/>
      <c r="E1668" s="73"/>
      <c r="F1668" s="685"/>
      <c r="G1668" s="685"/>
      <c r="H1668" s="685"/>
      <c r="I1668" s="685"/>
      <c r="J1668" s="685"/>
      <c r="K1668" s="685"/>
      <c r="L1668" s="685"/>
      <c r="M1668" s="685"/>
      <c r="N1668" s="685"/>
      <c r="O1668" s="675"/>
    </row>
    <row r="1670" spans="1:15" x14ac:dyDescent="0.25">
      <c r="A1670" s="8" t="s">
        <v>14</v>
      </c>
      <c r="B1670" s="9" t="s">
        <v>79</v>
      </c>
      <c r="C1670" s="9" t="s">
        <v>26</v>
      </c>
    </row>
    <row r="1671" spans="1:15" x14ac:dyDescent="0.25">
      <c r="A1671" s="229" t="s">
        <v>27</v>
      </c>
      <c r="B1671" s="333">
        <v>2013</v>
      </c>
      <c r="C1671" s="210">
        <v>2014</v>
      </c>
      <c r="D1671" s="210">
        <v>2015</v>
      </c>
      <c r="E1671" s="210">
        <v>2016</v>
      </c>
      <c r="F1671" s="770">
        <v>2017</v>
      </c>
      <c r="G1671" s="966">
        <v>2018</v>
      </c>
      <c r="H1671" s="966">
        <v>2019</v>
      </c>
      <c r="I1671" s="770">
        <v>2020</v>
      </c>
      <c r="J1671" s="770">
        <v>2021</v>
      </c>
      <c r="K1671" s="770">
        <v>2022</v>
      </c>
      <c r="L1671" s="770">
        <v>2023</v>
      </c>
      <c r="M1671" s="770">
        <v>2024</v>
      </c>
      <c r="N1671" s="770">
        <v>2025</v>
      </c>
      <c r="O1671" s="770">
        <v>2026</v>
      </c>
    </row>
    <row r="1672" spans="1:15" x14ac:dyDescent="0.25">
      <c r="A1672" s="29" t="s">
        <v>28</v>
      </c>
      <c r="B1672" s="30">
        <v>25</v>
      </c>
      <c r="C1672" s="30">
        <v>25</v>
      </c>
      <c r="D1672" s="30">
        <v>25</v>
      </c>
      <c r="E1672" s="30">
        <v>25</v>
      </c>
      <c r="F1672" s="252">
        <v>25</v>
      </c>
      <c r="G1672" s="969">
        <v>25</v>
      </c>
      <c r="H1672" s="969">
        <v>25</v>
      </c>
      <c r="I1672" s="47">
        <v>25</v>
      </c>
      <c r="J1672" s="47">
        <v>25</v>
      </c>
      <c r="K1672" s="47">
        <v>25</v>
      </c>
      <c r="L1672" s="47">
        <v>25</v>
      </c>
      <c r="M1672" s="47">
        <v>25</v>
      </c>
      <c r="N1672" s="47">
        <v>25</v>
      </c>
      <c r="O1672" s="47">
        <v>25</v>
      </c>
    </row>
    <row r="1673" spans="1:15" x14ac:dyDescent="0.25">
      <c r="A1673" s="29" t="s">
        <v>29</v>
      </c>
      <c r="B1673" s="30">
        <f>(B1674)</f>
        <v>-5</v>
      </c>
      <c r="C1673" s="30">
        <v>25</v>
      </c>
      <c r="D1673" s="30">
        <f>(D1674)</f>
        <v>25</v>
      </c>
      <c r="E1673" s="30">
        <f>(E1674)</f>
        <v>24</v>
      </c>
      <c r="F1673" s="47">
        <f>F1672</f>
        <v>25</v>
      </c>
      <c r="G1673" s="969">
        <v>29</v>
      </c>
      <c r="H1673" s="969">
        <f>H1672+5</f>
        <v>30</v>
      </c>
      <c r="I1673" s="47">
        <f>I1674</f>
        <v>30</v>
      </c>
      <c r="J1673" s="47">
        <f>J1674</f>
        <v>30</v>
      </c>
      <c r="K1673" s="47"/>
      <c r="L1673" s="47"/>
      <c r="M1673" s="709"/>
      <c r="N1673" s="709"/>
      <c r="O1673" s="709"/>
    </row>
    <row r="1674" spans="1:15" x14ac:dyDescent="0.25">
      <c r="A1674" s="29" t="s">
        <v>30</v>
      </c>
      <c r="B1674" s="212">
        <f>(B1672-B1675)</f>
        <v>-5</v>
      </c>
      <c r="C1674" s="212">
        <v>25</v>
      </c>
      <c r="D1674" s="212">
        <f>D1672+B1676+C1676</f>
        <v>25</v>
      </c>
      <c r="E1674" s="212">
        <f>E1672+D1676</f>
        <v>24</v>
      </c>
      <c r="F1674" s="252">
        <v>25</v>
      </c>
      <c r="G1674" s="969">
        <v>29</v>
      </c>
      <c r="H1674" s="969">
        <f>H1672+5</f>
        <v>30</v>
      </c>
      <c r="I1674" s="47">
        <f>I1672+0.2*G1672</f>
        <v>30</v>
      </c>
      <c r="J1674" s="47">
        <f>J1672+0.2*H1672</f>
        <v>30</v>
      </c>
      <c r="K1674" s="47"/>
      <c r="L1674" s="47"/>
      <c r="M1674" s="709"/>
      <c r="N1674" s="709"/>
      <c r="O1674" s="709"/>
    </row>
    <row r="1675" spans="1:15" x14ac:dyDescent="0.25">
      <c r="A1675" s="29" t="s">
        <v>36</v>
      </c>
      <c r="B1675" s="212">
        <v>30</v>
      </c>
      <c r="C1675" s="212">
        <v>20</v>
      </c>
      <c r="D1675" s="212">
        <v>26</v>
      </c>
      <c r="E1675" s="212">
        <v>20</v>
      </c>
      <c r="F1675" s="252">
        <v>12</v>
      </c>
      <c r="G1675" s="969">
        <v>15.89</v>
      </c>
      <c r="H1675" s="969">
        <v>9</v>
      </c>
      <c r="I1675" s="47">
        <v>10</v>
      </c>
      <c r="J1675" s="47">
        <v>12</v>
      </c>
      <c r="K1675" s="47">
        <v>8</v>
      </c>
      <c r="L1675" s="47">
        <v>8</v>
      </c>
      <c r="M1675" s="496">
        <v>9</v>
      </c>
      <c r="N1675" s="709">
        <v>6</v>
      </c>
      <c r="O1675" s="709"/>
    </row>
    <row r="1676" spans="1:15" x14ac:dyDescent="0.25">
      <c r="A1676" s="29" t="s">
        <v>37</v>
      </c>
      <c r="B1676" s="30">
        <v>-5</v>
      </c>
      <c r="C1676" s="30">
        <v>5</v>
      </c>
      <c r="D1676" s="30">
        <f>D1673-D1675</f>
        <v>-1</v>
      </c>
      <c r="E1676" s="341">
        <f>E1673-E1675</f>
        <v>4</v>
      </c>
      <c r="F1676" s="47">
        <f>F1673-F1675</f>
        <v>13</v>
      </c>
      <c r="G1676" s="969">
        <v>13.11</v>
      </c>
      <c r="H1676" s="969">
        <f>H1673-H1675</f>
        <v>21</v>
      </c>
      <c r="I1676" s="969">
        <f>I1673-I1675</f>
        <v>20</v>
      </c>
      <c r="J1676" s="47">
        <f>J1673-J1675</f>
        <v>18</v>
      </c>
      <c r="K1676" s="47">
        <f>K1672-K1675</f>
        <v>17</v>
      </c>
      <c r="L1676" s="47">
        <f>L1672-L1675</f>
        <v>17</v>
      </c>
      <c r="M1676" s="496">
        <f>M1672-M1675</f>
        <v>16</v>
      </c>
      <c r="N1676" s="496">
        <f>N1672-N1675</f>
        <v>19</v>
      </c>
      <c r="O1676" s="709"/>
    </row>
    <row r="1677" spans="1:15" x14ac:dyDescent="0.25">
      <c r="A1677" s="90" t="s">
        <v>33</v>
      </c>
      <c r="B1677" s="513">
        <v>2015</v>
      </c>
      <c r="C1677" s="513">
        <v>2016</v>
      </c>
      <c r="D1677" s="513">
        <v>2017</v>
      </c>
      <c r="E1677" s="513">
        <v>2018</v>
      </c>
      <c r="F1677" s="498">
        <v>2019</v>
      </c>
      <c r="G1677" s="498">
        <v>2020</v>
      </c>
      <c r="H1677" s="967">
        <v>2021</v>
      </c>
      <c r="I1677" s="703">
        <v>2022</v>
      </c>
      <c r="J1677" s="703">
        <v>2023</v>
      </c>
      <c r="K1677" s="703">
        <v>2024</v>
      </c>
      <c r="L1677" s="703">
        <v>2025</v>
      </c>
      <c r="M1677" s="703">
        <v>2026</v>
      </c>
      <c r="N1677" s="703">
        <v>2027</v>
      </c>
      <c r="O1677" s="703">
        <v>2028</v>
      </c>
    </row>
    <row r="1678" spans="1:15" x14ac:dyDescent="0.25">
      <c r="A1678" s="36" t="s">
        <v>34</v>
      </c>
      <c r="B1678" s="37"/>
      <c r="C1678" s="37"/>
      <c r="D1678" s="37"/>
      <c r="E1678" s="37"/>
      <c r="F1678" s="669"/>
      <c r="G1678" s="669"/>
      <c r="H1678" s="669"/>
      <c r="I1678" s="669"/>
      <c r="J1678" s="669"/>
      <c r="K1678" s="669"/>
      <c r="L1678" s="669"/>
      <c r="M1678" s="669"/>
      <c r="N1678" s="669"/>
      <c r="O1678" s="672"/>
    </row>
    <row r="1679" spans="1:15" x14ac:dyDescent="0.25">
      <c r="A1679" s="195" t="s">
        <v>306</v>
      </c>
      <c r="B1679" s="37"/>
      <c r="C1679" s="37"/>
      <c r="D1679" s="37"/>
      <c r="E1679" s="37"/>
      <c r="F1679" s="669"/>
      <c r="G1679" s="669"/>
      <c r="H1679" s="669"/>
      <c r="I1679" s="669"/>
      <c r="J1679" s="669"/>
      <c r="K1679" s="669"/>
      <c r="L1679" s="669"/>
      <c r="M1679" s="669"/>
      <c r="N1679" s="669"/>
      <c r="O1679" s="672"/>
    </row>
    <row r="1680" spans="1:15" x14ac:dyDescent="0.25">
      <c r="A1680" s="64" t="s">
        <v>307</v>
      </c>
      <c r="O1680" s="684"/>
    </row>
    <row r="1681" spans="1:15" x14ac:dyDescent="0.25">
      <c r="A1681" s="85" t="s">
        <v>308</v>
      </c>
      <c r="O1681" s="684"/>
    </row>
    <row r="1682" spans="1:15" x14ac:dyDescent="0.25">
      <c r="A1682" s="85" t="s">
        <v>309</v>
      </c>
      <c r="O1682" s="684"/>
    </row>
    <row r="1683" spans="1:15" x14ac:dyDescent="0.25">
      <c r="A1683" s="64" t="s">
        <v>310</v>
      </c>
      <c r="O1683" s="684"/>
    </row>
    <row r="1684" spans="1:15" x14ac:dyDescent="0.25">
      <c r="A1684" s="64" t="s">
        <v>408</v>
      </c>
      <c r="O1684" s="684"/>
    </row>
    <row r="1685" spans="1:15" x14ac:dyDescent="0.25">
      <c r="A1685" s="72" t="s">
        <v>409</v>
      </c>
      <c r="B1685" s="73"/>
      <c r="C1685" s="73"/>
      <c r="D1685" s="73"/>
      <c r="E1685" s="73"/>
      <c r="F1685" s="685"/>
      <c r="G1685" s="685"/>
      <c r="H1685" s="685"/>
      <c r="I1685" s="685"/>
      <c r="J1685" s="685"/>
      <c r="K1685" s="685"/>
      <c r="L1685" s="685"/>
      <c r="M1685" s="685"/>
      <c r="N1685" s="685"/>
      <c r="O1685" s="675"/>
    </row>
    <row r="1688" spans="1:15" x14ac:dyDescent="0.25">
      <c r="A1688" s="10" t="s">
        <v>12</v>
      </c>
      <c r="B1688" s="11" t="s">
        <v>453</v>
      </c>
      <c r="C1688" s="13"/>
      <c r="D1688" s="13"/>
      <c r="E1688" s="13"/>
      <c r="F1688" s="657"/>
      <c r="G1688" s="657"/>
    </row>
    <row r="1689" spans="1:15" x14ac:dyDescent="0.25">
      <c r="A1689" s="10" t="s">
        <v>14</v>
      </c>
      <c r="B1689" s="11" t="s">
        <v>638</v>
      </c>
      <c r="C1689" s="11" t="s">
        <v>15</v>
      </c>
      <c r="D1689" s="13"/>
      <c r="E1689" s="13"/>
      <c r="F1689" s="657"/>
      <c r="G1689" s="657"/>
    </row>
    <row r="1690" spans="1:15" x14ac:dyDescent="0.25">
      <c r="A1690" s="298" t="s">
        <v>16</v>
      </c>
      <c r="B1690" s="299"/>
      <c r="C1690" s="300">
        <v>2016</v>
      </c>
      <c r="D1690" s="383">
        <v>2017</v>
      </c>
      <c r="E1690" s="383">
        <v>2018</v>
      </c>
      <c r="F1690" s="887">
        <v>2019</v>
      </c>
      <c r="G1690" s="887">
        <v>2020</v>
      </c>
      <c r="H1690" s="887">
        <v>2021</v>
      </c>
      <c r="I1690" s="887">
        <v>2022</v>
      </c>
      <c r="J1690" s="887" t="s">
        <v>836</v>
      </c>
      <c r="K1690" s="887" t="s">
        <v>837</v>
      </c>
      <c r="L1690" s="887" t="s">
        <v>838</v>
      </c>
      <c r="M1690" s="887" t="s">
        <v>1111</v>
      </c>
      <c r="N1690" s="887"/>
    </row>
    <row r="1691" spans="1:15" x14ac:dyDescent="0.25">
      <c r="A1691" s="93" t="s">
        <v>17</v>
      </c>
      <c r="B1691" s="94"/>
      <c r="C1691" s="97">
        <v>3600</v>
      </c>
      <c r="D1691" s="134">
        <v>3600</v>
      </c>
      <c r="E1691" s="134">
        <v>3600</v>
      </c>
      <c r="F1691" s="722">
        <v>3600</v>
      </c>
      <c r="G1691" s="722">
        <v>3600</v>
      </c>
      <c r="H1691" s="722">
        <v>3600</v>
      </c>
      <c r="I1691" s="722">
        <v>3600</v>
      </c>
      <c r="J1691" s="722">
        <v>4320</v>
      </c>
      <c r="K1691" s="722">
        <v>4320</v>
      </c>
      <c r="L1691" s="722">
        <v>4320</v>
      </c>
      <c r="M1691" s="722">
        <v>4320</v>
      </c>
      <c r="N1691" s="722"/>
    </row>
    <row r="1692" spans="1:15" x14ac:dyDescent="0.25">
      <c r="A1692" s="93" t="s">
        <v>18</v>
      </c>
      <c r="B1692" s="94"/>
      <c r="C1692" s="319">
        <f>C1691+0.25*C1691</f>
        <v>4500</v>
      </c>
      <c r="D1692" s="319">
        <v>4477</v>
      </c>
      <c r="E1692" s="319">
        <f>E1691+0.25*E1691</f>
        <v>4500</v>
      </c>
      <c r="F1692" s="837">
        <f>F1691+0.25*F1691</f>
        <v>4500</v>
      </c>
      <c r="G1692" s="837">
        <f>G1691+0.25*G1691</f>
        <v>4500</v>
      </c>
      <c r="H1692" s="837">
        <f>H1691+0.25*H1691</f>
        <v>4500</v>
      </c>
      <c r="I1692" s="837">
        <f>I1691+0.25*I1691</f>
        <v>4500</v>
      </c>
      <c r="J1692" s="837">
        <f>J1691+0.25*H1691</f>
        <v>5220</v>
      </c>
      <c r="K1692" s="837">
        <f>K1691+I1695</f>
        <v>2075</v>
      </c>
      <c r="L1692" s="837">
        <f>L1691</f>
        <v>4320</v>
      </c>
      <c r="M1692" s="837">
        <v>5400</v>
      </c>
      <c r="N1692" s="837"/>
    </row>
    <row r="1693" spans="1:15" ht="37.5" x14ac:dyDescent="0.25">
      <c r="A1693" s="93" t="s">
        <v>19</v>
      </c>
      <c r="B1693" s="491"/>
      <c r="C1693" s="319" t="s">
        <v>834</v>
      </c>
      <c r="D1693" s="319" t="s">
        <v>834</v>
      </c>
      <c r="E1693" s="319" t="s">
        <v>834</v>
      </c>
      <c r="F1693" s="837" t="s">
        <v>834</v>
      </c>
      <c r="G1693" s="837" t="s">
        <v>834</v>
      </c>
      <c r="H1693" s="837" t="s">
        <v>834</v>
      </c>
      <c r="I1693" s="837" t="s">
        <v>834</v>
      </c>
      <c r="J1693" s="837" t="s">
        <v>835</v>
      </c>
      <c r="K1693" s="971" t="s">
        <v>840</v>
      </c>
      <c r="L1693" s="971" t="s">
        <v>841</v>
      </c>
      <c r="M1693" s="837" t="s">
        <v>1225</v>
      </c>
      <c r="N1693" s="837"/>
    </row>
    <row r="1694" spans="1:15" x14ac:dyDescent="0.25">
      <c r="A1694" s="93" t="s">
        <v>20</v>
      </c>
      <c r="B1694" s="94"/>
      <c r="C1694" s="97">
        <v>994</v>
      </c>
      <c r="D1694" s="134">
        <v>365.62</v>
      </c>
      <c r="E1694" s="134">
        <v>888.8</v>
      </c>
      <c r="F1694" s="722">
        <v>966.50400000000002</v>
      </c>
      <c r="G1694" s="722">
        <v>2165.75</v>
      </c>
      <c r="H1694" s="722">
        <v>3412.63</v>
      </c>
      <c r="I1694" s="722">
        <v>6745</v>
      </c>
      <c r="J1694" s="722">
        <v>4856.4380000000001</v>
      </c>
      <c r="K1694" s="722">
        <v>458.31599999999997</v>
      </c>
      <c r="L1694" s="722">
        <v>1976.59</v>
      </c>
      <c r="M1694" s="722"/>
      <c r="N1694" s="722"/>
    </row>
    <row r="1695" spans="1:15" x14ac:dyDescent="0.25">
      <c r="A1695" s="93" t="s">
        <v>21</v>
      </c>
      <c r="B1695" s="94"/>
      <c r="C1695" s="97">
        <f>C1692-C1694</f>
        <v>3506</v>
      </c>
      <c r="D1695" s="97">
        <f t="shared" ref="D1695:L1695" si="84">D1692-D1694</f>
        <v>4111.38</v>
      </c>
      <c r="E1695" s="97">
        <f t="shared" si="84"/>
        <v>3611.2</v>
      </c>
      <c r="F1695" s="708">
        <f t="shared" si="84"/>
        <v>3533.4960000000001</v>
      </c>
      <c r="G1695" s="708">
        <f t="shared" si="84"/>
        <v>2334.25</v>
      </c>
      <c r="H1695" s="708">
        <f t="shared" si="84"/>
        <v>1087.3699999999999</v>
      </c>
      <c r="I1695" s="708">
        <f t="shared" si="84"/>
        <v>-2245</v>
      </c>
      <c r="J1695" s="708">
        <f t="shared" si="84"/>
        <v>363.5619999999999</v>
      </c>
      <c r="K1695" s="708">
        <f t="shared" si="84"/>
        <v>1616.684</v>
      </c>
      <c r="L1695" s="708">
        <f t="shared" si="84"/>
        <v>2343.41</v>
      </c>
      <c r="M1695" s="708"/>
      <c r="N1695" s="708"/>
    </row>
    <row r="1696" spans="1:15" x14ac:dyDescent="0.25">
      <c r="A1696" s="126" t="s">
        <v>22</v>
      </c>
      <c r="B1696" s="20"/>
      <c r="C1696" s="21">
        <v>2018</v>
      </c>
      <c r="D1696" s="21">
        <v>2019</v>
      </c>
      <c r="E1696" s="21">
        <v>2020</v>
      </c>
      <c r="F1696" s="660">
        <v>2021</v>
      </c>
      <c r="G1696" s="660">
        <v>2022</v>
      </c>
      <c r="H1696" s="660">
        <v>2023</v>
      </c>
      <c r="I1696" s="660">
        <v>2024</v>
      </c>
      <c r="J1696" s="660">
        <v>2025</v>
      </c>
      <c r="K1696" s="660">
        <v>2026</v>
      </c>
      <c r="L1696" s="660">
        <v>2027</v>
      </c>
      <c r="M1696" s="660">
        <v>2028</v>
      </c>
      <c r="N1696" s="660"/>
    </row>
    <row r="1697" spans="1:14" x14ac:dyDescent="0.25">
      <c r="A1697" s="155" t="s">
        <v>23</v>
      </c>
      <c r="B1697" s="156"/>
      <c r="C1697" s="156"/>
      <c r="D1697" s="156"/>
      <c r="E1697" s="156"/>
      <c r="F1697" s="720"/>
      <c r="G1697" s="720"/>
      <c r="H1697" s="720"/>
      <c r="I1697" s="720"/>
      <c r="J1697" s="720"/>
      <c r="K1697" s="720"/>
      <c r="L1697" s="720"/>
      <c r="M1697" s="669"/>
      <c r="N1697" s="672"/>
    </row>
    <row r="1698" spans="1:14" x14ac:dyDescent="0.25">
      <c r="A1698" s="23" t="s">
        <v>839</v>
      </c>
      <c r="B1698" s="492"/>
      <c r="C1698" s="492"/>
      <c r="D1698" s="492"/>
      <c r="E1698" s="492"/>
      <c r="F1698" s="762"/>
      <c r="G1698" s="762"/>
      <c r="H1698" s="676"/>
      <c r="I1698" s="676"/>
      <c r="J1698" s="676"/>
      <c r="K1698" s="676"/>
      <c r="L1698" s="676"/>
      <c r="M1698" s="676"/>
      <c r="N1698" s="717"/>
    </row>
    <row r="1700" spans="1:14" x14ac:dyDescent="0.25">
      <c r="A1700" s="10" t="s">
        <v>14</v>
      </c>
      <c r="B1700" s="11" t="s">
        <v>641</v>
      </c>
      <c r="C1700" s="11" t="s">
        <v>15</v>
      </c>
      <c r="D1700" s="13"/>
      <c r="E1700" s="13"/>
      <c r="F1700" s="657"/>
      <c r="G1700" s="657"/>
      <c r="H1700" s="837"/>
    </row>
    <row r="1701" spans="1:14" x14ac:dyDescent="0.25">
      <c r="A1701" s="298" t="s">
        <v>16</v>
      </c>
      <c r="B1701" s="299"/>
      <c r="C1701" s="300">
        <v>2016</v>
      </c>
      <c r="D1701" s="383">
        <v>2017</v>
      </c>
      <c r="E1701" s="383">
        <v>2018</v>
      </c>
      <c r="F1701" s="887">
        <v>2019</v>
      </c>
      <c r="G1701" s="887">
        <v>2020</v>
      </c>
      <c r="H1701" s="887">
        <v>2021</v>
      </c>
      <c r="I1701" s="887">
        <v>2022</v>
      </c>
      <c r="J1701" s="887">
        <v>2023</v>
      </c>
      <c r="K1701" s="887">
        <v>2024</v>
      </c>
      <c r="L1701" s="887">
        <v>2025</v>
      </c>
      <c r="M1701" s="887">
        <v>2026</v>
      </c>
    </row>
    <row r="1702" spans="1:14" x14ac:dyDescent="0.25">
      <c r="A1702" s="93" t="s">
        <v>17</v>
      </c>
      <c r="B1702" s="94"/>
      <c r="C1702" s="97">
        <v>1168</v>
      </c>
      <c r="D1702" s="134">
        <v>1168</v>
      </c>
      <c r="E1702" s="134">
        <v>1168</v>
      </c>
      <c r="F1702" s="722">
        <v>1168</v>
      </c>
      <c r="G1702" s="722">
        <v>1168</v>
      </c>
      <c r="H1702" s="722">
        <v>1168</v>
      </c>
      <c r="I1702" s="722">
        <v>1168</v>
      </c>
      <c r="J1702" s="722">
        <v>1168</v>
      </c>
      <c r="K1702" s="722">
        <v>1168</v>
      </c>
      <c r="L1702" s="722">
        <v>1168</v>
      </c>
      <c r="M1702" s="722">
        <v>1168</v>
      </c>
    </row>
    <row r="1703" spans="1:14" x14ac:dyDescent="0.25">
      <c r="A1703" s="93" t="s">
        <v>18</v>
      </c>
      <c r="B1703" s="94"/>
      <c r="C1703" s="319">
        <f>C1702+0.3*C1702+50+50+50</f>
        <v>1668.4</v>
      </c>
      <c r="D1703" s="319">
        <f>D1702+0.3*D1702+50+50+50</f>
        <v>1668.4</v>
      </c>
      <c r="E1703" s="319">
        <f>E1702+0.2*E1702+50+50+50</f>
        <v>1551.6</v>
      </c>
      <c r="F1703" s="837">
        <f>F1702+0.2*F1702+50+50+50</f>
        <v>1551.6</v>
      </c>
      <c r="G1703" s="837">
        <f>G1702+0.2*G1702+50+50+50</f>
        <v>1551.6</v>
      </c>
      <c r="H1703" s="837">
        <f>1168+20%*1168+50+50+50</f>
        <v>1551.6</v>
      </c>
      <c r="I1703" s="837">
        <f>1168+20%*1168+50+50+50</f>
        <v>1551.6</v>
      </c>
      <c r="J1703" s="837">
        <v>1434.8</v>
      </c>
      <c r="K1703" s="837">
        <v>1434.8</v>
      </c>
      <c r="L1703" s="837">
        <v>1384.8</v>
      </c>
      <c r="M1703" s="837">
        <v>1284.8</v>
      </c>
    </row>
    <row r="1704" spans="1:14" x14ac:dyDescent="0.25">
      <c r="A1704" s="93" t="s">
        <v>19</v>
      </c>
      <c r="B1704" s="491"/>
      <c r="C1704" s="319" t="s">
        <v>456</v>
      </c>
      <c r="D1704" s="319" t="s">
        <v>456</v>
      </c>
      <c r="E1704" s="319" t="s">
        <v>459</v>
      </c>
      <c r="F1704" s="837" t="s">
        <v>459</v>
      </c>
      <c r="G1704" s="837" t="s">
        <v>459</v>
      </c>
      <c r="H1704" s="837" t="s">
        <v>459</v>
      </c>
      <c r="I1704" s="837" t="s">
        <v>459</v>
      </c>
      <c r="J1704" s="837" t="s">
        <v>1220</v>
      </c>
      <c r="K1704" s="837" t="s">
        <v>1220</v>
      </c>
      <c r="L1704" s="837" t="s">
        <v>1221</v>
      </c>
      <c r="M1704" s="837" t="s">
        <v>1281</v>
      </c>
    </row>
    <row r="1705" spans="1:14" x14ac:dyDescent="0.25">
      <c r="A1705" s="93" t="s">
        <v>20</v>
      </c>
      <c r="B1705" s="94"/>
      <c r="C1705" s="97">
        <v>466</v>
      </c>
      <c r="D1705" s="134">
        <v>717</v>
      </c>
      <c r="E1705" s="134">
        <v>881</v>
      </c>
      <c r="F1705" s="722">
        <v>811.28</v>
      </c>
      <c r="G1705" s="722">
        <v>789.23699999999997</v>
      </c>
      <c r="H1705" s="722">
        <v>252.99</v>
      </c>
      <c r="I1705" s="722">
        <v>1083</v>
      </c>
      <c r="J1705" s="722">
        <v>664.495</v>
      </c>
      <c r="K1705" s="722">
        <v>259.97000000000003</v>
      </c>
      <c r="L1705" s="722">
        <v>198</v>
      </c>
      <c r="M1705" s="722"/>
    </row>
    <row r="1706" spans="1:14" x14ac:dyDescent="0.25">
      <c r="A1706" s="93" t="s">
        <v>21</v>
      </c>
      <c r="B1706" s="94"/>
      <c r="C1706" s="97">
        <f>C1703-C1705</f>
        <v>1202.4000000000001</v>
      </c>
      <c r="D1706" s="97">
        <f t="shared" ref="D1706:K1706" si="85">D1703-D1705</f>
        <v>951.40000000000009</v>
      </c>
      <c r="E1706" s="97">
        <f t="shared" si="85"/>
        <v>670.59999999999991</v>
      </c>
      <c r="F1706" s="708">
        <f t="shared" si="85"/>
        <v>740.31999999999994</v>
      </c>
      <c r="G1706" s="708">
        <f t="shared" si="85"/>
        <v>762.36299999999994</v>
      </c>
      <c r="H1706" s="708">
        <f t="shared" si="85"/>
        <v>1298.6099999999999</v>
      </c>
      <c r="I1706" s="708">
        <f t="shared" si="85"/>
        <v>468.59999999999991</v>
      </c>
      <c r="J1706" s="708">
        <f t="shared" si="85"/>
        <v>770.30499999999995</v>
      </c>
      <c r="K1706" s="708">
        <f t="shared" si="85"/>
        <v>1174.83</v>
      </c>
      <c r="L1706" s="708">
        <f>L1703-L1705</f>
        <v>1186.8</v>
      </c>
      <c r="M1706" s="708"/>
    </row>
    <row r="1707" spans="1:14" x14ac:dyDescent="0.25">
      <c r="A1707" s="152" t="s">
        <v>22</v>
      </c>
      <c r="B1707" s="20"/>
      <c r="C1707" s="21">
        <v>2018</v>
      </c>
      <c r="D1707" s="21">
        <v>2019</v>
      </c>
      <c r="E1707" s="21">
        <v>2020</v>
      </c>
      <c r="F1707" s="660">
        <v>2021</v>
      </c>
      <c r="G1707" s="660">
        <v>2022</v>
      </c>
      <c r="H1707" s="660">
        <v>2023</v>
      </c>
      <c r="I1707" s="660">
        <v>2023</v>
      </c>
      <c r="J1707" s="660">
        <v>2025</v>
      </c>
      <c r="K1707" s="660">
        <v>2026</v>
      </c>
      <c r="L1707" s="660">
        <v>2027</v>
      </c>
      <c r="M1707" s="660">
        <v>2027</v>
      </c>
    </row>
    <row r="1708" spans="1:14" x14ac:dyDescent="0.25">
      <c r="A1708" s="155" t="s">
        <v>23</v>
      </c>
      <c r="B1708" s="156"/>
      <c r="C1708" s="156"/>
      <c r="D1708" s="156"/>
      <c r="E1708" s="156"/>
      <c r="F1708" s="720"/>
      <c r="G1708" s="720"/>
      <c r="H1708" s="720"/>
      <c r="I1708" s="720"/>
      <c r="J1708" s="720"/>
      <c r="K1708" s="720"/>
      <c r="L1708" s="669"/>
      <c r="M1708" s="672"/>
    </row>
    <row r="1709" spans="1:14" x14ac:dyDescent="0.25">
      <c r="A1709" s="538" t="s">
        <v>455</v>
      </c>
      <c r="B1709" s="539"/>
      <c r="C1709" s="539"/>
      <c r="D1709" s="539"/>
      <c r="E1709" s="539"/>
      <c r="F1709" s="720"/>
      <c r="G1709" s="720"/>
      <c r="H1709" s="669"/>
      <c r="I1709" s="669"/>
      <c r="J1709" s="669"/>
      <c r="K1709" s="669"/>
      <c r="L1709" s="669"/>
      <c r="M1709" s="672"/>
    </row>
    <row r="1710" spans="1:14" x14ac:dyDescent="0.25">
      <c r="A1710" s="64" t="s">
        <v>454</v>
      </c>
      <c r="M1710" s="684"/>
    </row>
    <row r="1711" spans="1:14" x14ac:dyDescent="0.25">
      <c r="A1711" s="64" t="s">
        <v>833</v>
      </c>
      <c r="M1711" s="684"/>
    </row>
    <row r="1712" spans="1:14" x14ac:dyDescent="0.25">
      <c r="A1712" s="64" t="s">
        <v>832</v>
      </c>
      <c r="M1712" s="684"/>
    </row>
    <row r="1713" spans="1:13" x14ac:dyDescent="0.25">
      <c r="A1713" s="64" t="s">
        <v>457</v>
      </c>
      <c r="M1713" s="684"/>
    </row>
    <row r="1714" spans="1:13" x14ac:dyDescent="0.25">
      <c r="A1714" s="64" t="s">
        <v>458</v>
      </c>
      <c r="M1714" s="684"/>
    </row>
    <row r="1715" spans="1:13" x14ac:dyDescent="0.25">
      <c r="A1715" s="72" t="s">
        <v>1040</v>
      </c>
      <c r="B1715" s="73"/>
      <c r="C1715" s="73"/>
      <c r="D1715" s="73"/>
      <c r="E1715" s="73"/>
      <c r="F1715" s="685"/>
      <c r="G1715" s="685"/>
      <c r="H1715" s="685"/>
      <c r="I1715" s="685"/>
      <c r="J1715" s="685"/>
      <c r="K1715" s="685"/>
      <c r="L1715" s="685"/>
      <c r="M1715" s="675"/>
    </row>
    <row r="1717" spans="1:13" x14ac:dyDescent="0.25">
      <c r="A1717" s="8" t="s">
        <v>14</v>
      </c>
      <c r="B1717" s="9" t="s">
        <v>74</v>
      </c>
      <c r="C1717" s="9" t="s">
        <v>152</v>
      </c>
    </row>
    <row r="1718" spans="1:13" x14ac:dyDescent="0.25">
      <c r="A1718" s="72" t="s">
        <v>16</v>
      </c>
      <c r="B1718" s="333">
        <v>2016</v>
      </c>
      <c r="C1718" s="210">
        <v>2017</v>
      </c>
      <c r="D1718" s="210">
        <v>2018</v>
      </c>
      <c r="E1718" s="210">
        <v>2019</v>
      </c>
      <c r="F1718" s="770">
        <v>2020</v>
      </c>
      <c r="G1718" s="770">
        <v>2021</v>
      </c>
      <c r="H1718" s="770">
        <v>2022</v>
      </c>
      <c r="I1718" s="770">
        <v>2023</v>
      </c>
      <c r="J1718" s="770">
        <v>2024</v>
      </c>
      <c r="K1718" s="770">
        <v>2025</v>
      </c>
      <c r="L1718" s="770">
        <v>2026</v>
      </c>
    </row>
    <row r="1719" spans="1:13" x14ac:dyDescent="0.25">
      <c r="A1719" s="28" t="s">
        <v>17</v>
      </c>
      <c r="B1719" s="30">
        <v>10</v>
      </c>
      <c r="C1719" s="30">
        <v>10</v>
      </c>
      <c r="D1719" s="30">
        <v>10</v>
      </c>
      <c r="E1719" s="30">
        <v>10</v>
      </c>
      <c r="F1719" s="47">
        <v>10</v>
      </c>
      <c r="G1719" s="47">
        <v>10</v>
      </c>
      <c r="H1719" s="47">
        <v>10</v>
      </c>
      <c r="I1719" s="47">
        <v>10</v>
      </c>
      <c r="J1719" s="47">
        <v>10</v>
      </c>
      <c r="K1719" s="47">
        <v>10</v>
      </c>
      <c r="L1719" s="47">
        <v>10</v>
      </c>
    </row>
    <row r="1720" spans="1:13" x14ac:dyDescent="0.25">
      <c r="A1720" s="28" t="s">
        <v>18</v>
      </c>
      <c r="B1720" s="30">
        <v>10</v>
      </c>
      <c r="C1720" s="30">
        <f>C1719+B1723</f>
        <v>-12</v>
      </c>
      <c r="D1720" s="30">
        <f>D1719+C1723</f>
        <v>-59</v>
      </c>
      <c r="E1720" s="30">
        <f>E1719+D1723</f>
        <v>-133</v>
      </c>
      <c r="F1720" s="47">
        <f>F1719+E1723</f>
        <v>-175.72</v>
      </c>
      <c r="G1720" s="47">
        <f>F1723+G1719</f>
        <v>-217.13</v>
      </c>
      <c r="H1720" s="47">
        <f xml:space="preserve"> 1.25*G1723+H1719</f>
        <v>-273.72499999999997</v>
      </c>
      <c r="I1720" s="47">
        <f xml:space="preserve"> 1.25*H1723+I1719</f>
        <v>-342.58124999999995</v>
      </c>
      <c r="J1720" s="47">
        <f xml:space="preserve"> 1.25*I1723+J1719</f>
        <v>-430.47656249999994</v>
      </c>
      <c r="K1720" s="47">
        <f xml:space="preserve"> 1.25*J1723+K1719</f>
        <v>-541.38320312499991</v>
      </c>
      <c r="L1720" s="47">
        <f xml:space="preserve"> 1.25*K1723+L1719</f>
        <v>-666.72900390624989</v>
      </c>
    </row>
    <row r="1721" spans="1:13" x14ac:dyDescent="0.25">
      <c r="A1721" s="28" t="s">
        <v>19</v>
      </c>
      <c r="B1721" s="212"/>
      <c r="C1721" s="212" t="s">
        <v>399</v>
      </c>
      <c r="D1721" s="212" t="s">
        <v>400</v>
      </c>
      <c r="E1721" s="212" t="s">
        <v>401</v>
      </c>
      <c r="F1721" s="252" t="s">
        <v>402</v>
      </c>
      <c r="G1721" s="252" t="s">
        <v>566</v>
      </c>
      <c r="H1721" s="252" t="s">
        <v>604</v>
      </c>
      <c r="I1721" s="252" t="s">
        <v>625</v>
      </c>
      <c r="J1721" s="252" t="s">
        <v>783</v>
      </c>
      <c r="K1721" s="252" t="s">
        <v>991</v>
      </c>
      <c r="L1721" s="252" t="s">
        <v>1146</v>
      </c>
    </row>
    <row r="1722" spans="1:13" x14ac:dyDescent="0.25">
      <c r="A1722" s="28" t="s">
        <v>20</v>
      </c>
      <c r="B1722" s="212">
        <v>32</v>
      </c>
      <c r="C1722" s="212">
        <v>57</v>
      </c>
      <c r="D1722" s="212">
        <v>84</v>
      </c>
      <c r="E1722" s="212">
        <v>52.72</v>
      </c>
      <c r="F1722" s="252">
        <v>51.41</v>
      </c>
      <c r="G1722" s="252">
        <v>9.85</v>
      </c>
      <c r="H1722" s="252">
        <v>8.34</v>
      </c>
      <c r="I1722" s="252">
        <v>9.8000000000000007</v>
      </c>
      <c r="J1722" s="252">
        <v>10.63</v>
      </c>
      <c r="K1722" s="252">
        <v>0</v>
      </c>
      <c r="L1722" s="252"/>
    </row>
    <row r="1723" spans="1:13" x14ac:dyDescent="0.25">
      <c r="A1723" s="28" t="s">
        <v>21</v>
      </c>
      <c r="B1723" s="30">
        <f t="shared" ref="B1723:J1723" si="86">B1720-B1722</f>
        <v>-22</v>
      </c>
      <c r="C1723" s="30">
        <f t="shared" si="86"/>
        <v>-69</v>
      </c>
      <c r="D1723" s="30">
        <f t="shared" si="86"/>
        <v>-143</v>
      </c>
      <c r="E1723" s="30">
        <f t="shared" si="86"/>
        <v>-185.72</v>
      </c>
      <c r="F1723" s="47">
        <f t="shared" si="86"/>
        <v>-227.13</v>
      </c>
      <c r="G1723" s="47">
        <f t="shared" si="86"/>
        <v>-226.98</v>
      </c>
      <c r="H1723" s="47">
        <f t="shared" si="86"/>
        <v>-282.06499999999994</v>
      </c>
      <c r="I1723" s="47">
        <f t="shared" si="86"/>
        <v>-352.38124999999997</v>
      </c>
      <c r="J1723" s="47">
        <f t="shared" si="86"/>
        <v>-441.10656249999994</v>
      </c>
      <c r="K1723" s="47">
        <f>K1720-K1722</f>
        <v>-541.38320312499991</v>
      </c>
      <c r="L1723" s="47"/>
    </row>
    <row r="1724" spans="1:13" x14ac:dyDescent="0.25">
      <c r="A1724" s="50" t="s">
        <v>22</v>
      </c>
      <c r="B1724" s="540">
        <v>2017</v>
      </c>
      <c r="C1724" s="540">
        <v>2018</v>
      </c>
      <c r="D1724" s="540">
        <v>2019</v>
      </c>
      <c r="E1724" s="540">
        <v>2020</v>
      </c>
      <c r="F1724" s="973">
        <v>2021</v>
      </c>
      <c r="G1724" s="973">
        <v>2022</v>
      </c>
      <c r="H1724" s="973">
        <v>2023</v>
      </c>
      <c r="I1724" s="973">
        <v>2023</v>
      </c>
      <c r="J1724" s="973">
        <v>2025</v>
      </c>
      <c r="K1724" s="973">
        <v>2026</v>
      </c>
      <c r="L1724" s="973">
        <v>2027</v>
      </c>
    </row>
    <row r="1725" spans="1:13" x14ac:dyDescent="0.25">
      <c r="A1725" s="64" t="s">
        <v>179</v>
      </c>
      <c r="J1725" s="684"/>
    </row>
    <row r="1726" spans="1:13" x14ac:dyDescent="0.25">
      <c r="A1726" s="195" t="s">
        <v>403</v>
      </c>
      <c r="B1726" s="37"/>
      <c r="C1726" s="37"/>
      <c r="D1726" s="37"/>
      <c r="E1726" s="37"/>
      <c r="F1726" s="669"/>
      <c r="G1726" s="669"/>
      <c r="H1726" s="669"/>
      <c r="I1726" s="669"/>
      <c r="J1726" s="669"/>
      <c r="K1726" s="669"/>
      <c r="L1726" s="672"/>
    </row>
    <row r="1727" spans="1:13" x14ac:dyDescent="0.25">
      <c r="A1727" s="85" t="s">
        <v>404</v>
      </c>
      <c r="L1727" s="684"/>
    </row>
    <row r="1728" spans="1:13" x14ac:dyDescent="0.25">
      <c r="A1728" s="85" t="s">
        <v>405</v>
      </c>
      <c r="L1728" s="684"/>
    </row>
    <row r="1729" spans="1:15" x14ac:dyDescent="0.25">
      <c r="A1729" s="85" t="s">
        <v>565</v>
      </c>
      <c r="C1729" s="387"/>
      <c r="L1729" s="684"/>
    </row>
    <row r="1730" spans="1:15" x14ac:dyDescent="0.25">
      <c r="A1730" s="85" t="s">
        <v>567</v>
      </c>
      <c r="C1730" s="387"/>
      <c r="L1730" s="684"/>
    </row>
    <row r="1731" spans="1:15" x14ac:dyDescent="0.25">
      <c r="A1731" s="85" t="s">
        <v>892</v>
      </c>
      <c r="C1731" s="387"/>
      <c r="L1731" s="684"/>
    </row>
    <row r="1732" spans="1:15" x14ac:dyDescent="0.25">
      <c r="A1732" s="85" t="s">
        <v>893</v>
      </c>
      <c r="C1732" s="387"/>
      <c r="L1732" s="684"/>
    </row>
    <row r="1733" spans="1:15" x14ac:dyDescent="0.25">
      <c r="A1733" s="85" t="s">
        <v>1016</v>
      </c>
      <c r="C1733" s="387"/>
      <c r="L1733" s="684"/>
    </row>
    <row r="1734" spans="1:15" x14ac:dyDescent="0.25">
      <c r="A1734" s="85" t="s">
        <v>1113</v>
      </c>
      <c r="C1734" s="387"/>
      <c r="L1734" s="684"/>
    </row>
    <row r="1735" spans="1:15" s="73" customFormat="1" x14ac:dyDescent="0.25">
      <c r="A1735" s="359" t="s">
        <v>1250</v>
      </c>
      <c r="C1735" s="360"/>
      <c r="F1735" s="685"/>
      <c r="G1735" s="685"/>
      <c r="H1735" s="685"/>
      <c r="I1735" s="685"/>
      <c r="J1735" s="685"/>
      <c r="K1735" s="685"/>
      <c r="L1735" s="675"/>
      <c r="M1735" s="685"/>
      <c r="N1735" s="685"/>
      <c r="O1735" s="685"/>
    </row>
    <row r="1737" spans="1:15" x14ac:dyDescent="0.25">
      <c r="A1737" s="8" t="s">
        <v>14</v>
      </c>
      <c r="B1737" s="9" t="s">
        <v>1041</v>
      </c>
      <c r="C1737" s="9" t="s">
        <v>152</v>
      </c>
    </row>
    <row r="1738" spans="1:15" x14ac:dyDescent="0.25">
      <c r="A1738" s="72" t="s">
        <v>16</v>
      </c>
      <c r="B1738" s="333">
        <v>2023</v>
      </c>
      <c r="C1738" s="210">
        <v>2024</v>
      </c>
      <c r="D1738" s="210">
        <v>2025</v>
      </c>
      <c r="E1738" s="210">
        <v>2026</v>
      </c>
    </row>
    <row r="1739" spans="1:15" x14ac:dyDescent="0.25">
      <c r="A1739" s="28" t="s">
        <v>1042</v>
      </c>
      <c r="B1739" s="30">
        <v>256</v>
      </c>
      <c r="C1739" s="30">
        <v>256</v>
      </c>
      <c r="D1739" s="30">
        <v>166.95</v>
      </c>
      <c r="E1739" s="30">
        <v>166.95</v>
      </c>
    </row>
    <row r="1740" spans="1:15" x14ac:dyDescent="0.25">
      <c r="A1740" s="28" t="s">
        <v>1043</v>
      </c>
      <c r="B1740" s="30"/>
      <c r="C1740" s="30">
        <f>C1739+B1743</f>
        <v>-10</v>
      </c>
      <c r="D1740" s="30">
        <f>D1739+C1743</f>
        <v>-93.93</v>
      </c>
      <c r="E1740" s="30">
        <f>E1739+D1743</f>
        <v>-33.380000000000024</v>
      </c>
    </row>
    <row r="1741" spans="1:15" x14ac:dyDescent="0.25">
      <c r="A1741" s="28" t="s">
        <v>19</v>
      </c>
      <c r="B1741" s="212"/>
      <c r="C1741" s="212" t="s">
        <v>399</v>
      </c>
      <c r="D1741" s="212" t="s">
        <v>400</v>
      </c>
      <c r="E1741" s="212" t="s">
        <v>401</v>
      </c>
    </row>
    <row r="1742" spans="1:15" x14ac:dyDescent="0.25">
      <c r="A1742" s="28" t="s">
        <v>20</v>
      </c>
      <c r="B1742" s="212">
        <v>522</v>
      </c>
      <c r="C1742" s="212">
        <v>250.88</v>
      </c>
      <c r="D1742" s="212">
        <v>106.4</v>
      </c>
      <c r="E1742" s="212">
        <v>106.4</v>
      </c>
    </row>
    <row r="1743" spans="1:15" x14ac:dyDescent="0.25">
      <c r="A1743" s="28" t="s">
        <v>21</v>
      </c>
      <c r="B1743" s="30">
        <f>B1739-B1742</f>
        <v>-266</v>
      </c>
      <c r="C1743" s="30">
        <f>C1740-C1742</f>
        <v>-260.88</v>
      </c>
      <c r="D1743" s="159">
        <f>D1740-D1742</f>
        <v>-200.33</v>
      </c>
      <c r="E1743" s="159">
        <f>E1740-E1742</f>
        <v>-139.78000000000003</v>
      </c>
    </row>
    <row r="1744" spans="1:15" x14ac:dyDescent="0.25">
      <c r="A1744" s="34" t="s">
        <v>22</v>
      </c>
      <c r="B1744" s="541">
        <v>2024</v>
      </c>
      <c r="C1744" s="541">
        <v>2025</v>
      </c>
      <c r="D1744" s="541">
        <v>2026</v>
      </c>
      <c r="E1744" s="541">
        <v>2026</v>
      </c>
    </row>
    <row r="1745" spans="1:11" x14ac:dyDescent="0.25">
      <c r="A1745" s="36" t="s">
        <v>1045</v>
      </c>
      <c r="B1745" s="37"/>
      <c r="C1745" s="37"/>
      <c r="D1745" s="40"/>
    </row>
    <row r="1746" spans="1:11" x14ac:dyDescent="0.25">
      <c r="A1746" s="36" t="s">
        <v>1044</v>
      </c>
      <c r="B1746" s="37"/>
      <c r="C1746" s="37"/>
      <c r="D1746" s="40"/>
    </row>
    <row r="1747" spans="1:11" x14ac:dyDescent="0.25">
      <c r="A1747" s="64" t="s">
        <v>1328</v>
      </c>
      <c r="D1747" s="66"/>
    </row>
    <row r="1748" spans="1:11" x14ac:dyDescent="0.25">
      <c r="A1748" s="359" t="s">
        <v>1329</v>
      </c>
      <c r="B1748" s="73"/>
      <c r="C1748" s="73"/>
      <c r="D1748" s="45"/>
    </row>
    <row r="1750" spans="1:11" x14ac:dyDescent="0.25">
      <c r="A1750" s="10" t="s">
        <v>12</v>
      </c>
      <c r="B1750" s="11" t="s">
        <v>261</v>
      </c>
      <c r="C1750" s="13"/>
      <c r="D1750" s="13"/>
      <c r="E1750" s="13"/>
      <c r="F1750" s="657"/>
      <c r="G1750" s="657"/>
    </row>
    <row r="1751" spans="1:11" x14ac:dyDescent="0.25">
      <c r="A1751" s="138" t="s">
        <v>14</v>
      </c>
      <c r="B1751" s="139" t="s">
        <v>642</v>
      </c>
      <c r="C1751" s="11" t="s">
        <v>15</v>
      </c>
      <c r="D1751" s="13"/>
    </row>
    <row r="1752" spans="1:11" ht="14" x14ac:dyDescent="0.25">
      <c r="A1752" s="298" t="s">
        <v>16</v>
      </c>
      <c r="B1752" s="299"/>
      <c r="C1752" s="94"/>
      <c r="D1752" s="382">
        <v>2019</v>
      </c>
      <c r="E1752" s="300" t="s">
        <v>1102</v>
      </c>
      <c r="F1752" s="886" t="s">
        <v>1372</v>
      </c>
      <c r="G1752" s="824" t="s">
        <v>1373</v>
      </c>
      <c r="H1752" s="824" t="s">
        <v>1374</v>
      </c>
      <c r="I1752" s="975" t="s">
        <v>1375</v>
      </c>
      <c r="J1752" s="975" t="s">
        <v>1376</v>
      </c>
      <c r="K1752" s="975" t="s">
        <v>1377</v>
      </c>
    </row>
    <row r="1753" spans="1:11" x14ac:dyDescent="0.25">
      <c r="A1753" s="93" t="s">
        <v>17</v>
      </c>
      <c r="B1753" s="94"/>
      <c r="C1753" s="94"/>
      <c r="D1753" s="96">
        <v>239</v>
      </c>
      <c r="E1753" s="97">
        <v>300</v>
      </c>
      <c r="F1753" s="707">
        <v>300</v>
      </c>
      <c r="G1753" s="708">
        <v>300</v>
      </c>
      <c r="H1753" s="708">
        <v>368</v>
      </c>
      <c r="I1753" s="976">
        <v>368</v>
      </c>
      <c r="J1753" s="976">
        <v>368</v>
      </c>
      <c r="K1753" s="976">
        <v>461.38</v>
      </c>
    </row>
    <row r="1754" spans="1:11" x14ac:dyDescent="0.25">
      <c r="A1754" s="93" t="s">
        <v>18</v>
      </c>
      <c r="B1754" s="94"/>
      <c r="C1754" s="94"/>
      <c r="D1754" s="96">
        <v>239</v>
      </c>
      <c r="E1754" s="97">
        <f>E1753+0.05*D1753</f>
        <v>311.95</v>
      </c>
      <c r="F1754" s="707">
        <f>F1753+0.05*E1753</f>
        <v>315</v>
      </c>
      <c r="G1754" s="708">
        <f>G1753+0.05*F1753</f>
        <v>315</v>
      </c>
      <c r="H1754" s="708">
        <f>H1753+0.05*G1753</f>
        <v>383</v>
      </c>
      <c r="I1754" s="976">
        <v>386.4</v>
      </c>
      <c r="J1754" s="976">
        <v>386.4</v>
      </c>
      <c r="K1754" s="976">
        <v>534.98</v>
      </c>
    </row>
    <row r="1755" spans="1:11" x14ac:dyDescent="0.25">
      <c r="A1755" s="93" t="s">
        <v>19</v>
      </c>
      <c r="B1755" s="491"/>
      <c r="C1755" s="304"/>
      <c r="D1755" s="93" t="s">
        <v>262</v>
      </c>
      <c r="E1755" s="94"/>
      <c r="F1755" s="759"/>
      <c r="G1755" s="706"/>
      <c r="H1755" s="706"/>
      <c r="I1755" s="977" t="s">
        <v>262</v>
      </c>
      <c r="J1755" s="977" t="s">
        <v>262</v>
      </c>
      <c r="K1755" s="977" t="s">
        <v>262</v>
      </c>
    </row>
    <row r="1756" spans="1:11" x14ac:dyDescent="0.25">
      <c r="A1756" s="93" t="s">
        <v>20</v>
      </c>
      <c r="B1756" s="94"/>
      <c r="C1756" s="94"/>
      <c r="D1756" s="181">
        <v>49.3</v>
      </c>
      <c r="E1756" s="94">
        <v>194.39</v>
      </c>
      <c r="F1756" s="759">
        <v>157.68</v>
      </c>
      <c r="G1756" s="706">
        <v>123.17</v>
      </c>
      <c r="H1756" s="706">
        <v>117.44</v>
      </c>
      <c r="I1756" s="977">
        <v>152.57</v>
      </c>
      <c r="J1756" s="977">
        <v>99.71</v>
      </c>
      <c r="K1756" s="977"/>
    </row>
    <row r="1757" spans="1:11" x14ac:dyDescent="0.25">
      <c r="A1757" s="93" t="s">
        <v>21</v>
      </c>
      <c r="B1757" s="94"/>
      <c r="C1757" s="94"/>
      <c r="D1757" s="181">
        <f t="shared" ref="D1757:J1757" si="87">D1754-D1756</f>
        <v>189.7</v>
      </c>
      <c r="E1757" s="94">
        <f t="shared" si="87"/>
        <v>117.56</v>
      </c>
      <c r="F1757" s="759">
        <f t="shared" si="87"/>
        <v>157.32</v>
      </c>
      <c r="G1757" s="706">
        <f t="shared" si="87"/>
        <v>191.82999999999998</v>
      </c>
      <c r="H1757" s="706">
        <f t="shared" si="87"/>
        <v>265.56</v>
      </c>
      <c r="I1757" s="708">
        <f t="shared" si="87"/>
        <v>233.82999999999998</v>
      </c>
      <c r="J1757" s="708">
        <f t="shared" si="87"/>
        <v>286.69</v>
      </c>
      <c r="K1757" s="706"/>
    </row>
    <row r="1758" spans="1:11" x14ac:dyDescent="0.25">
      <c r="A1758" s="126" t="s">
        <v>22</v>
      </c>
      <c r="B1758" s="20"/>
      <c r="C1758" s="20"/>
      <c r="D1758" s="127">
        <v>2020</v>
      </c>
      <c r="E1758" s="20">
        <v>2021</v>
      </c>
      <c r="F1758" s="720">
        <v>2022</v>
      </c>
      <c r="G1758" s="659">
        <v>2023</v>
      </c>
      <c r="H1758" s="978">
        <v>2024</v>
      </c>
      <c r="I1758" s="979">
        <v>2025</v>
      </c>
      <c r="J1758" s="979">
        <v>2026</v>
      </c>
      <c r="K1758" s="979">
        <v>2027</v>
      </c>
    </row>
    <row r="1759" spans="1:11" x14ac:dyDescent="0.25">
      <c r="A1759" s="538" t="s">
        <v>23</v>
      </c>
      <c r="B1759" s="539"/>
      <c r="C1759" s="539"/>
      <c r="D1759" s="539"/>
      <c r="E1759" s="539"/>
      <c r="F1759" s="972"/>
      <c r="G1759" s="972"/>
      <c r="H1759" s="972"/>
      <c r="I1759" s="669"/>
      <c r="J1759" s="669"/>
      <c r="K1759" s="672"/>
    </row>
    <row r="1760" spans="1:11" ht="39.65" customHeight="1" x14ac:dyDescent="0.25">
      <c r="A1760" s="542" t="s">
        <v>1034</v>
      </c>
      <c r="B1760" s="543"/>
      <c r="C1760" s="543"/>
      <c r="D1760" s="543"/>
      <c r="E1760" s="543"/>
      <c r="F1760" s="543"/>
      <c r="G1760" s="543"/>
      <c r="H1760" s="543"/>
      <c r="I1760" s="543"/>
      <c r="J1760" s="543"/>
      <c r="K1760" s="544"/>
    </row>
    <row r="1761" spans="1:11" ht="49.4" customHeight="1" x14ac:dyDescent="0.25">
      <c r="A1761" s="545" t="s">
        <v>1035</v>
      </c>
      <c r="B1761" s="546"/>
      <c r="C1761" s="546"/>
      <c r="D1761" s="546"/>
      <c r="E1761" s="546"/>
      <c r="F1761" s="546"/>
      <c r="G1761" s="546"/>
      <c r="H1761" s="546"/>
      <c r="I1761" s="546"/>
      <c r="J1761" s="546"/>
      <c r="K1761" s="547"/>
    </row>
    <row r="1762" spans="1:11" ht="49.4" customHeight="1" x14ac:dyDescent="0.25">
      <c r="A1762" s="545" t="s">
        <v>1036</v>
      </c>
      <c r="B1762" s="546"/>
      <c r="C1762" s="546"/>
      <c r="D1762" s="546"/>
      <c r="E1762" s="546"/>
      <c r="F1762" s="546"/>
      <c r="G1762" s="546"/>
      <c r="H1762" s="546"/>
      <c r="I1762" s="546"/>
      <c r="J1762" s="546"/>
      <c r="K1762" s="547"/>
    </row>
    <row r="1763" spans="1:11" ht="49.4" customHeight="1" x14ac:dyDescent="0.25">
      <c r="A1763" s="545" t="s">
        <v>1037</v>
      </c>
      <c r="B1763" s="546"/>
      <c r="C1763" s="546"/>
      <c r="D1763" s="546"/>
      <c r="E1763" s="546"/>
      <c r="F1763" s="546"/>
      <c r="G1763" s="546"/>
      <c r="H1763" s="546"/>
      <c r="I1763" s="546"/>
      <c r="J1763" s="546"/>
      <c r="K1763" s="547"/>
    </row>
    <row r="1764" spans="1:11" ht="49.4" customHeight="1" x14ac:dyDescent="0.25">
      <c r="A1764" s="545" t="s">
        <v>1174</v>
      </c>
      <c r="B1764" s="546"/>
      <c r="C1764" s="546"/>
      <c r="D1764" s="546"/>
      <c r="E1764" s="546"/>
      <c r="F1764" s="546"/>
      <c r="G1764" s="546"/>
      <c r="H1764" s="546"/>
      <c r="I1764" s="546"/>
      <c r="J1764" s="546"/>
      <c r="K1764" s="547"/>
    </row>
    <row r="1765" spans="1:11" ht="49.4" customHeight="1" x14ac:dyDescent="0.25">
      <c r="A1765" s="545" t="s">
        <v>1232</v>
      </c>
      <c r="B1765" s="546"/>
      <c r="C1765" s="546"/>
      <c r="D1765" s="546"/>
      <c r="E1765" s="546"/>
      <c r="F1765" s="546"/>
      <c r="G1765" s="546"/>
      <c r="H1765" s="546"/>
      <c r="I1765" s="546"/>
      <c r="J1765" s="546"/>
      <c r="K1765" s="547"/>
    </row>
    <row r="1766" spans="1:11" ht="48.65" customHeight="1" x14ac:dyDescent="0.25">
      <c r="A1766" s="548" t="s">
        <v>1282</v>
      </c>
      <c r="B1766" s="549"/>
      <c r="C1766" s="549"/>
      <c r="D1766" s="549"/>
      <c r="E1766" s="549"/>
      <c r="F1766" s="549"/>
      <c r="G1766" s="549"/>
      <c r="H1766" s="549"/>
      <c r="I1766" s="549"/>
      <c r="J1766" s="549"/>
      <c r="K1766" s="550"/>
    </row>
    <row r="1768" spans="1:11" x14ac:dyDescent="0.25">
      <c r="A1768" s="8" t="s">
        <v>24</v>
      </c>
      <c r="B1768" s="9" t="s">
        <v>592</v>
      </c>
    </row>
    <row r="1769" spans="1:11" x14ac:dyDescent="0.25">
      <c r="A1769" s="173" t="s">
        <v>14</v>
      </c>
      <c r="B1769" s="173" t="s">
        <v>624</v>
      </c>
      <c r="C1769" s="551" t="s">
        <v>26</v>
      </c>
    </row>
    <row r="1770" spans="1:11" x14ac:dyDescent="0.25">
      <c r="A1770" s="229" t="s">
        <v>27</v>
      </c>
      <c r="B1770" s="248">
        <v>2020</v>
      </c>
      <c r="C1770" s="248">
        <v>2021</v>
      </c>
      <c r="D1770" s="248">
        <v>2022</v>
      </c>
      <c r="E1770" s="248">
        <v>2023</v>
      </c>
      <c r="F1770" s="501">
        <v>2024</v>
      </c>
      <c r="G1770" s="501">
        <v>2025</v>
      </c>
      <c r="H1770" s="501">
        <v>2026</v>
      </c>
      <c r="I1770" s="501">
        <v>2027</v>
      </c>
    </row>
    <row r="1771" spans="1:11" x14ac:dyDescent="0.25">
      <c r="A1771" s="101" t="s">
        <v>28</v>
      </c>
      <c r="B1771" s="16">
        <v>215</v>
      </c>
      <c r="C1771" s="174">
        <v>242</v>
      </c>
      <c r="D1771" s="174">
        <v>242</v>
      </c>
      <c r="E1771" s="174">
        <v>242</v>
      </c>
      <c r="F1771" s="496">
        <v>302</v>
      </c>
      <c r="G1771" s="496">
        <v>302</v>
      </c>
      <c r="H1771" s="496">
        <v>302</v>
      </c>
      <c r="I1771" s="496"/>
    </row>
    <row r="1772" spans="1:11" x14ac:dyDescent="0.25">
      <c r="A1772" s="101" t="s">
        <v>29</v>
      </c>
      <c r="B1772" s="16">
        <v>265</v>
      </c>
      <c r="C1772" s="174">
        <v>295.75</v>
      </c>
      <c r="D1772" s="174">
        <v>295.75</v>
      </c>
      <c r="E1772" s="174">
        <v>302.5</v>
      </c>
      <c r="F1772" s="506">
        <v>362.5</v>
      </c>
      <c r="G1772" s="709">
        <v>362.5</v>
      </c>
      <c r="H1772" s="506">
        <f>(F1771*0.25)+H1771</f>
        <v>377.5</v>
      </c>
      <c r="I1772" s="506"/>
    </row>
    <row r="1773" spans="1:11" x14ac:dyDescent="0.25">
      <c r="A1773" s="101" t="s">
        <v>30</v>
      </c>
      <c r="B1773" s="552"/>
      <c r="C1773" s="552"/>
      <c r="D1773" s="552"/>
      <c r="E1773" s="552"/>
      <c r="F1773" s="980"/>
      <c r="G1773" s="709"/>
      <c r="H1773" s="980" t="s">
        <v>543</v>
      </c>
      <c r="I1773" s="980" t="s">
        <v>544</v>
      </c>
    </row>
    <row r="1774" spans="1:11" x14ac:dyDescent="0.25">
      <c r="A1774" s="101" t="s">
        <v>31</v>
      </c>
      <c r="B1774" s="16">
        <v>175.922</v>
      </c>
      <c r="C1774" s="174">
        <v>182.89599999999999</v>
      </c>
      <c r="D1774" s="174">
        <v>180.67</v>
      </c>
      <c r="E1774" s="174">
        <v>170.83</v>
      </c>
      <c r="F1774" s="496">
        <v>0</v>
      </c>
      <c r="G1774" s="496">
        <v>0</v>
      </c>
      <c r="H1774" s="496"/>
      <c r="I1774" s="496"/>
    </row>
    <row r="1775" spans="1:11" x14ac:dyDescent="0.25">
      <c r="A1775" s="101" t="s">
        <v>32</v>
      </c>
      <c r="B1775" s="16">
        <f t="shared" ref="B1775:G1775" si="88">B1772-B1774</f>
        <v>89.078000000000003</v>
      </c>
      <c r="C1775" s="16">
        <f t="shared" si="88"/>
        <v>112.85400000000001</v>
      </c>
      <c r="D1775" s="16">
        <f t="shared" si="88"/>
        <v>115.08000000000001</v>
      </c>
      <c r="E1775" s="16">
        <f t="shared" si="88"/>
        <v>131.66999999999999</v>
      </c>
      <c r="F1775" s="506">
        <f t="shared" si="88"/>
        <v>362.5</v>
      </c>
      <c r="G1775" s="506">
        <f t="shared" si="88"/>
        <v>362.5</v>
      </c>
      <c r="H1775" s="506"/>
      <c r="I1775" s="506"/>
    </row>
    <row r="1776" spans="1:11" x14ac:dyDescent="0.25">
      <c r="A1776" s="101" t="s">
        <v>33</v>
      </c>
      <c r="B1776" s="553">
        <v>2022</v>
      </c>
      <c r="C1776" s="553">
        <v>2023</v>
      </c>
      <c r="D1776" s="553">
        <v>2024</v>
      </c>
      <c r="E1776" s="553">
        <v>2025</v>
      </c>
      <c r="F1776" s="258">
        <v>2026</v>
      </c>
      <c r="G1776" s="258"/>
      <c r="H1776" s="258"/>
      <c r="I1776" s="258"/>
    </row>
    <row r="1777" spans="1:9" x14ac:dyDescent="0.25">
      <c r="A1777" s="6" t="s">
        <v>1198</v>
      </c>
    </row>
    <row r="1778" spans="1:9" x14ac:dyDescent="0.25">
      <c r="A1778" s="65" t="s">
        <v>1251</v>
      </c>
    </row>
    <row r="1779" spans="1:9" x14ac:dyDescent="0.25">
      <c r="A1779" s="207"/>
      <c r="B1779" s="57"/>
    </row>
    <row r="1780" spans="1:9" x14ac:dyDescent="0.25">
      <c r="A1780" s="207" t="s">
        <v>14</v>
      </c>
      <c r="B1780" s="57" t="s">
        <v>638</v>
      </c>
      <c r="C1780" s="534" t="s">
        <v>26</v>
      </c>
    </row>
    <row r="1781" spans="1:9" x14ac:dyDescent="0.25">
      <c r="A1781" s="229" t="s">
        <v>27</v>
      </c>
      <c r="B1781" s="210">
        <v>2020</v>
      </c>
      <c r="C1781" s="210">
        <v>2021</v>
      </c>
      <c r="D1781" s="210">
        <v>2022</v>
      </c>
      <c r="E1781" s="210">
        <v>2023</v>
      </c>
      <c r="F1781" s="770">
        <v>2024</v>
      </c>
      <c r="G1781" s="770">
        <v>2025</v>
      </c>
      <c r="H1781" s="770">
        <v>2026</v>
      </c>
      <c r="I1781" s="770">
        <v>2027</v>
      </c>
    </row>
    <row r="1782" spans="1:9" x14ac:dyDescent="0.25">
      <c r="A1782" s="29" t="s">
        <v>28</v>
      </c>
      <c r="B1782" s="97">
        <v>25</v>
      </c>
      <c r="C1782" s="30">
        <v>25</v>
      </c>
      <c r="D1782" s="30">
        <v>25</v>
      </c>
      <c r="E1782" s="30">
        <v>30</v>
      </c>
      <c r="F1782" s="47">
        <v>30</v>
      </c>
      <c r="G1782" s="47">
        <v>30</v>
      </c>
      <c r="H1782" s="47">
        <v>30</v>
      </c>
      <c r="I1782" s="47">
        <v>30</v>
      </c>
    </row>
    <row r="1783" spans="1:9" x14ac:dyDescent="0.25">
      <c r="A1783" s="29" t="s">
        <v>29</v>
      </c>
      <c r="B1783" s="97"/>
      <c r="C1783" s="97">
        <v>18.66</v>
      </c>
      <c r="D1783" s="97"/>
      <c r="E1783" s="30"/>
      <c r="F1783" s="47"/>
      <c r="G1783" s="709"/>
      <c r="H1783" s="47"/>
      <c r="I1783" s="47"/>
    </row>
    <row r="1784" spans="1:9" x14ac:dyDescent="0.25">
      <c r="A1784" s="29" t="s">
        <v>30</v>
      </c>
      <c r="B1784" s="554"/>
      <c r="C1784" s="554" t="s">
        <v>543</v>
      </c>
      <c r="D1784" s="554"/>
      <c r="E1784" s="101"/>
      <c r="F1784" s="709"/>
      <c r="G1784" s="709"/>
      <c r="H1784" s="258"/>
      <c r="I1784" s="258"/>
    </row>
    <row r="1785" spans="1:9" x14ac:dyDescent="0.25">
      <c r="A1785" s="29" t="s">
        <v>31</v>
      </c>
      <c r="B1785" s="97">
        <v>31.341000000000001</v>
      </c>
      <c r="C1785" s="30">
        <v>17.22</v>
      </c>
      <c r="D1785" s="30">
        <v>12.476000000000001</v>
      </c>
      <c r="E1785" s="101">
        <v>5.2359999999999998</v>
      </c>
      <c r="F1785" s="496">
        <v>0</v>
      </c>
      <c r="G1785" s="709">
        <v>0</v>
      </c>
      <c r="H1785" s="709"/>
      <c r="I1785" s="709"/>
    </row>
    <row r="1786" spans="1:9" x14ac:dyDescent="0.25">
      <c r="A1786" s="29" t="s">
        <v>32</v>
      </c>
      <c r="B1786" s="97">
        <v>-6.3410000000000011</v>
      </c>
      <c r="C1786" s="97">
        <f>C1783-C1785</f>
        <v>1.4400000000000013</v>
      </c>
      <c r="D1786" s="97">
        <f>D1782-D1785</f>
        <v>12.523999999999999</v>
      </c>
      <c r="E1786" s="101">
        <v>24.763999999999999</v>
      </c>
      <c r="F1786" s="496">
        <v>30</v>
      </c>
      <c r="G1786" s="496">
        <f>G1782-G1785</f>
        <v>30</v>
      </c>
      <c r="H1786" s="709"/>
      <c r="I1786" s="709"/>
    </row>
    <row r="1787" spans="1:9" x14ac:dyDescent="0.25">
      <c r="A1787" s="36" t="s">
        <v>33</v>
      </c>
      <c r="B1787" s="237">
        <v>2021</v>
      </c>
      <c r="C1787" s="237"/>
      <c r="D1787" s="237"/>
      <c r="E1787" s="90"/>
      <c r="F1787" s="703"/>
      <c r="G1787" s="703"/>
      <c r="H1787" s="703"/>
      <c r="I1787" s="703"/>
    </row>
    <row r="1788" spans="1:9" x14ac:dyDescent="0.25">
      <c r="A1788" s="36" t="s">
        <v>593</v>
      </c>
      <c r="B1788" s="238"/>
      <c r="C1788" s="238"/>
      <c r="D1788" s="238"/>
      <c r="E1788" s="238"/>
      <c r="F1788" s="784"/>
      <c r="G1788" s="669"/>
      <c r="H1788" s="669"/>
      <c r="I1788" s="672"/>
    </row>
    <row r="1789" spans="1:9" x14ac:dyDescent="0.25">
      <c r="A1789" s="206" t="s">
        <v>1199</v>
      </c>
      <c r="B1789" s="500"/>
      <c r="C1789" s="500"/>
      <c r="D1789" s="500"/>
      <c r="E1789" s="500"/>
      <c r="F1789" s="938"/>
      <c r="I1789" s="684"/>
    </row>
    <row r="1790" spans="1:9" ht="63" customHeight="1" x14ac:dyDescent="0.25">
      <c r="A1790" s="41" t="s">
        <v>716</v>
      </c>
      <c r="B1790" s="42"/>
      <c r="C1790" s="42"/>
      <c r="D1790" s="42"/>
      <c r="E1790" s="555"/>
      <c r="F1790" s="982"/>
      <c r="G1790" s="685"/>
      <c r="H1790" s="685"/>
      <c r="I1790" s="675"/>
    </row>
    <row r="1791" spans="1:9" x14ac:dyDescent="0.25">
      <c r="A1791" s="64"/>
      <c r="B1791" s="500"/>
      <c r="C1791" s="500"/>
      <c r="D1791" s="500"/>
      <c r="E1791" s="500"/>
      <c r="F1791" s="938"/>
      <c r="I1791" s="684"/>
    </row>
    <row r="1793" spans="1:13" x14ac:dyDescent="0.25">
      <c r="A1793" s="8" t="s">
        <v>12</v>
      </c>
      <c r="B1793" s="9" t="s">
        <v>374</v>
      </c>
    </row>
    <row r="1794" spans="1:13" x14ac:dyDescent="0.25">
      <c r="A1794" s="8" t="s">
        <v>14</v>
      </c>
      <c r="B1794" s="9" t="s">
        <v>66</v>
      </c>
      <c r="C1794" s="44" t="s">
        <v>15</v>
      </c>
    </row>
    <row r="1795" spans="1:13" x14ac:dyDescent="0.25">
      <c r="A1795" s="28" t="s">
        <v>16</v>
      </c>
      <c r="B1795" s="29"/>
      <c r="C1795" s="339">
        <v>2015</v>
      </c>
      <c r="D1795" s="210">
        <v>2016</v>
      </c>
      <c r="E1795" s="232">
        <v>2017</v>
      </c>
      <c r="F1795" s="780">
        <v>2018</v>
      </c>
      <c r="G1795" s="780">
        <v>2019</v>
      </c>
      <c r="H1795" s="780">
        <v>2020</v>
      </c>
    </row>
    <row r="1796" spans="1:13" x14ac:dyDescent="0.25">
      <c r="A1796" s="28" t="s">
        <v>17</v>
      </c>
      <c r="B1796" s="29"/>
      <c r="C1796" s="30">
        <v>2100</v>
      </c>
      <c r="D1796" s="556">
        <v>1575</v>
      </c>
      <c r="E1796" s="556">
        <v>1575</v>
      </c>
      <c r="F1796" s="983">
        <v>1575</v>
      </c>
      <c r="G1796" s="983">
        <v>1575</v>
      </c>
      <c r="H1796" s="983">
        <v>0</v>
      </c>
    </row>
    <row r="1797" spans="1:13" x14ac:dyDescent="0.25">
      <c r="A1797" s="28" t="s">
        <v>18</v>
      </c>
      <c r="B1797" s="29"/>
      <c r="C1797" s="233">
        <v>2100</v>
      </c>
      <c r="D1797" s="556">
        <v>1575</v>
      </c>
      <c r="E1797" s="556">
        <v>1575</v>
      </c>
      <c r="F1797" s="983">
        <v>1575</v>
      </c>
      <c r="G1797" s="983">
        <v>1575</v>
      </c>
      <c r="H1797" s="983"/>
    </row>
    <row r="1798" spans="1:13" x14ac:dyDescent="0.25">
      <c r="A1798" s="28" t="s">
        <v>19</v>
      </c>
      <c r="B1798" s="29"/>
      <c r="C1798" s="250"/>
      <c r="D1798" s="30"/>
      <c r="E1798" s="251"/>
      <c r="F1798" s="795"/>
      <c r="G1798" s="795"/>
      <c r="H1798" s="795"/>
    </row>
    <row r="1799" spans="1:13" x14ac:dyDescent="0.25">
      <c r="A1799" s="28" t="s">
        <v>20</v>
      </c>
      <c r="B1799" s="29"/>
      <c r="C1799" s="556">
        <v>0</v>
      </c>
      <c r="D1799" s="556">
        <v>0</v>
      </c>
      <c r="E1799" s="556">
        <v>0</v>
      </c>
      <c r="F1799" s="983">
        <v>0</v>
      </c>
      <c r="G1799" s="983">
        <v>0</v>
      </c>
      <c r="H1799" s="983">
        <v>0</v>
      </c>
    </row>
    <row r="1800" spans="1:13" ht="27.75" customHeight="1" x14ac:dyDescent="0.25">
      <c r="A1800" s="28" t="s">
        <v>21</v>
      </c>
      <c r="B1800" s="29"/>
      <c r="C1800" s="233">
        <v>2100</v>
      </c>
      <c r="D1800" s="556">
        <v>1575</v>
      </c>
      <c r="E1800" s="556">
        <v>1575</v>
      </c>
      <c r="F1800" s="983">
        <v>1575</v>
      </c>
      <c r="G1800" s="983">
        <v>1575</v>
      </c>
      <c r="H1800" s="983">
        <v>1575</v>
      </c>
    </row>
    <row r="1801" spans="1:13" x14ac:dyDescent="0.25">
      <c r="A1801" s="34" t="s">
        <v>22</v>
      </c>
      <c r="B1801" s="35"/>
      <c r="C1801" s="215">
        <v>2016</v>
      </c>
      <c r="D1801" s="215">
        <v>2017</v>
      </c>
      <c r="E1801" s="244">
        <v>2018</v>
      </c>
      <c r="F1801" s="789">
        <v>2019</v>
      </c>
      <c r="G1801" s="789">
        <v>2020</v>
      </c>
      <c r="H1801" s="789">
        <v>2021</v>
      </c>
    </row>
    <row r="1802" spans="1:13" x14ac:dyDescent="0.25">
      <c r="A1802" s="28" t="s">
        <v>23</v>
      </c>
      <c r="B1802" s="61"/>
      <c r="C1802" s="61"/>
      <c r="D1802" s="61"/>
      <c r="E1802" s="61"/>
      <c r="F1802" s="680"/>
      <c r="G1802" s="680"/>
      <c r="H1802" s="681"/>
    </row>
    <row r="1805" spans="1:13" ht="25" x14ac:dyDescent="0.25">
      <c r="A1805" s="8" t="s">
        <v>12</v>
      </c>
      <c r="B1805" s="367" t="s">
        <v>379</v>
      </c>
    </row>
    <row r="1806" spans="1:13" x14ac:dyDescent="0.25">
      <c r="A1806" s="8" t="s">
        <v>14</v>
      </c>
      <c r="B1806" s="9" t="s">
        <v>624</v>
      </c>
      <c r="C1806" s="27" t="s">
        <v>15</v>
      </c>
    </row>
    <row r="1807" spans="1:13" x14ac:dyDescent="0.25">
      <c r="A1807" s="28" t="s">
        <v>16</v>
      </c>
      <c r="B1807" s="210">
        <v>2015</v>
      </c>
      <c r="C1807" s="231">
        <v>2016</v>
      </c>
      <c r="D1807" s="210">
        <v>2017</v>
      </c>
      <c r="E1807" s="232">
        <v>2018</v>
      </c>
      <c r="F1807" s="780">
        <v>2019</v>
      </c>
      <c r="G1807" s="770">
        <v>2020</v>
      </c>
      <c r="H1807" s="770">
        <v>2021</v>
      </c>
      <c r="I1807" s="770">
        <v>2022</v>
      </c>
      <c r="J1807" s="770">
        <v>2023</v>
      </c>
      <c r="K1807" s="770">
        <v>2024</v>
      </c>
      <c r="L1807" s="770">
        <v>2025</v>
      </c>
      <c r="M1807" s="770">
        <v>2026</v>
      </c>
    </row>
    <row r="1808" spans="1:13" x14ac:dyDescent="0.25">
      <c r="A1808" s="28" t="s">
        <v>17</v>
      </c>
      <c r="B1808" s="212">
        <v>200</v>
      </c>
      <c r="C1808" s="233">
        <v>200</v>
      </c>
      <c r="D1808" s="212">
        <v>200</v>
      </c>
      <c r="E1808" s="234">
        <v>200</v>
      </c>
      <c r="F1808" s="781">
        <v>215</v>
      </c>
      <c r="G1808" s="252">
        <v>215</v>
      </c>
      <c r="H1808" s="47">
        <v>242</v>
      </c>
      <c r="I1808" s="47">
        <v>242</v>
      </c>
      <c r="J1808" s="47">
        <v>242</v>
      </c>
      <c r="K1808" s="47">
        <v>302</v>
      </c>
      <c r="L1808" s="47">
        <v>302</v>
      </c>
      <c r="M1808" s="47">
        <v>302</v>
      </c>
    </row>
    <row r="1809" spans="1:13" x14ac:dyDescent="0.25">
      <c r="A1809" s="28" t="s">
        <v>18</v>
      </c>
      <c r="B1809" s="212">
        <v>303.49</v>
      </c>
      <c r="C1809" s="233">
        <f>C1808+B1812+100</f>
        <v>298.49</v>
      </c>
      <c r="D1809" s="212">
        <f>D1808+100</f>
        <v>300</v>
      </c>
      <c r="E1809" s="234">
        <f>E1808+C1812+100</f>
        <v>306.89</v>
      </c>
      <c r="F1809" s="781">
        <v>218.8</v>
      </c>
      <c r="G1809" s="781">
        <v>265</v>
      </c>
      <c r="H1809" s="47">
        <f>H1808+F1812</f>
        <v>280.35000000000002</v>
      </c>
      <c r="I1809" s="47">
        <f>I1808+G1812</f>
        <v>255.27</v>
      </c>
      <c r="J1809" s="47">
        <f>J1808+0.25*H1808</f>
        <v>302.5</v>
      </c>
      <c r="K1809" s="47">
        <f>K1808+0.25*I1808</f>
        <v>362.5</v>
      </c>
      <c r="L1809" s="47">
        <f>L1808+0.25*J1808</f>
        <v>362.5</v>
      </c>
      <c r="M1809" s="47">
        <f>M1808+0.25*K1808</f>
        <v>377.5</v>
      </c>
    </row>
    <row r="1810" spans="1:13" ht="37.5" x14ac:dyDescent="0.25">
      <c r="A1810" s="28" t="s">
        <v>19</v>
      </c>
      <c r="B1810" s="235"/>
      <c r="C1810" s="235" t="s">
        <v>380</v>
      </c>
      <c r="D1810" s="235" t="s">
        <v>381</v>
      </c>
      <c r="E1810" s="235" t="s">
        <v>382</v>
      </c>
      <c r="F1810" s="255" t="s">
        <v>395</v>
      </c>
      <c r="G1810" s="255" t="s">
        <v>396</v>
      </c>
      <c r="H1810" s="256" t="s">
        <v>696</v>
      </c>
      <c r="I1810" s="256" t="s">
        <v>695</v>
      </c>
      <c r="J1810" s="256" t="s">
        <v>789</v>
      </c>
      <c r="K1810" s="256" t="s">
        <v>1052</v>
      </c>
      <c r="L1810" s="256" t="s">
        <v>1350</v>
      </c>
      <c r="M1810" s="256" t="s">
        <v>1052</v>
      </c>
    </row>
    <row r="1811" spans="1:13" x14ac:dyDescent="0.25">
      <c r="A1811" s="28" t="s">
        <v>20</v>
      </c>
      <c r="B1811" s="212">
        <v>305</v>
      </c>
      <c r="C1811" s="233">
        <v>291.60000000000002</v>
      </c>
      <c r="D1811" s="212">
        <v>296.2</v>
      </c>
      <c r="E1811" s="212">
        <v>173.26</v>
      </c>
      <c r="F1811" s="781">
        <v>180.45</v>
      </c>
      <c r="G1811" s="252">
        <v>251.73</v>
      </c>
      <c r="H1811" s="47">
        <v>0</v>
      </c>
      <c r="I1811" s="47">
        <v>0.97</v>
      </c>
      <c r="J1811" s="47">
        <v>0.28000000000000003</v>
      </c>
      <c r="K1811" s="47">
        <v>0.17199999999999999</v>
      </c>
      <c r="L1811" s="47">
        <v>0.09</v>
      </c>
      <c r="M1811" s="47"/>
    </row>
    <row r="1812" spans="1:13" x14ac:dyDescent="0.25">
      <c r="A1812" s="28" t="s">
        <v>21</v>
      </c>
      <c r="B1812" s="212">
        <v>-1.5099999999999909</v>
      </c>
      <c r="C1812" s="212">
        <f>C1809-C1811</f>
        <v>6.8899999999999864</v>
      </c>
      <c r="D1812" s="212">
        <f>D1809-D1811</f>
        <v>3.8000000000000114</v>
      </c>
      <c r="E1812" s="212">
        <f>E1809-E1811</f>
        <v>133.63</v>
      </c>
      <c r="F1812" s="252">
        <v>38.350000000000023</v>
      </c>
      <c r="G1812" s="252">
        <f t="shared" ref="G1812:L1812" si="89">G1809-G1811</f>
        <v>13.27000000000001</v>
      </c>
      <c r="H1812" s="47">
        <f t="shared" si="89"/>
        <v>280.35000000000002</v>
      </c>
      <c r="I1812" s="47">
        <f t="shared" si="89"/>
        <v>254.3</v>
      </c>
      <c r="J1812" s="47">
        <f t="shared" si="89"/>
        <v>302.22000000000003</v>
      </c>
      <c r="K1812" s="47">
        <f t="shared" si="89"/>
        <v>362.32799999999997</v>
      </c>
      <c r="L1812" s="47">
        <f t="shared" si="89"/>
        <v>362.41</v>
      </c>
      <c r="M1812" s="47"/>
    </row>
    <row r="1813" spans="1:13" x14ac:dyDescent="0.25">
      <c r="A1813" s="34" t="s">
        <v>22</v>
      </c>
      <c r="B1813" s="215">
        <v>2016</v>
      </c>
      <c r="C1813" s="243">
        <v>2018</v>
      </c>
      <c r="D1813" s="215">
        <v>2019</v>
      </c>
      <c r="E1813" s="244">
        <v>2020</v>
      </c>
      <c r="F1813" s="789">
        <v>2021</v>
      </c>
      <c r="G1813" s="257">
        <v>2022</v>
      </c>
      <c r="H1813" s="257">
        <v>2023</v>
      </c>
      <c r="I1813" s="257">
        <v>2024</v>
      </c>
      <c r="J1813" s="257">
        <v>2025</v>
      </c>
      <c r="K1813" s="257">
        <v>2026</v>
      </c>
      <c r="L1813" s="257">
        <v>2026</v>
      </c>
      <c r="M1813" s="257">
        <v>2027</v>
      </c>
    </row>
    <row r="1814" spans="1:13" x14ac:dyDescent="0.25">
      <c r="A1814" s="36" t="s">
        <v>23</v>
      </c>
      <c r="B1814" s="37"/>
      <c r="C1814" s="37"/>
      <c r="D1814" s="37"/>
      <c r="E1814" s="37"/>
      <c r="F1814" s="669"/>
      <c r="G1814" s="669"/>
      <c r="H1814" s="669"/>
      <c r="I1814" s="669"/>
      <c r="J1814" s="669"/>
      <c r="K1814" s="669"/>
      <c r="L1814" s="669"/>
      <c r="M1814" s="672"/>
    </row>
    <row r="1815" spans="1:13" x14ac:dyDescent="0.25">
      <c r="A1815" s="36" t="s">
        <v>383</v>
      </c>
      <c r="B1815" s="37"/>
      <c r="C1815" s="37"/>
      <c r="D1815" s="37"/>
      <c r="E1815" s="37"/>
      <c r="F1815" s="669"/>
      <c r="G1815" s="669"/>
      <c r="H1815" s="669"/>
      <c r="I1815" s="669"/>
      <c r="J1815" s="669"/>
      <c r="K1815" s="669"/>
      <c r="L1815" s="669"/>
      <c r="M1815" s="672"/>
    </row>
    <row r="1816" spans="1:13" ht="13.4" customHeight="1" x14ac:dyDescent="0.25">
      <c r="A1816" s="41" t="s">
        <v>397</v>
      </c>
      <c r="B1816" s="42"/>
      <c r="C1816" s="42"/>
      <c r="D1816" s="42"/>
      <c r="E1816" s="42"/>
      <c r="F1816" s="42"/>
      <c r="G1816" s="42"/>
      <c r="H1816" s="685"/>
      <c r="I1816" s="685"/>
      <c r="J1816" s="685"/>
      <c r="K1816" s="685"/>
      <c r="L1816" s="685"/>
      <c r="M1816" s="675"/>
    </row>
    <row r="1817" spans="1:13" ht="13.4" customHeight="1" x14ac:dyDescent="0.25">
      <c r="A1817" s="246"/>
      <c r="B1817" s="246"/>
      <c r="C1817" s="246"/>
      <c r="D1817" s="246"/>
      <c r="E1817" s="246"/>
      <c r="F1817" s="377"/>
      <c r="G1817" s="377"/>
    </row>
    <row r="1818" spans="1:13" x14ac:dyDescent="0.25">
      <c r="A1818" s="8" t="s">
        <v>14</v>
      </c>
      <c r="B1818" s="9" t="s">
        <v>638</v>
      </c>
      <c r="C1818" s="27" t="s">
        <v>15</v>
      </c>
    </row>
    <row r="1819" spans="1:13" x14ac:dyDescent="0.25">
      <c r="A1819" s="28" t="s">
        <v>16</v>
      </c>
      <c r="B1819" s="210">
        <v>2022</v>
      </c>
      <c r="C1819" s="231">
        <v>2023</v>
      </c>
      <c r="D1819" s="210">
        <v>2024</v>
      </c>
      <c r="E1819" s="210">
        <v>2025</v>
      </c>
      <c r="F1819" s="770">
        <v>2026</v>
      </c>
    </row>
    <row r="1820" spans="1:13" x14ac:dyDescent="0.25">
      <c r="A1820" s="28" t="s">
        <v>17</v>
      </c>
      <c r="B1820" s="212">
        <v>140</v>
      </c>
      <c r="C1820" s="233">
        <v>170</v>
      </c>
      <c r="D1820" s="234">
        <v>170</v>
      </c>
      <c r="E1820" s="234">
        <v>170</v>
      </c>
      <c r="F1820" s="781">
        <v>170</v>
      </c>
    </row>
    <row r="1821" spans="1:13" x14ac:dyDescent="0.25">
      <c r="A1821" s="28" t="s">
        <v>18</v>
      </c>
      <c r="B1821" s="212">
        <f>B1820+0.25*140</f>
        <v>175</v>
      </c>
      <c r="C1821" s="212">
        <f>C1820+0.25*140</f>
        <v>205</v>
      </c>
      <c r="D1821" s="212">
        <f>D1820+2.08</f>
        <v>172.08</v>
      </c>
      <c r="E1821" s="212">
        <f>E1820+0.25*C1820</f>
        <v>212.5</v>
      </c>
      <c r="F1821" s="252">
        <f>F1820+0.25*D1820</f>
        <v>212.5</v>
      </c>
    </row>
    <row r="1822" spans="1:13" x14ac:dyDescent="0.25">
      <c r="A1822" s="28" t="s">
        <v>19</v>
      </c>
      <c r="B1822" s="235" t="s">
        <v>886</v>
      </c>
      <c r="C1822" s="235" t="s">
        <v>887</v>
      </c>
      <c r="D1822" s="235" t="s">
        <v>924</v>
      </c>
      <c r="E1822" s="235" t="s">
        <v>1053</v>
      </c>
      <c r="F1822" s="255" t="s">
        <v>1283</v>
      </c>
    </row>
    <row r="1823" spans="1:13" x14ac:dyDescent="0.25">
      <c r="A1823" s="28" t="s">
        <v>20</v>
      </c>
      <c r="B1823" s="212">
        <v>21.678999999999998</v>
      </c>
      <c r="C1823" s="233">
        <v>0</v>
      </c>
      <c r="D1823" s="212">
        <v>0</v>
      </c>
      <c r="E1823" s="212">
        <v>0</v>
      </c>
      <c r="F1823" s="252"/>
    </row>
    <row r="1824" spans="1:13" x14ac:dyDescent="0.25">
      <c r="A1824" s="28" t="s">
        <v>21</v>
      </c>
      <c r="B1824" s="212">
        <f>B1821-B1823</f>
        <v>153.321</v>
      </c>
      <c r="C1824" s="212">
        <f>C1821-C1823</f>
        <v>205</v>
      </c>
      <c r="D1824" s="212">
        <f>D1821-D1823</f>
        <v>172.08</v>
      </c>
      <c r="E1824" s="212">
        <f>E1821-E1823</f>
        <v>212.5</v>
      </c>
      <c r="F1824" s="252"/>
    </row>
    <row r="1825" spans="1:12" x14ac:dyDescent="0.25">
      <c r="A1825" s="34" t="s">
        <v>22</v>
      </c>
      <c r="B1825" s="215">
        <v>2024</v>
      </c>
      <c r="C1825" s="243">
        <v>2025</v>
      </c>
      <c r="D1825" s="215">
        <v>2026</v>
      </c>
      <c r="E1825" s="215">
        <v>2027</v>
      </c>
      <c r="F1825" s="257">
        <v>2028</v>
      </c>
    </row>
    <row r="1826" spans="1:12" x14ac:dyDescent="0.25">
      <c r="A1826" s="36" t="s">
        <v>23</v>
      </c>
      <c r="B1826" s="37"/>
      <c r="C1826" s="37"/>
      <c r="D1826" s="37"/>
      <c r="E1826" s="37"/>
      <c r="F1826" s="672"/>
    </row>
    <row r="1827" spans="1:12" x14ac:dyDescent="0.25">
      <c r="A1827" s="36" t="s">
        <v>383</v>
      </c>
      <c r="B1827" s="37"/>
      <c r="C1827" s="37"/>
      <c r="D1827" s="37"/>
      <c r="E1827" s="37"/>
      <c r="F1827" s="672"/>
    </row>
    <row r="1828" spans="1:12" ht="13.4" customHeight="1" x14ac:dyDescent="0.25">
      <c r="A1828" s="72" t="s">
        <v>923</v>
      </c>
      <c r="B1828" s="380"/>
      <c r="C1828" s="380"/>
      <c r="D1828" s="380"/>
      <c r="E1828" s="380"/>
      <c r="F1828" s="884"/>
    </row>
    <row r="1829" spans="1:12" ht="13.4" customHeight="1" x14ac:dyDescent="0.25">
      <c r="B1829" s="7"/>
      <c r="C1829" s="7"/>
      <c r="D1829" s="7"/>
      <c r="E1829" s="7"/>
    </row>
    <row r="1830" spans="1:12" x14ac:dyDescent="0.25">
      <c r="A1830" s="8" t="s">
        <v>14</v>
      </c>
      <c r="B1830" s="9" t="s">
        <v>79</v>
      </c>
      <c r="C1830" s="9" t="s">
        <v>152</v>
      </c>
    </row>
    <row r="1831" spans="1:12" x14ac:dyDescent="0.25">
      <c r="A1831" s="72" t="s">
        <v>16</v>
      </c>
      <c r="B1831" s="333">
        <v>2016</v>
      </c>
      <c r="C1831" s="210">
        <v>2017</v>
      </c>
      <c r="D1831" s="210">
        <v>2018</v>
      </c>
      <c r="E1831" s="210">
        <v>2019</v>
      </c>
      <c r="F1831" s="770">
        <v>2020</v>
      </c>
      <c r="G1831" s="770">
        <v>2021</v>
      </c>
      <c r="H1831" s="770">
        <v>2022</v>
      </c>
      <c r="I1831" s="770">
        <v>2023</v>
      </c>
      <c r="J1831" s="770">
        <v>2024</v>
      </c>
      <c r="K1831" s="770">
        <v>2025</v>
      </c>
      <c r="L1831" s="770">
        <v>2026</v>
      </c>
    </row>
    <row r="1832" spans="1:12" x14ac:dyDescent="0.25">
      <c r="A1832" s="28" t="s">
        <v>17</v>
      </c>
      <c r="B1832" s="30">
        <v>2</v>
      </c>
      <c r="C1832" s="30">
        <v>2</v>
      </c>
      <c r="D1832" s="30">
        <v>2</v>
      </c>
      <c r="E1832" s="30">
        <v>2</v>
      </c>
      <c r="F1832" s="47">
        <v>2</v>
      </c>
      <c r="G1832" s="47">
        <v>2</v>
      </c>
      <c r="H1832" s="47">
        <v>2</v>
      </c>
      <c r="I1832" s="47">
        <v>2</v>
      </c>
      <c r="J1832" s="47">
        <v>2</v>
      </c>
      <c r="K1832" s="47">
        <v>2</v>
      </c>
      <c r="L1832" s="47">
        <v>2</v>
      </c>
    </row>
    <row r="1833" spans="1:12" x14ac:dyDescent="0.25">
      <c r="A1833" s="28" t="s">
        <v>18</v>
      </c>
      <c r="B1833" s="30"/>
      <c r="C1833" s="30">
        <f>C1832+B1836</f>
        <v>-1.5599999999999996</v>
      </c>
      <c r="D1833" s="30">
        <f>D1832+C1836</f>
        <v>-7.0599999999999987</v>
      </c>
      <c r="E1833" s="30">
        <f>E1832+D1836</f>
        <v>-11.759999999999998</v>
      </c>
      <c r="F1833" s="47">
        <f>F1832+E1836</f>
        <v>-14.86</v>
      </c>
      <c r="G1833" s="47">
        <f>G1832+F1836</f>
        <v>-21.86</v>
      </c>
      <c r="H1833" s="47">
        <f>H1832+1.25*G1836</f>
        <v>-27.325000000000003</v>
      </c>
      <c r="I1833" s="47">
        <f>I1832+1.25*H1836</f>
        <v>-34.03125</v>
      </c>
      <c r="J1833" s="47">
        <f>J1832+1.25*I1836</f>
        <v>-46.0390625</v>
      </c>
      <c r="K1833" s="47">
        <f>K1832+1.25*J1836</f>
        <v>-61.650120625</v>
      </c>
      <c r="L1833" s="47">
        <f>L1832+1.25*K1836</f>
        <v>-75.062650781249999</v>
      </c>
    </row>
    <row r="1834" spans="1:12" x14ac:dyDescent="0.25">
      <c r="A1834" s="28" t="s">
        <v>19</v>
      </c>
      <c r="B1834" s="212"/>
      <c r="C1834" s="212" t="s">
        <v>399</v>
      </c>
      <c r="D1834" s="212" t="s">
        <v>400</v>
      </c>
      <c r="E1834" s="212" t="s">
        <v>401</v>
      </c>
      <c r="F1834" s="252" t="s">
        <v>402</v>
      </c>
      <c r="G1834" s="252" t="s">
        <v>566</v>
      </c>
      <c r="H1834" s="252" t="s">
        <v>604</v>
      </c>
      <c r="I1834" s="252" t="s">
        <v>625</v>
      </c>
      <c r="J1834" s="252" t="s">
        <v>783</v>
      </c>
      <c r="K1834" s="252" t="s">
        <v>991</v>
      </c>
      <c r="L1834" s="252" t="s">
        <v>1146</v>
      </c>
    </row>
    <row r="1835" spans="1:12" x14ac:dyDescent="0.25">
      <c r="A1835" s="28" t="s">
        <v>20</v>
      </c>
      <c r="B1835" s="212">
        <v>5.56</v>
      </c>
      <c r="C1835" s="212">
        <v>7.5</v>
      </c>
      <c r="D1835" s="212">
        <v>6.7</v>
      </c>
      <c r="E1835" s="212">
        <v>5.0999999999999996</v>
      </c>
      <c r="F1835" s="252">
        <v>9</v>
      </c>
      <c r="G1835" s="252">
        <v>1.6</v>
      </c>
      <c r="H1835" s="252">
        <v>1.5</v>
      </c>
      <c r="I1835" s="47">
        <v>4.4000000000000004</v>
      </c>
      <c r="J1835" s="252">
        <v>4.8810339999999997</v>
      </c>
      <c r="K1835" s="252"/>
      <c r="L1835" s="252"/>
    </row>
    <row r="1836" spans="1:12" x14ac:dyDescent="0.25">
      <c r="A1836" s="28" t="s">
        <v>21</v>
      </c>
      <c r="B1836" s="30">
        <f>B1832-B1835</f>
        <v>-3.5599999999999996</v>
      </c>
      <c r="C1836" s="30">
        <f t="shared" ref="C1836:K1836" si="90">C1833-C1835</f>
        <v>-9.0599999999999987</v>
      </c>
      <c r="D1836" s="30">
        <f t="shared" si="90"/>
        <v>-13.759999999999998</v>
      </c>
      <c r="E1836" s="30">
        <f t="shared" si="90"/>
        <v>-16.86</v>
      </c>
      <c r="F1836" s="47">
        <f t="shared" si="90"/>
        <v>-23.86</v>
      </c>
      <c r="G1836" s="47">
        <f t="shared" si="90"/>
        <v>-23.46</v>
      </c>
      <c r="H1836" s="47">
        <f t="shared" si="90"/>
        <v>-28.825000000000003</v>
      </c>
      <c r="I1836" s="47">
        <f t="shared" si="90"/>
        <v>-38.431249999999999</v>
      </c>
      <c r="J1836" s="47">
        <f t="shared" si="90"/>
        <v>-50.9200965</v>
      </c>
      <c r="K1836" s="47">
        <f t="shared" si="90"/>
        <v>-61.650120625</v>
      </c>
      <c r="L1836" s="47"/>
    </row>
    <row r="1837" spans="1:12" x14ac:dyDescent="0.25">
      <c r="A1837" s="34" t="s">
        <v>22</v>
      </c>
      <c r="B1837" s="541">
        <v>2017</v>
      </c>
      <c r="C1837" s="541">
        <v>2018</v>
      </c>
      <c r="D1837" s="541">
        <v>2019</v>
      </c>
      <c r="E1837" s="541">
        <v>2020</v>
      </c>
      <c r="F1837" s="974">
        <v>2021</v>
      </c>
      <c r="G1837" s="974">
        <v>2022</v>
      </c>
      <c r="H1837" s="974">
        <v>2023</v>
      </c>
      <c r="I1837" s="974">
        <v>2024</v>
      </c>
      <c r="J1837" s="974">
        <v>2025</v>
      </c>
      <c r="K1837" s="973">
        <v>2026</v>
      </c>
      <c r="L1837" s="973">
        <v>2027</v>
      </c>
    </row>
    <row r="1838" spans="1:12" x14ac:dyDescent="0.25">
      <c r="A1838" s="50" t="s">
        <v>179</v>
      </c>
      <c r="B1838" s="51"/>
      <c r="C1838" s="51"/>
      <c r="D1838" s="51"/>
      <c r="E1838" s="51"/>
      <c r="F1838" s="676"/>
      <c r="G1838" s="676"/>
      <c r="H1838" s="676"/>
      <c r="I1838" s="676"/>
      <c r="J1838" s="676"/>
      <c r="K1838" s="717"/>
    </row>
    <row r="1839" spans="1:12" x14ac:dyDescent="0.25">
      <c r="A1839" s="557" t="s">
        <v>1080</v>
      </c>
      <c r="B1839" s="63"/>
      <c r="C1839" s="63"/>
      <c r="D1839" s="63"/>
      <c r="E1839" s="63"/>
      <c r="F1839" s="984"/>
      <c r="G1839" s="682"/>
      <c r="H1839" s="682"/>
      <c r="I1839" s="682"/>
      <c r="J1839" s="682"/>
      <c r="K1839" s="683"/>
    </row>
    <row r="1840" spans="1:12" x14ac:dyDescent="0.25">
      <c r="A1840" s="85" t="s">
        <v>1081</v>
      </c>
      <c r="K1840" s="684"/>
    </row>
    <row r="1841" spans="1:12" x14ac:dyDescent="0.25">
      <c r="A1841" s="85" t="s">
        <v>1082</v>
      </c>
      <c r="K1841" s="684"/>
    </row>
    <row r="1842" spans="1:12" x14ac:dyDescent="0.25">
      <c r="A1842" s="85" t="s">
        <v>1083</v>
      </c>
      <c r="C1842" s="387"/>
      <c r="K1842" s="684"/>
    </row>
    <row r="1843" spans="1:12" x14ac:dyDescent="0.25">
      <c r="A1843" s="85" t="s">
        <v>1084</v>
      </c>
      <c r="C1843" s="387"/>
      <c r="K1843" s="684"/>
    </row>
    <row r="1844" spans="1:12" x14ac:dyDescent="0.25">
      <c r="A1844" s="85" t="s">
        <v>892</v>
      </c>
      <c r="C1844" s="387"/>
      <c r="K1844" s="684"/>
    </row>
    <row r="1845" spans="1:12" x14ac:dyDescent="0.25">
      <c r="A1845" s="85" t="s">
        <v>893</v>
      </c>
      <c r="C1845" s="387"/>
      <c r="K1845" s="684"/>
    </row>
    <row r="1846" spans="1:12" x14ac:dyDescent="0.25">
      <c r="A1846" s="85" t="s">
        <v>1016</v>
      </c>
      <c r="C1846" s="387"/>
      <c r="K1846" s="684"/>
    </row>
    <row r="1847" spans="1:12" x14ac:dyDescent="0.25">
      <c r="A1847" s="85" t="s">
        <v>1113</v>
      </c>
      <c r="C1847" s="387"/>
      <c r="K1847" s="684"/>
    </row>
    <row r="1848" spans="1:12" ht="12" customHeight="1" x14ac:dyDescent="0.25">
      <c r="A1848" s="197" t="s">
        <v>1250</v>
      </c>
      <c r="B1848" s="73"/>
      <c r="C1848" s="360"/>
      <c r="D1848" s="73"/>
      <c r="E1848" s="73"/>
      <c r="F1848" s="685"/>
      <c r="G1848" s="685"/>
      <c r="H1848" s="685"/>
      <c r="I1848" s="685"/>
      <c r="J1848" s="685"/>
      <c r="K1848" s="675"/>
    </row>
    <row r="1849" spans="1:12" ht="13.4" customHeight="1" x14ac:dyDescent="0.25">
      <c r="B1849" s="7"/>
      <c r="C1849" s="7"/>
      <c r="D1849" s="7"/>
      <c r="E1849" s="7"/>
    </row>
    <row r="1850" spans="1:12" ht="13.4" customHeight="1" x14ac:dyDescent="0.25">
      <c r="A1850" s="246"/>
      <c r="B1850" s="246"/>
      <c r="C1850" s="246"/>
      <c r="D1850" s="246"/>
      <c r="E1850" s="246"/>
      <c r="F1850" s="377"/>
      <c r="G1850" s="377"/>
    </row>
    <row r="1851" spans="1:12" x14ac:dyDescent="0.25">
      <c r="A1851" s="10" t="s">
        <v>12</v>
      </c>
      <c r="B1851" s="11" t="s">
        <v>894</v>
      </c>
      <c r="C1851" s="13"/>
      <c r="D1851" s="13"/>
      <c r="E1851" s="13"/>
      <c r="F1851" s="657"/>
      <c r="G1851" s="657"/>
    </row>
    <row r="1852" spans="1:12" x14ac:dyDescent="0.25">
      <c r="A1852" s="8" t="s">
        <v>14</v>
      </c>
      <c r="B1852" s="9" t="s">
        <v>74</v>
      </c>
      <c r="C1852" s="9" t="s">
        <v>152</v>
      </c>
    </row>
    <row r="1853" spans="1:12" x14ac:dyDescent="0.25">
      <c r="A1853" s="72" t="s">
        <v>16</v>
      </c>
      <c r="B1853" s="333">
        <v>2016</v>
      </c>
      <c r="C1853" s="210">
        <v>2017</v>
      </c>
      <c r="D1853" s="210">
        <v>2018</v>
      </c>
      <c r="E1853" s="210">
        <v>2019</v>
      </c>
      <c r="F1853" s="770">
        <v>2020</v>
      </c>
      <c r="G1853" s="770">
        <v>2021</v>
      </c>
      <c r="H1853" s="770">
        <v>2022</v>
      </c>
      <c r="I1853" s="770">
        <v>2023</v>
      </c>
      <c r="J1853" s="770">
        <v>2024</v>
      </c>
      <c r="K1853" s="770">
        <v>2025</v>
      </c>
      <c r="L1853" s="770">
        <v>2026</v>
      </c>
    </row>
    <row r="1854" spans="1:12" x14ac:dyDescent="0.25">
      <c r="A1854" s="28" t="s">
        <v>17</v>
      </c>
      <c r="B1854" s="30">
        <v>45</v>
      </c>
      <c r="C1854" s="30">
        <v>45</v>
      </c>
      <c r="D1854" s="30">
        <v>45</v>
      </c>
      <c r="E1854" s="30">
        <v>45</v>
      </c>
      <c r="F1854" s="47">
        <v>37.9</v>
      </c>
      <c r="G1854" s="47">
        <v>37.9</v>
      </c>
      <c r="H1854" s="47">
        <v>37.9</v>
      </c>
      <c r="I1854" s="47">
        <v>37.9</v>
      </c>
      <c r="J1854" s="47">
        <v>37.9</v>
      </c>
      <c r="K1854" s="47">
        <v>37.9</v>
      </c>
      <c r="L1854" s="47">
        <v>37.9</v>
      </c>
    </row>
    <row r="1855" spans="1:12" ht="15" x14ac:dyDescent="0.3">
      <c r="A1855" s="28" t="s">
        <v>18</v>
      </c>
      <c r="B1855" s="30">
        <v>16.39</v>
      </c>
      <c r="C1855" s="30">
        <f>C1854+B1858</f>
        <v>51.59</v>
      </c>
      <c r="D1855" s="30">
        <f>D1854+0.2*C1854</f>
        <v>54</v>
      </c>
      <c r="E1855" s="30">
        <f>E1854+0.2*D1854</f>
        <v>54</v>
      </c>
      <c r="F1855" s="59">
        <f>F1854+E1858</f>
        <v>4.3999999999999986</v>
      </c>
      <c r="G1855" s="59">
        <f>G1854+F1858</f>
        <v>8.3489999999999966</v>
      </c>
      <c r="H1855" s="59">
        <f>1.25*G1858+H1854</f>
        <v>-87.29249999999999</v>
      </c>
      <c r="I1855" s="59">
        <f xml:space="preserve"> 1.25*H1858+I1854</f>
        <v>-165.110625</v>
      </c>
      <c r="J1855" s="59">
        <f xml:space="preserve"> 1.25*I1858+J1854</f>
        <v>-263.47578125000001</v>
      </c>
      <c r="K1855" s="59">
        <f xml:space="preserve"> 1.25*J1858+K1854</f>
        <v>-327.19472656250008</v>
      </c>
      <c r="L1855" s="59">
        <f xml:space="preserve"> 1.25*K1858+L1854</f>
        <v>-401.0971582031251</v>
      </c>
    </row>
    <row r="1856" spans="1:12" x14ac:dyDescent="0.25">
      <c r="A1856" s="28" t="s">
        <v>19</v>
      </c>
      <c r="B1856" s="212"/>
      <c r="C1856" s="212" t="s">
        <v>399</v>
      </c>
      <c r="D1856" s="212" t="s">
        <v>400</v>
      </c>
      <c r="E1856" s="212" t="s">
        <v>401</v>
      </c>
      <c r="F1856" s="252" t="s">
        <v>402</v>
      </c>
      <c r="G1856" s="252" t="s">
        <v>566</v>
      </c>
      <c r="H1856" s="252" t="s">
        <v>604</v>
      </c>
      <c r="I1856" s="252" t="s">
        <v>625</v>
      </c>
      <c r="J1856" s="252" t="s">
        <v>783</v>
      </c>
      <c r="K1856" s="252" t="s">
        <v>991</v>
      </c>
      <c r="L1856" s="252" t="s">
        <v>1146</v>
      </c>
    </row>
    <row r="1857" spans="1:12" ht="15" x14ac:dyDescent="0.3">
      <c r="A1857" s="28" t="s">
        <v>20</v>
      </c>
      <c r="B1857" s="212">
        <v>9.8000000000000007</v>
      </c>
      <c r="C1857" s="212">
        <v>12.6</v>
      </c>
      <c r="D1857" s="558">
        <v>5</v>
      </c>
      <c r="E1857" s="558">
        <v>87.5</v>
      </c>
      <c r="F1857" s="985">
        <v>33.951000000000001</v>
      </c>
      <c r="G1857" s="985">
        <v>108.503</v>
      </c>
      <c r="H1857" s="985">
        <v>75.116</v>
      </c>
      <c r="I1857" s="985">
        <v>75.989999999999995</v>
      </c>
      <c r="J1857" s="985">
        <v>28.6</v>
      </c>
      <c r="K1857" s="252">
        <v>24.003</v>
      </c>
      <c r="L1857" s="252"/>
    </row>
    <row r="1858" spans="1:12" ht="15" x14ac:dyDescent="0.3">
      <c r="A1858" s="28" t="s">
        <v>21</v>
      </c>
      <c r="B1858" s="30">
        <f t="shared" ref="B1858:K1858" si="91">B1855-B1857</f>
        <v>6.59</v>
      </c>
      <c r="C1858" s="30">
        <f t="shared" si="91"/>
        <v>38.99</v>
      </c>
      <c r="D1858" s="30">
        <f t="shared" si="91"/>
        <v>49</v>
      </c>
      <c r="E1858" s="60">
        <f t="shared" si="91"/>
        <v>-33.5</v>
      </c>
      <c r="F1858" s="59">
        <f t="shared" si="91"/>
        <v>-29.551000000000002</v>
      </c>
      <c r="G1858" s="59">
        <f t="shared" si="91"/>
        <v>-100.154</v>
      </c>
      <c r="H1858" s="59">
        <f t="shared" si="91"/>
        <v>-162.4085</v>
      </c>
      <c r="I1858" s="59">
        <f t="shared" si="91"/>
        <v>-241.10062499999998</v>
      </c>
      <c r="J1858" s="59">
        <f t="shared" si="91"/>
        <v>-292.07578125000003</v>
      </c>
      <c r="K1858" s="59">
        <f t="shared" si="91"/>
        <v>-351.19772656250007</v>
      </c>
      <c r="L1858" s="47"/>
    </row>
    <row r="1859" spans="1:12" x14ac:dyDescent="0.25">
      <c r="A1859" s="62" t="s">
        <v>22</v>
      </c>
      <c r="B1859" s="513">
        <v>2017</v>
      </c>
      <c r="C1859" s="513">
        <v>2018</v>
      </c>
      <c r="D1859" s="513">
        <v>2019</v>
      </c>
      <c r="E1859" s="513">
        <v>2020</v>
      </c>
      <c r="F1859" s="942">
        <v>2021</v>
      </c>
      <c r="G1859" s="942">
        <v>2022</v>
      </c>
      <c r="H1859" s="942">
        <v>2023</v>
      </c>
      <c r="I1859" s="942">
        <v>2024</v>
      </c>
      <c r="J1859" s="942">
        <v>2025</v>
      </c>
      <c r="K1859" s="942">
        <v>2026</v>
      </c>
      <c r="L1859" s="942">
        <v>2027</v>
      </c>
    </row>
    <row r="1860" spans="1:12" x14ac:dyDescent="0.25">
      <c r="A1860" s="50" t="s">
        <v>179</v>
      </c>
      <c r="B1860" s="51"/>
      <c r="C1860" s="51"/>
      <c r="D1860" s="51"/>
      <c r="E1860" s="51"/>
      <c r="F1860" s="676"/>
      <c r="G1860" s="676"/>
      <c r="H1860" s="676"/>
      <c r="I1860" s="676"/>
      <c r="J1860" s="676"/>
      <c r="K1860" s="676"/>
      <c r="L1860" s="717"/>
    </row>
    <row r="1861" spans="1:12" x14ac:dyDescent="0.25">
      <c r="A1861" s="85" t="s">
        <v>403</v>
      </c>
      <c r="F1861" s="692"/>
      <c r="L1861" s="684"/>
    </row>
    <row r="1862" spans="1:12" x14ac:dyDescent="0.25">
      <c r="A1862" s="85" t="s">
        <v>895</v>
      </c>
      <c r="L1862" s="684"/>
    </row>
    <row r="1863" spans="1:12" x14ac:dyDescent="0.25">
      <c r="A1863" s="85" t="s">
        <v>896</v>
      </c>
      <c r="L1863" s="684"/>
    </row>
    <row r="1864" spans="1:12" x14ac:dyDescent="0.25">
      <c r="A1864" s="85" t="s">
        <v>565</v>
      </c>
      <c r="C1864" s="387"/>
      <c r="L1864" s="684"/>
    </row>
    <row r="1865" spans="1:12" x14ac:dyDescent="0.25">
      <c r="A1865" s="85" t="s">
        <v>567</v>
      </c>
      <c r="C1865" s="387"/>
      <c r="L1865" s="684"/>
    </row>
    <row r="1866" spans="1:12" x14ac:dyDescent="0.25">
      <c r="A1866" s="85" t="s">
        <v>892</v>
      </c>
      <c r="C1866" s="387"/>
      <c r="L1866" s="684"/>
    </row>
    <row r="1867" spans="1:12" x14ac:dyDescent="0.25">
      <c r="A1867" s="85" t="s">
        <v>893</v>
      </c>
      <c r="C1867" s="387"/>
      <c r="L1867" s="684"/>
    </row>
    <row r="1868" spans="1:12" x14ac:dyDescent="0.25">
      <c r="A1868" s="85" t="s">
        <v>1016</v>
      </c>
      <c r="C1868" s="387"/>
      <c r="L1868" s="684"/>
    </row>
    <row r="1869" spans="1:12" x14ac:dyDescent="0.25">
      <c r="A1869" s="85" t="s">
        <v>1113</v>
      </c>
      <c r="C1869" s="387"/>
      <c r="L1869" s="684"/>
    </row>
    <row r="1870" spans="1:12" x14ac:dyDescent="0.25">
      <c r="A1870" s="197" t="s">
        <v>1250</v>
      </c>
      <c r="B1870" s="73"/>
      <c r="C1870" s="360"/>
      <c r="D1870" s="73"/>
      <c r="E1870" s="73"/>
      <c r="F1870" s="685"/>
      <c r="G1870" s="685"/>
      <c r="H1870" s="685"/>
      <c r="I1870" s="685"/>
      <c r="J1870" s="685"/>
      <c r="K1870" s="685"/>
      <c r="L1870" s="675"/>
    </row>
    <row r="1871" spans="1:12" x14ac:dyDescent="0.25">
      <c r="A1871" s="74"/>
      <c r="C1871" s="387"/>
    </row>
    <row r="1872" spans="1:12" x14ac:dyDescent="0.25">
      <c r="A1872" s="8" t="s">
        <v>14</v>
      </c>
      <c r="B1872" s="9" t="s">
        <v>79</v>
      </c>
      <c r="C1872" s="9" t="s">
        <v>152</v>
      </c>
    </row>
    <row r="1873" spans="1:12" x14ac:dyDescent="0.25">
      <c r="A1873" s="72" t="s">
        <v>16</v>
      </c>
      <c r="B1873" s="333">
        <v>2016</v>
      </c>
      <c r="C1873" s="210">
        <v>2017</v>
      </c>
      <c r="D1873" s="210">
        <v>2018</v>
      </c>
      <c r="E1873" s="210">
        <v>2019</v>
      </c>
      <c r="F1873" s="770">
        <v>2020</v>
      </c>
      <c r="G1873" s="770">
        <v>2021</v>
      </c>
      <c r="H1873" s="770">
        <v>2022</v>
      </c>
      <c r="I1873" s="770">
        <v>2023</v>
      </c>
      <c r="J1873" s="770">
        <v>2024</v>
      </c>
      <c r="K1873" s="770">
        <v>2025</v>
      </c>
      <c r="L1873" s="770">
        <v>2026</v>
      </c>
    </row>
    <row r="1874" spans="1:12" x14ac:dyDescent="0.25">
      <c r="A1874" s="28" t="s">
        <v>17</v>
      </c>
      <c r="B1874" s="30">
        <v>20</v>
      </c>
      <c r="C1874" s="30">
        <v>20</v>
      </c>
      <c r="D1874" s="30">
        <v>20</v>
      </c>
      <c r="E1874" s="30">
        <v>20</v>
      </c>
      <c r="F1874" s="47">
        <v>20</v>
      </c>
      <c r="G1874" s="47">
        <v>20</v>
      </c>
      <c r="H1874" s="47">
        <v>20</v>
      </c>
      <c r="I1874" s="47">
        <v>20</v>
      </c>
      <c r="J1874" s="47">
        <v>20</v>
      </c>
      <c r="K1874" s="47">
        <v>20</v>
      </c>
      <c r="L1874" s="47">
        <v>20</v>
      </c>
    </row>
    <row r="1875" spans="1:12" ht="15" x14ac:dyDescent="0.3">
      <c r="A1875" s="28" t="s">
        <v>18</v>
      </c>
      <c r="B1875" s="30">
        <v>24</v>
      </c>
      <c r="C1875" s="30">
        <f>C1874+0.2*B1874</f>
        <v>24</v>
      </c>
      <c r="D1875" s="30">
        <f>D1874+0.2*C1874</f>
        <v>24</v>
      </c>
      <c r="E1875" s="60">
        <f>E1874+0.2*D1874</f>
        <v>24</v>
      </c>
      <c r="F1875" s="59">
        <f>F1874+0.2*E1874</f>
        <v>24</v>
      </c>
      <c r="G1875" s="59"/>
      <c r="H1875" s="59">
        <f>H1874+G1878</f>
        <v>19.587</v>
      </c>
      <c r="I1875" s="59">
        <f xml:space="preserve"> 1.25*H1878+I1874</f>
        <v>11.083750000000002</v>
      </c>
      <c r="J1875" s="59">
        <f xml:space="preserve"> 1.25*I1878+J1874</f>
        <v>-2.0312499999999289E-2</v>
      </c>
      <c r="K1875" s="59">
        <f xml:space="preserve"> 1.25*J1878+K1874</f>
        <v>-1.025390625</v>
      </c>
      <c r="L1875" s="59">
        <f xml:space="preserve"> 1.25*K1878+L1874</f>
        <v>0.92576171874999957</v>
      </c>
    </row>
    <row r="1876" spans="1:12" x14ac:dyDescent="0.25">
      <c r="A1876" s="28" t="s">
        <v>19</v>
      </c>
      <c r="B1876" s="212"/>
      <c r="C1876" s="212" t="s">
        <v>399</v>
      </c>
      <c r="D1876" s="212" t="s">
        <v>400</v>
      </c>
      <c r="E1876" s="212" t="s">
        <v>401</v>
      </c>
      <c r="F1876" s="252" t="s">
        <v>402</v>
      </c>
      <c r="G1876" s="252" t="s">
        <v>566</v>
      </c>
      <c r="H1876" s="252" t="s">
        <v>604</v>
      </c>
      <c r="I1876" s="252" t="s">
        <v>625</v>
      </c>
      <c r="J1876" s="252" t="s">
        <v>783</v>
      </c>
      <c r="K1876" s="252" t="s">
        <v>991</v>
      </c>
      <c r="L1876" s="252" t="s">
        <v>1146</v>
      </c>
    </row>
    <row r="1877" spans="1:12" ht="15" x14ac:dyDescent="0.3">
      <c r="A1877" s="28" t="s">
        <v>20</v>
      </c>
      <c r="B1877" s="212">
        <v>15</v>
      </c>
      <c r="C1877" s="212">
        <v>13</v>
      </c>
      <c r="D1877" s="558">
        <v>1.125</v>
      </c>
      <c r="E1877" s="558">
        <v>9.5559999999999992</v>
      </c>
      <c r="F1877" s="985">
        <v>10.503</v>
      </c>
      <c r="G1877" s="985">
        <v>20.413</v>
      </c>
      <c r="H1877" s="985">
        <v>26.72</v>
      </c>
      <c r="I1877" s="59">
        <v>27.1</v>
      </c>
      <c r="J1877" s="985">
        <v>16.8</v>
      </c>
      <c r="K1877" s="985">
        <v>14.234</v>
      </c>
      <c r="L1877" s="252"/>
    </row>
    <row r="1878" spans="1:12" ht="15" x14ac:dyDescent="0.3">
      <c r="A1878" s="28" t="s">
        <v>21</v>
      </c>
      <c r="B1878" s="30">
        <f>B1875-B1877</f>
        <v>9</v>
      </c>
      <c r="C1878" s="30">
        <f>C1875-C1877</f>
        <v>11</v>
      </c>
      <c r="D1878" s="60">
        <f>D1875-D1877</f>
        <v>22.875</v>
      </c>
      <c r="E1878" s="60">
        <f>E1875-E1877</f>
        <v>14.444000000000001</v>
      </c>
      <c r="F1878" s="59">
        <f>F1875-F1877</f>
        <v>13.497</v>
      </c>
      <c r="G1878" s="59">
        <f>G1874-G1877</f>
        <v>-0.41300000000000026</v>
      </c>
      <c r="H1878" s="59">
        <f>H1875-H1877</f>
        <v>-7.1329999999999991</v>
      </c>
      <c r="I1878" s="59">
        <f>I1875-I1877</f>
        <v>-16.016249999999999</v>
      </c>
      <c r="J1878" s="59">
        <f>J1875-J1877</f>
        <v>-16.8203125</v>
      </c>
      <c r="K1878" s="59">
        <f>K1875-K1877</f>
        <v>-15.259390625</v>
      </c>
      <c r="L1878" s="47"/>
    </row>
    <row r="1879" spans="1:12" x14ac:dyDescent="0.25">
      <c r="A1879" s="62" t="s">
        <v>22</v>
      </c>
      <c r="B1879" s="513">
        <v>2017</v>
      </c>
      <c r="C1879" s="513">
        <v>2018</v>
      </c>
      <c r="D1879" s="513">
        <v>2019</v>
      </c>
      <c r="E1879" s="513">
        <v>2020</v>
      </c>
      <c r="F1879" s="942">
        <v>2021</v>
      </c>
      <c r="G1879" s="942">
        <v>2022</v>
      </c>
      <c r="H1879" s="942">
        <v>2023</v>
      </c>
      <c r="I1879" s="942">
        <v>2024</v>
      </c>
      <c r="J1879" s="942">
        <v>2025</v>
      </c>
      <c r="K1879" s="942">
        <v>2026</v>
      </c>
      <c r="L1879" s="942">
        <v>2027</v>
      </c>
    </row>
    <row r="1880" spans="1:12" x14ac:dyDescent="0.25">
      <c r="A1880" s="36" t="s">
        <v>179</v>
      </c>
      <c r="B1880" s="37"/>
      <c r="C1880" s="37"/>
      <c r="D1880" s="37"/>
      <c r="E1880" s="37"/>
      <c r="F1880" s="669"/>
      <c r="G1880" s="669"/>
      <c r="H1880" s="669"/>
      <c r="I1880" s="669"/>
      <c r="J1880" s="669"/>
      <c r="K1880" s="669"/>
      <c r="L1880" s="672"/>
    </row>
    <row r="1881" spans="1:12" x14ac:dyDescent="0.25">
      <c r="A1881" s="195" t="s">
        <v>897</v>
      </c>
      <c r="B1881" s="37"/>
      <c r="C1881" s="37"/>
      <c r="D1881" s="37"/>
      <c r="E1881" s="37"/>
      <c r="F1881" s="986"/>
      <c r="G1881" s="669"/>
      <c r="H1881" s="669"/>
      <c r="I1881" s="669"/>
      <c r="J1881" s="669"/>
      <c r="K1881" s="669"/>
      <c r="L1881" s="672"/>
    </row>
    <row r="1882" spans="1:12" x14ac:dyDescent="0.25">
      <c r="A1882" s="85" t="s">
        <v>895</v>
      </c>
      <c r="L1882" s="684"/>
    </row>
    <row r="1883" spans="1:12" x14ac:dyDescent="0.25">
      <c r="A1883" s="85" t="s">
        <v>896</v>
      </c>
      <c r="L1883" s="684"/>
    </row>
    <row r="1884" spans="1:12" x14ac:dyDescent="0.25">
      <c r="A1884" s="85" t="s">
        <v>898</v>
      </c>
      <c r="C1884" s="387"/>
      <c r="L1884" s="684"/>
    </row>
    <row r="1885" spans="1:12" x14ac:dyDescent="0.25">
      <c r="A1885" s="85" t="s">
        <v>899</v>
      </c>
      <c r="C1885" s="387"/>
      <c r="L1885" s="684"/>
    </row>
    <row r="1886" spans="1:12" x14ac:dyDescent="0.25">
      <c r="A1886" s="85" t="s">
        <v>605</v>
      </c>
      <c r="C1886" s="387"/>
      <c r="L1886" s="684"/>
    </row>
    <row r="1887" spans="1:12" x14ac:dyDescent="0.25">
      <c r="A1887" s="85" t="s">
        <v>893</v>
      </c>
      <c r="C1887" s="387"/>
      <c r="L1887" s="684"/>
    </row>
    <row r="1888" spans="1:12" x14ac:dyDescent="0.25">
      <c r="A1888" s="85" t="s">
        <v>1016</v>
      </c>
      <c r="C1888" s="387"/>
      <c r="L1888" s="684"/>
    </row>
    <row r="1889" spans="1:12" x14ac:dyDescent="0.25">
      <c r="A1889" s="85" t="s">
        <v>1113</v>
      </c>
      <c r="C1889" s="387"/>
      <c r="L1889" s="684"/>
    </row>
    <row r="1890" spans="1:12" x14ac:dyDescent="0.25">
      <c r="A1890" s="197" t="s">
        <v>1250</v>
      </c>
      <c r="B1890" s="73"/>
      <c r="C1890" s="360"/>
      <c r="D1890" s="73"/>
      <c r="E1890" s="73"/>
      <c r="F1890" s="685"/>
      <c r="G1890" s="685"/>
      <c r="H1890" s="685"/>
      <c r="I1890" s="685"/>
      <c r="J1890" s="685"/>
      <c r="K1890" s="685"/>
      <c r="L1890" s="675"/>
    </row>
    <row r="1892" spans="1:12" x14ac:dyDescent="0.25">
      <c r="A1892" s="8" t="s">
        <v>11</v>
      </c>
      <c r="B1892" s="9" t="s">
        <v>217</v>
      </c>
      <c r="C1892" s="13"/>
    </row>
    <row r="1893" spans="1:12" x14ac:dyDescent="0.25">
      <c r="A1893" s="8" t="s">
        <v>1</v>
      </c>
      <c r="B1893" s="9" t="s">
        <v>623</v>
      </c>
      <c r="C1893" s="27" t="s">
        <v>2</v>
      </c>
    </row>
    <row r="1894" spans="1:12" x14ac:dyDescent="0.25">
      <c r="A1894" s="28" t="s">
        <v>3</v>
      </c>
      <c r="B1894" s="29"/>
      <c r="C1894" s="210">
        <v>2018</v>
      </c>
      <c r="D1894" s="231">
        <v>2019</v>
      </c>
      <c r="E1894" s="210">
        <v>2020</v>
      </c>
      <c r="F1894" s="770">
        <v>2021</v>
      </c>
      <c r="G1894" s="770">
        <v>2022</v>
      </c>
      <c r="H1894" s="770">
        <v>2023</v>
      </c>
      <c r="I1894" s="770">
        <v>2024</v>
      </c>
      <c r="J1894" s="770">
        <v>2025</v>
      </c>
      <c r="K1894" s="770">
        <v>2026</v>
      </c>
    </row>
    <row r="1895" spans="1:12" x14ac:dyDescent="0.25">
      <c r="A1895" s="28" t="s">
        <v>4</v>
      </c>
      <c r="B1895" s="29"/>
      <c r="C1895" s="30">
        <v>250</v>
      </c>
      <c r="D1895" s="250">
        <v>250</v>
      </c>
      <c r="E1895" s="30">
        <v>250</v>
      </c>
      <c r="F1895" s="795">
        <v>250</v>
      </c>
      <c r="G1895" s="795">
        <v>250</v>
      </c>
      <c r="H1895" s="795">
        <v>250</v>
      </c>
      <c r="I1895" s="795">
        <v>250</v>
      </c>
      <c r="J1895" s="795">
        <v>250</v>
      </c>
      <c r="K1895" s="795">
        <v>250</v>
      </c>
    </row>
    <row r="1896" spans="1:12" x14ac:dyDescent="0.25">
      <c r="A1896" s="28" t="s">
        <v>5</v>
      </c>
      <c r="B1896" s="29"/>
      <c r="C1896" s="30">
        <v>200</v>
      </c>
      <c r="D1896" s="30">
        <v>225</v>
      </c>
      <c r="E1896" s="30">
        <f t="shared" ref="E1896:J1896" si="92">E1897</f>
        <v>225</v>
      </c>
      <c r="F1896" s="795">
        <f t="shared" si="92"/>
        <v>200</v>
      </c>
      <c r="G1896" s="795">
        <f t="shared" si="92"/>
        <v>200</v>
      </c>
      <c r="H1896" s="795">
        <f t="shared" si="92"/>
        <v>225</v>
      </c>
      <c r="I1896" s="795">
        <f t="shared" si="92"/>
        <v>350</v>
      </c>
      <c r="J1896" s="795">
        <f t="shared" si="92"/>
        <v>350</v>
      </c>
      <c r="K1896" s="795">
        <v>325</v>
      </c>
    </row>
    <row r="1897" spans="1:12" x14ac:dyDescent="0.25">
      <c r="A1897" s="28" t="s">
        <v>6</v>
      </c>
      <c r="B1897" s="29"/>
      <c r="C1897" s="30">
        <v>200</v>
      </c>
      <c r="D1897" s="30">
        <v>225</v>
      </c>
      <c r="E1897" s="30">
        <f>1.4*E1895-125</f>
        <v>225</v>
      </c>
      <c r="F1897" s="795">
        <f>F1895+0.4*E1895-150</f>
        <v>200</v>
      </c>
      <c r="G1897" s="795">
        <f>G1895+0.4*F1895-150</f>
        <v>200</v>
      </c>
      <c r="H1897" s="795">
        <f>H1895+0.4*G1895-125</f>
        <v>225</v>
      </c>
      <c r="I1897" s="795">
        <f>I1895+0.4*H1895</f>
        <v>350</v>
      </c>
      <c r="J1897" s="795">
        <f>J1895+0.4*I1895</f>
        <v>350</v>
      </c>
      <c r="K1897" s="795">
        <f>K1895+0.4*J1895</f>
        <v>350</v>
      </c>
    </row>
    <row r="1898" spans="1:12" x14ac:dyDescent="0.25">
      <c r="A1898" s="28" t="s">
        <v>7</v>
      </c>
      <c r="B1898" s="29"/>
      <c r="C1898" s="30">
        <v>43.54</v>
      </c>
      <c r="D1898" s="30">
        <v>13.63</v>
      </c>
      <c r="E1898" s="30">
        <v>10</v>
      </c>
      <c r="F1898" s="795">
        <v>20</v>
      </c>
      <c r="G1898" s="795">
        <v>0</v>
      </c>
      <c r="H1898" s="795">
        <v>54.02</v>
      </c>
      <c r="I1898" s="795">
        <v>16.52</v>
      </c>
      <c r="J1898" s="496">
        <v>2</v>
      </c>
      <c r="K1898" s="709"/>
    </row>
    <row r="1899" spans="1:12" x14ac:dyDescent="0.25">
      <c r="A1899" s="28" t="s">
        <v>8</v>
      </c>
      <c r="B1899" s="29"/>
      <c r="C1899" s="30">
        <v>156.46</v>
      </c>
      <c r="D1899" s="250">
        <v>211.37</v>
      </c>
      <c r="E1899" s="30">
        <f t="shared" ref="E1899:J1899" si="93">E1896-E1898</f>
        <v>215</v>
      </c>
      <c r="F1899" s="795">
        <f t="shared" si="93"/>
        <v>180</v>
      </c>
      <c r="G1899" s="795">
        <f t="shared" si="93"/>
        <v>200</v>
      </c>
      <c r="H1899" s="795">
        <f t="shared" si="93"/>
        <v>170.98</v>
      </c>
      <c r="I1899" s="795">
        <f t="shared" si="93"/>
        <v>333.48</v>
      </c>
      <c r="J1899" s="795">
        <f t="shared" si="93"/>
        <v>348</v>
      </c>
      <c r="K1899" s="709"/>
    </row>
    <row r="1900" spans="1:12" x14ac:dyDescent="0.25">
      <c r="A1900" s="36" t="s">
        <v>9</v>
      </c>
      <c r="B1900" s="90"/>
      <c r="C1900" s="237">
        <v>2019</v>
      </c>
      <c r="D1900" s="238">
        <v>2020</v>
      </c>
      <c r="E1900" s="237">
        <v>2021</v>
      </c>
      <c r="F1900" s="672">
        <v>2022</v>
      </c>
      <c r="G1900" s="672">
        <v>2023</v>
      </c>
      <c r="H1900" s="672">
        <v>2024</v>
      </c>
      <c r="I1900" s="672">
        <v>2025</v>
      </c>
      <c r="J1900" s="703">
        <v>2026</v>
      </c>
      <c r="K1900" s="703"/>
    </row>
    <row r="1901" spans="1:12" x14ac:dyDescent="0.25">
      <c r="A1901" s="36" t="s">
        <v>164</v>
      </c>
      <c r="B1901" s="37"/>
      <c r="C1901" s="37"/>
      <c r="D1901" s="37"/>
      <c r="E1901" s="37"/>
      <c r="F1901" s="669"/>
      <c r="G1901" s="669"/>
      <c r="H1901" s="669"/>
      <c r="I1901" s="669"/>
      <c r="J1901" s="669"/>
      <c r="K1901" s="672"/>
    </row>
    <row r="1902" spans="1:12" x14ac:dyDescent="0.25">
      <c r="A1902" s="64" t="s">
        <v>218</v>
      </c>
      <c r="K1902" s="684"/>
    </row>
    <row r="1903" spans="1:12" x14ac:dyDescent="0.25">
      <c r="A1903" s="64" t="s">
        <v>513</v>
      </c>
      <c r="K1903" s="684"/>
    </row>
    <row r="1904" spans="1:12" ht="13.4" customHeight="1" x14ac:dyDescent="0.25">
      <c r="A1904" s="219" t="s">
        <v>514</v>
      </c>
      <c r="B1904" s="169"/>
      <c r="C1904" s="169"/>
      <c r="D1904" s="169"/>
      <c r="E1904" s="169"/>
      <c r="F1904" s="749"/>
      <c r="G1904" s="749"/>
      <c r="H1904" s="749"/>
      <c r="I1904" s="749"/>
      <c r="K1904" s="684"/>
    </row>
    <row r="1905" spans="1:11" x14ac:dyDescent="0.25">
      <c r="A1905" s="219" t="s">
        <v>515</v>
      </c>
      <c r="B1905" s="246"/>
      <c r="C1905" s="246"/>
      <c r="D1905" s="246"/>
      <c r="E1905" s="246"/>
      <c r="F1905" s="377"/>
      <c r="G1905" s="377"/>
      <c r="H1905" s="377"/>
      <c r="I1905" s="377"/>
      <c r="K1905" s="684"/>
    </row>
    <row r="1906" spans="1:11" x14ac:dyDescent="0.25">
      <c r="A1906" s="64" t="s">
        <v>516</v>
      </c>
      <c r="B1906" s="246"/>
      <c r="C1906" s="246"/>
      <c r="D1906" s="246"/>
      <c r="E1906" s="246"/>
      <c r="F1906" s="377"/>
      <c r="G1906" s="377"/>
      <c r="H1906" s="377"/>
      <c r="I1906" s="377"/>
      <c r="K1906" s="684"/>
    </row>
    <row r="1907" spans="1:11" x14ac:dyDescent="0.25">
      <c r="A1907" s="64" t="s">
        <v>842</v>
      </c>
      <c r="B1907" s="246"/>
      <c r="C1907" s="246"/>
      <c r="D1907" s="246"/>
      <c r="E1907" s="246"/>
      <c r="F1907" s="377"/>
      <c r="G1907" s="377"/>
      <c r="H1907" s="377"/>
      <c r="I1907" s="377"/>
      <c r="K1907" s="684"/>
    </row>
    <row r="1908" spans="1:11" x14ac:dyDescent="0.25">
      <c r="A1908" s="64" t="s">
        <v>843</v>
      </c>
      <c r="B1908" s="246"/>
      <c r="C1908" s="246"/>
      <c r="D1908" s="246"/>
      <c r="E1908" s="246"/>
      <c r="F1908" s="377"/>
      <c r="G1908" s="377"/>
      <c r="H1908" s="377"/>
      <c r="I1908" s="377"/>
      <c r="K1908" s="684"/>
    </row>
    <row r="1909" spans="1:11" x14ac:dyDescent="0.25">
      <c r="A1909" s="64" t="s">
        <v>1345</v>
      </c>
      <c r="B1909" s="246"/>
      <c r="C1909" s="246"/>
      <c r="D1909" s="246"/>
      <c r="E1909" s="246"/>
      <c r="F1909" s="377"/>
      <c r="G1909" s="377"/>
      <c r="H1909" s="377"/>
      <c r="I1909" s="377"/>
      <c r="K1909" s="684"/>
    </row>
    <row r="1910" spans="1:11" x14ac:dyDescent="0.25">
      <c r="A1910" s="64" t="s">
        <v>1346</v>
      </c>
      <c r="B1910" s="246"/>
      <c r="C1910" s="246"/>
      <c r="D1910" s="246"/>
      <c r="E1910" s="246"/>
      <c r="F1910" s="377"/>
      <c r="G1910" s="377"/>
      <c r="H1910" s="377"/>
      <c r="I1910" s="377"/>
      <c r="K1910" s="684"/>
    </row>
    <row r="1911" spans="1:11" ht="13.4" customHeight="1" x14ac:dyDescent="0.25">
      <c r="A1911" s="560" t="s">
        <v>1347</v>
      </c>
      <c r="B1911" s="70"/>
      <c r="C1911" s="70"/>
      <c r="D1911" s="70"/>
      <c r="E1911" s="70"/>
      <c r="F1911" s="685"/>
      <c r="G1911" s="685"/>
      <c r="H1911" s="685"/>
      <c r="I1911" s="685"/>
      <c r="J1911" s="685"/>
      <c r="K1911" s="675"/>
    </row>
    <row r="1913" spans="1:11" x14ac:dyDescent="0.25">
      <c r="A1913" s="8" t="s">
        <v>1</v>
      </c>
      <c r="B1913" s="9" t="s">
        <v>641</v>
      </c>
      <c r="C1913" s="27" t="s">
        <v>2</v>
      </c>
    </row>
    <row r="1914" spans="1:11" x14ac:dyDescent="0.25">
      <c r="A1914" s="28" t="s">
        <v>3</v>
      </c>
      <c r="B1914" s="29"/>
      <c r="C1914" s="210">
        <v>2018</v>
      </c>
      <c r="D1914" s="231">
        <v>2019</v>
      </c>
      <c r="E1914" s="210">
        <v>2020</v>
      </c>
      <c r="F1914" s="770">
        <v>2021</v>
      </c>
      <c r="G1914" s="770">
        <v>2022</v>
      </c>
      <c r="H1914" s="770">
        <v>2023</v>
      </c>
      <c r="I1914" s="770">
        <v>2024</v>
      </c>
      <c r="J1914" s="501">
        <v>2025</v>
      </c>
      <c r="K1914" s="501">
        <v>2026</v>
      </c>
    </row>
    <row r="1915" spans="1:11" x14ac:dyDescent="0.25">
      <c r="A1915" s="28" t="s">
        <v>4</v>
      </c>
      <c r="B1915" s="29"/>
      <c r="C1915" s="30">
        <v>417</v>
      </c>
      <c r="D1915" s="30">
        <v>417</v>
      </c>
      <c r="E1915" s="30">
        <v>417</v>
      </c>
      <c r="F1915" s="47">
        <v>417</v>
      </c>
      <c r="G1915" s="47">
        <v>417</v>
      </c>
      <c r="H1915" s="47">
        <v>417</v>
      </c>
      <c r="I1915" s="47">
        <v>417</v>
      </c>
      <c r="J1915" s="709">
        <v>417</v>
      </c>
      <c r="K1915" s="709">
        <v>417</v>
      </c>
    </row>
    <row r="1916" spans="1:11" x14ac:dyDescent="0.25">
      <c r="A1916" s="28" t="s">
        <v>5</v>
      </c>
      <c r="B1916" s="29"/>
      <c r="C1916" s="30">
        <v>500.4</v>
      </c>
      <c r="D1916" s="30">
        <v>500.4</v>
      </c>
      <c r="E1916" s="30">
        <f>E1917</f>
        <v>500.4</v>
      </c>
      <c r="F1916" s="47">
        <v>500.4</v>
      </c>
      <c r="G1916" s="47">
        <v>500.4</v>
      </c>
      <c r="H1916" s="47">
        <f>H1917</f>
        <v>458.7</v>
      </c>
      <c r="I1916" s="47">
        <f>I1917</f>
        <v>458.7</v>
      </c>
      <c r="J1916" s="709">
        <v>458.7</v>
      </c>
      <c r="K1916" s="709">
        <v>458.7</v>
      </c>
    </row>
    <row r="1917" spans="1:11" x14ac:dyDescent="0.25">
      <c r="A1917" s="28" t="s">
        <v>6</v>
      </c>
      <c r="B1917" s="29"/>
      <c r="C1917" s="30">
        <v>500.4</v>
      </c>
      <c r="D1917" s="30">
        <v>500.4</v>
      </c>
      <c r="E1917" s="30">
        <f>1.2*E1915</f>
        <v>500.4</v>
      </c>
      <c r="F1917" s="47">
        <v>500.4</v>
      </c>
      <c r="G1917" s="47">
        <v>500.4</v>
      </c>
      <c r="H1917" s="47">
        <f>H1915+0.1*G1915</f>
        <v>458.7</v>
      </c>
      <c r="I1917" s="47">
        <f>I1915+0.1*H1915</f>
        <v>458.7</v>
      </c>
      <c r="J1917" s="709"/>
      <c r="K1917" s="709"/>
    </row>
    <row r="1918" spans="1:11" x14ac:dyDescent="0.25">
      <c r="A1918" s="28" t="s">
        <v>7</v>
      </c>
      <c r="B1918" s="29"/>
      <c r="C1918" s="30">
        <v>92.8</v>
      </c>
      <c r="D1918" s="30">
        <v>166.9</v>
      </c>
      <c r="E1918" s="30">
        <v>0</v>
      </c>
      <c r="F1918" s="47">
        <v>0</v>
      </c>
      <c r="G1918" s="47">
        <v>0</v>
      </c>
      <c r="H1918" s="47">
        <v>0</v>
      </c>
      <c r="I1918" s="47">
        <v>0</v>
      </c>
      <c r="J1918" s="709">
        <v>0</v>
      </c>
      <c r="K1918" s="709"/>
    </row>
    <row r="1919" spans="1:11" x14ac:dyDescent="0.25">
      <c r="A1919" s="28" t="s">
        <v>8</v>
      </c>
      <c r="B1919" s="29"/>
      <c r="C1919" s="30">
        <v>407.59999999999997</v>
      </c>
      <c r="D1919" s="30">
        <f t="shared" ref="D1919:J1919" si="94">D1916-D1918</f>
        <v>333.5</v>
      </c>
      <c r="E1919" s="30">
        <f t="shared" si="94"/>
        <v>500.4</v>
      </c>
      <c r="F1919" s="47">
        <f t="shared" si="94"/>
        <v>500.4</v>
      </c>
      <c r="G1919" s="47">
        <f t="shared" si="94"/>
        <v>500.4</v>
      </c>
      <c r="H1919" s="47">
        <f t="shared" si="94"/>
        <v>458.7</v>
      </c>
      <c r="I1919" s="47">
        <f t="shared" si="94"/>
        <v>458.7</v>
      </c>
      <c r="J1919" s="47">
        <f t="shared" si="94"/>
        <v>458.7</v>
      </c>
      <c r="K1919" s="709"/>
    </row>
    <row r="1920" spans="1:11" x14ac:dyDescent="0.25">
      <c r="A1920" s="36" t="s">
        <v>9</v>
      </c>
      <c r="B1920" s="90"/>
      <c r="C1920" s="237">
        <v>2019</v>
      </c>
      <c r="D1920" s="238">
        <v>2020</v>
      </c>
      <c r="E1920" s="237">
        <v>2021</v>
      </c>
      <c r="F1920" s="785">
        <v>2022</v>
      </c>
      <c r="G1920" s="785">
        <v>2023</v>
      </c>
      <c r="H1920" s="785">
        <v>2024</v>
      </c>
      <c r="I1920" s="785">
        <v>2025</v>
      </c>
      <c r="J1920" s="498">
        <v>2026</v>
      </c>
      <c r="K1920" s="498">
        <v>2027</v>
      </c>
    </row>
    <row r="1921" spans="1:15" x14ac:dyDescent="0.25">
      <c r="A1921" s="36" t="s">
        <v>164</v>
      </c>
      <c r="B1921" s="37"/>
      <c r="C1921" s="37"/>
      <c r="D1921" s="37"/>
      <c r="E1921" s="37"/>
      <c r="F1921" s="669"/>
      <c r="G1921" s="669"/>
      <c r="H1921" s="669"/>
      <c r="I1921" s="669"/>
      <c r="J1921" s="669"/>
      <c r="K1921" s="672"/>
    </row>
    <row r="1922" spans="1:15" x14ac:dyDescent="0.25">
      <c r="A1922" s="64" t="s">
        <v>218</v>
      </c>
      <c r="K1922" s="684"/>
    </row>
    <row r="1923" spans="1:15" s="169" customFormat="1" ht="12.75" customHeight="1" x14ac:dyDescent="0.25">
      <c r="A1923" s="64" t="s">
        <v>219</v>
      </c>
      <c r="B1923" s="6"/>
      <c r="C1923" s="6"/>
      <c r="D1923" s="6"/>
      <c r="E1923" s="6"/>
      <c r="F1923" s="68"/>
      <c r="G1923" s="749"/>
      <c r="H1923" s="749"/>
      <c r="I1923" s="749"/>
      <c r="J1923" s="749"/>
      <c r="K1923" s="987"/>
      <c r="L1923" s="749"/>
      <c r="M1923" s="749"/>
      <c r="N1923" s="749"/>
      <c r="O1923" s="749"/>
    </row>
    <row r="1924" spans="1:15" s="169" customFormat="1" ht="12.75" customHeight="1" x14ac:dyDescent="0.25">
      <c r="A1924" s="64" t="s">
        <v>315</v>
      </c>
      <c r="B1924" s="6"/>
      <c r="C1924" s="6"/>
      <c r="D1924" s="6"/>
      <c r="E1924" s="6"/>
      <c r="F1924" s="68"/>
      <c r="G1924" s="749"/>
      <c r="H1924" s="749"/>
      <c r="I1924" s="749"/>
      <c r="J1924" s="749"/>
      <c r="K1924" s="987"/>
      <c r="L1924" s="749"/>
      <c r="M1924" s="749"/>
      <c r="N1924" s="749"/>
      <c r="O1924" s="749"/>
    </row>
    <row r="1925" spans="1:15" s="169" customFormat="1" ht="12.75" customHeight="1" x14ac:dyDescent="0.25">
      <c r="A1925" s="64" t="s">
        <v>698</v>
      </c>
      <c r="B1925" s="6"/>
      <c r="C1925" s="6"/>
      <c r="D1925" s="6"/>
      <c r="E1925" s="6"/>
      <c r="F1925" s="68"/>
      <c r="G1925" s="749"/>
      <c r="H1925" s="749"/>
      <c r="I1925" s="749"/>
      <c r="J1925" s="749"/>
      <c r="K1925" s="987"/>
      <c r="L1925" s="749"/>
      <c r="M1925" s="749"/>
      <c r="N1925" s="749"/>
      <c r="O1925" s="749"/>
    </row>
    <row r="1926" spans="1:15" s="169" customFormat="1" ht="12.75" customHeight="1" x14ac:dyDescent="0.25">
      <c r="A1926" s="64" t="s">
        <v>697</v>
      </c>
      <c r="B1926" s="6"/>
      <c r="C1926" s="6"/>
      <c r="D1926" s="6"/>
      <c r="E1926" s="6"/>
      <c r="F1926" s="68"/>
      <c r="G1926" s="749"/>
      <c r="H1926" s="749"/>
      <c r="I1926" s="749"/>
      <c r="J1926" s="749"/>
      <c r="K1926" s="987"/>
      <c r="L1926" s="749"/>
      <c r="M1926" s="749"/>
      <c r="N1926" s="749"/>
      <c r="O1926" s="749"/>
    </row>
    <row r="1927" spans="1:15" s="169" customFormat="1" x14ac:dyDescent="0.25">
      <c r="A1927" s="219" t="s">
        <v>844</v>
      </c>
      <c r="F1927" s="749"/>
      <c r="G1927" s="749"/>
      <c r="H1927" s="749"/>
      <c r="I1927" s="749"/>
      <c r="J1927" s="749"/>
      <c r="K1927" s="987"/>
      <c r="L1927" s="749"/>
      <c r="M1927" s="749"/>
      <c r="N1927" s="749"/>
      <c r="O1927" s="749"/>
    </row>
    <row r="1928" spans="1:15" s="169" customFormat="1" x14ac:dyDescent="0.25">
      <c r="A1928" s="219" t="s">
        <v>1046</v>
      </c>
      <c r="F1928" s="749"/>
      <c r="G1928" s="749"/>
      <c r="H1928" s="749"/>
      <c r="I1928" s="749"/>
      <c r="J1928" s="749"/>
      <c r="K1928" s="987"/>
      <c r="L1928" s="749"/>
      <c r="M1928" s="749"/>
      <c r="N1928" s="749"/>
      <c r="O1928" s="749"/>
    </row>
    <row r="1929" spans="1:15" s="169" customFormat="1" x14ac:dyDescent="0.25">
      <c r="A1929" s="219" t="s">
        <v>1175</v>
      </c>
      <c r="F1929" s="749"/>
      <c r="G1929" s="749"/>
      <c r="H1929" s="749"/>
      <c r="I1929" s="749"/>
      <c r="J1929" s="749"/>
      <c r="K1929" s="987"/>
      <c r="L1929" s="749"/>
      <c r="M1929" s="749"/>
      <c r="N1929" s="749"/>
      <c r="O1929" s="749"/>
    </row>
    <row r="1930" spans="1:15" s="169" customFormat="1" ht="12.75" customHeight="1" x14ac:dyDescent="0.25">
      <c r="A1930" s="69" t="s">
        <v>1348</v>
      </c>
      <c r="B1930" s="70"/>
      <c r="C1930" s="70"/>
      <c r="D1930" s="70"/>
      <c r="E1930" s="70"/>
      <c r="F1930" s="685"/>
      <c r="G1930" s="786"/>
      <c r="H1930" s="786"/>
      <c r="I1930" s="786"/>
      <c r="J1930" s="786"/>
      <c r="K1930" s="988"/>
      <c r="L1930" s="749"/>
      <c r="M1930" s="749"/>
      <c r="N1930" s="749"/>
      <c r="O1930" s="749"/>
    </row>
    <row r="1931" spans="1:15" s="169" customFormat="1" ht="12.75" customHeight="1" x14ac:dyDescent="0.25">
      <c r="A1931" s="65"/>
      <c r="B1931" s="65"/>
      <c r="C1931" s="65"/>
      <c r="D1931" s="65"/>
      <c r="E1931" s="65"/>
      <c r="F1931" s="68"/>
      <c r="G1931" s="749"/>
      <c r="H1931" s="749"/>
      <c r="I1931" s="749"/>
      <c r="J1931" s="749"/>
      <c r="K1931" s="749"/>
      <c r="L1931" s="749"/>
      <c r="M1931" s="749"/>
      <c r="N1931" s="749"/>
      <c r="O1931" s="749"/>
    </row>
    <row r="1932" spans="1:15" s="169" customFormat="1" ht="12.75" customHeight="1" x14ac:dyDescent="0.25">
      <c r="A1932" s="561" t="s">
        <v>14</v>
      </c>
      <c r="B1932" s="562" t="s">
        <v>642</v>
      </c>
      <c r="C1932" s="563"/>
      <c r="D1932" s="564"/>
      <c r="E1932" s="564"/>
      <c r="F1932" s="68"/>
      <c r="G1932" s="749"/>
      <c r="H1932" s="749"/>
      <c r="I1932" s="749"/>
      <c r="J1932" s="749"/>
      <c r="K1932" s="749"/>
      <c r="L1932" s="749"/>
      <c r="M1932" s="749"/>
      <c r="N1932" s="749"/>
      <c r="O1932" s="749"/>
    </row>
    <row r="1933" spans="1:15" s="169" customFormat="1" ht="12.75" customHeight="1" x14ac:dyDescent="0.25">
      <c r="A1933" s="565" t="s">
        <v>16</v>
      </c>
      <c r="B1933" s="566">
        <v>2024</v>
      </c>
      <c r="C1933" s="567">
        <v>2025</v>
      </c>
      <c r="D1933" s="567">
        <v>2026</v>
      </c>
      <c r="E1933" s="568">
        <v>2027</v>
      </c>
      <c r="F1933" s="68"/>
      <c r="G1933" s="749"/>
      <c r="H1933" s="749"/>
      <c r="I1933" s="749"/>
      <c r="J1933" s="749"/>
      <c r="K1933" s="749"/>
      <c r="L1933" s="749"/>
      <c r="M1933" s="749"/>
      <c r="N1933" s="749"/>
      <c r="O1933" s="749"/>
    </row>
    <row r="1934" spans="1:15" s="169" customFormat="1" ht="12.75" customHeight="1" x14ac:dyDescent="0.3">
      <c r="A1934" s="569" t="s">
        <v>17</v>
      </c>
      <c r="B1934" s="570">
        <v>5</v>
      </c>
      <c r="C1934" s="570">
        <v>5</v>
      </c>
      <c r="D1934" s="570">
        <v>55</v>
      </c>
      <c r="E1934" s="570">
        <v>55</v>
      </c>
      <c r="F1934" s="68"/>
      <c r="G1934" s="749"/>
      <c r="H1934" s="749"/>
      <c r="I1934" s="749"/>
      <c r="J1934" s="749"/>
      <c r="K1934" s="749"/>
      <c r="L1934" s="749"/>
      <c r="M1934" s="749"/>
      <c r="N1934" s="749"/>
      <c r="O1934" s="749"/>
    </row>
    <row r="1935" spans="1:15" s="169" customFormat="1" ht="12.75" customHeight="1" x14ac:dyDescent="0.3">
      <c r="A1935" s="569" t="s">
        <v>18</v>
      </c>
      <c r="B1935" s="570"/>
      <c r="C1935" s="570"/>
      <c r="D1935" s="570">
        <v>20</v>
      </c>
      <c r="E1935" s="570"/>
      <c r="F1935" s="68"/>
      <c r="G1935" s="749"/>
      <c r="H1935" s="749"/>
      <c r="I1935" s="749"/>
      <c r="J1935" s="749"/>
      <c r="K1935" s="749"/>
      <c r="L1935" s="749"/>
      <c r="M1935" s="749"/>
      <c r="N1935" s="749"/>
      <c r="O1935" s="749"/>
    </row>
    <row r="1936" spans="1:15" s="169" customFormat="1" ht="12.75" customHeight="1" x14ac:dyDescent="0.3">
      <c r="A1936" s="569" t="s">
        <v>19</v>
      </c>
      <c r="B1936" s="570"/>
      <c r="C1936" s="570"/>
      <c r="D1936" s="570">
        <v>20</v>
      </c>
      <c r="E1936" s="570"/>
      <c r="F1936" s="68"/>
      <c r="G1936" s="749"/>
      <c r="H1936" s="749"/>
      <c r="I1936" s="749"/>
      <c r="J1936" s="749"/>
      <c r="K1936" s="749"/>
      <c r="L1936" s="749"/>
      <c r="M1936" s="749"/>
      <c r="N1936" s="749"/>
      <c r="O1936" s="749"/>
    </row>
    <row r="1937" spans="1:15" s="169" customFormat="1" ht="12.75" customHeight="1" x14ac:dyDescent="0.3">
      <c r="A1937" s="569" t="s">
        <v>20</v>
      </c>
      <c r="B1937" s="570">
        <v>225</v>
      </c>
      <c r="C1937" s="570">
        <v>0</v>
      </c>
      <c r="D1937" s="570">
        <v>0</v>
      </c>
      <c r="E1937" s="570"/>
      <c r="F1937" s="68"/>
      <c r="G1937" s="749"/>
      <c r="H1937" s="749"/>
      <c r="I1937" s="749"/>
      <c r="J1937" s="749"/>
      <c r="K1937" s="749"/>
      <c r="L1937" s="749"/>
      <c r="M1937" s="749"/>
      <c r="N1937" s="749"/>
      <c r="O1937" s="749"/>
    </row>
    <row r="1938" spans="1:15" s="169" customFormat="1" ht="12.75" customHeight="1" x14ac:dyDescent="0.3">
      <c r="A1938" s="569" t="s">
        <v>21</v>
      </c>
      <c r="B1938" s="570">
        <v>-220</v>
      </c>
      <c r="C1938" s="570">
        <v>-215</v>
      </c>
      <c r="D1938" s="570">
        <v>-180</v>
      </c>
      <c r="E1938" s="570"/>
      <c r="F1938" s="68"/>
      <c r="G1938" s="749"/>
      <c r="H1938" s="749"/>
      <c r="I1938" s="749"/>
      <c r="J1938" s="749"/>
      <c r="K1938" s="749"/>
      <c r="L1938" s="749"/>
      <c r="M1938" s="749"/>
      <c r="N1938" s="749"/>
      <c r="O1938" s="749"/>
    </row>
    <row r="1939" spans="1:15" s="169" customFormat="1" ht="12.75" customHeight="1" x14ac:dyDescent="0.3">
      <c r="A1939" s="102" t="s">
        <v>1364</v>
      </c>
      <c r="B1939" s="137"/>
      <c r="C1939" s="571"/>
      <c r="D1939" s="571">
        <v>2026</v>
      </c>
      <c r="E1939" s="572"/>
      <c r="F1939" s="68"/>
      <c r="G1939" s="749"/>
      <c r="H1939" s="749"/>
      <c r="I1939" s="749"/>
      <c r="J1939" s="749"/>
      <c r="K1939" s="749"/>
      <c r="L1939" s="749"/>
      <c r="M1939" s="749"/>
      <c r="N1939" s="749"/>
      <c r="O1939" s="749"/>
    </row>
    <row r="1940" spans="1:15" s="169" customFormat="1" ht="12.75" customHeight="1" x14ac:dyDescent="0.3">
      <c r="A1940" s="261" t="s">
        <v>1363</v>
      </c>
      <c r="B1940" s="571"/>
      <c r="C1940" s="571"/>
      <c r="D1940" s="571"/>
      <c r="E1940" s="572"/>
      <c r="F1940" s="68"/>
      <c r="G1940" s="749"/>
      <c r="H1940" s="749"/>
      <c r="I1940" s="749"/>
      <c r="J1940" s="749"/>
      <c r="K1940" s="749"/>
      <c r="L1940" s="749"/>
      <c r="M1940" s="749"/>
      <c r="N1940" s="749"/>
      <c r="O1940" s="749"/>
    </row>
    <row r="1941" spans="1:15" s="169" customFormat="1" ht="12.75" customHeight="1" x14ac:dyDescent="0.25">
      <c r="A1941" s="65"/>
      <c r="B1941" s="65"/>
      <c r="C1941" s="65"/>
      <c r="D1941" s="65"/>
      <c r="E1941" s="65"/>
      <c r="F1941" s="68"/>
      <c r="G1941" s="749"/>
      <c r="H1941" s="749"/>
      <c r="I1941" s="749"/>
      <c r="J1941" s="749"/>
      <c r="K1941" s="749"/>
      <c r="L1941" s="749"/>
      <c r="M1941" s="749"/>
      <c r="N1941" s="749"/>
      <c r="O1941" s="749"/>
    </row>
    <row r="1943" spans="1:15" x14ac:dyDescent="0.25">
      <c r="A1943" s="10" t="s">
        <v>14</v>
      </c>
      <c r="B1943" s="11" t="s">
        <v>66</v>
      </c>
      <c r="C1943" s="92" t="s">
        <v>15</v>
      </c>
      <c r="D1943" s="13"/>
      <c r="E1943" s="13"/>
      <c r="F1943" s="657"/>
    </row>
    <row r="1944" spans="1:15" x14ac:dyDescent="0.25">
      <c r="A1944" s="93" t="s">
        <v>16</v>
      </c>
      <c r="B1944" s="94"/>
      <c r="C1944" s="210">
        <v>2020</v>
      </c>
      <c r="D1944" s="210">
        <v>2021</v>
      </c>
      <c r="E1944" s="210">
        <v>2022</v>
      </c>
      <c r="F1944" s="770">
        <v>2023</v>
      </c>
      <c r="G1944" s="770">
        <v>2024</v>
      </c>
      <c r="H1944" s="770">
        <v>2025</v>
      </c>
      <c r="I1944" s="770">
        <v>2026</v>
      </c>
      <c r="J1944" s="770">
        <v>2027</v>
      </c>
      <c r="K1944" s="770">
        <v>2028</v>
      </c>
      <c r="L1944" s="770">
        <v>2029</v>
      </c>
      <c r="M1944" s="770">
        <v>2030</v>
      </c>
      <c r="N1944" s="770">
        <v>2031</v>
      </c>
      <c r="O1944" s="770">
        <v>2032</v>
      </c>
    </row>
    <row r="1945" spans="1:15" x14ac:dyDescent="0.25">
      <c r="A1945" s="93" t="s">
        <v>17</v>
      </c>
      <c r="B1945" s="97"/>
      <c r="C1945" s="30">
        <v>1322.73</v>
      </c>
      <c r="D1945" s="30">
        <v>1301.5663200000001</v>
      </c>
      <c r="E1945" s="30">
        <v>1312.14816</v>
      </c>
      <c r="F1945" s="47">
        <v>1312.14816</v>
      </c>
      <c r="G1945" s="47">
        <v>1312.14816</v>
      </c>
      <c r="H1945" s="47">
        <v>2546.0100000000002</v>
      </c>
      <c r="I1945" s="47">
        <v>2546.0100000000002</v>
      </c>
      <c r="J1945" s="47">
        <v>2546.0100000000002</v>
      </c>
      <c r="K1945" s="47">
        <v>1312.14816</v>
      </c>
      <c r="L1945" s="47">
        <v>1312.14816</v>
      </c>
      <c r="M1945" s="47">
        <v>1312.14816</v>
      </c>
      <c r="N1945" s="47">
        <v>1312.14816</v>
      </c>
      <c r="O1945" s="47">
        <v>1312.14816</v>
      </c>
    </row>
    <row r="1946" spans="1:15" x14ac:dyDescent="0.25">
      <c r="A1946" s="93" t="s">
        <v>18</v>
      </c>
      <c r="B1946" s="97"/>
      <c r="C1946" s="30"/>
      <c r="D1946" s="30"/>
      <c r="E1946" s="30"/>
      <c r="F1946" s="47">
        <f>F1945-137.77+D1949</f>
        <v>222.56448</v>
      </c>
      <c r="G1946" s="47">
        <f t="shared" ref="G1946:I1946" si="95">G1945-137.77+E1949</f>
        <v>783.05631999999991</v>
      </c>
      <c r="H1946" s="47">
        <f t="shared" si="95"/>
        <v>1904.8444800000002</v>
      </c>
      <c r="I1946" s="47">
        <f t="shared" si="95"/>
        <v>2034.5563200000001</v>
      </c>
      <c r="J1946" s="47">
        <f>J1945-137.77</f>
        <v>2408.2400000000002</v>
      </c>
      <c r="K1946" s="47">
        <f t="shared" ref="K1946:O1946" si="96">K1945-137.77</f>
        <v>1174.37816</v>
      </c>
      <c r="L1946" s="47">
        <f t="shared" si="96"/>
        <v>1174.37816</v>
      </c>
      <c r="M1946" s="47">
        <f t="shared" si="96"/>
        <v>1174.37816</v>
      </c>
      <c r="N1946" s="47">
        <f t="shared" si="96"/>
        <v>1174.37816</v>
      </c>
      <c r="O1946" s="47">
        <f t="shared" si="96"/>
        <v>1174.37816</v>
      </c>
    </row>
    <row r="1947" spans="1:15" x14ac:dyDescent="0.25">
      <c r="A1947" s="93" t="s">
        <v>19</v>
      </c>
      <c r="B1947" s="97"/>
      <c r="C1947" s="30"/>
      <c r="D1947" s="573"/>
      <c r="E1947" s="573" t="s">
        <v>531</v>
      </c>
      <c r="F1947" s="989" t="s">
        <v>531</v>
      </c>
      <c r="G1947" s="989" t="s">
        <v>531</v>
      </c>
      <c r="H1947" s="989" t="s">
        <v>1047</v>
      </c>
      <c r="I1947" s="989" t="s">
        <v>1366</v>
      </c>
      <c r="J1947" s="989" t="s">
        <v>1365</v>
      </c>
      <c r="K1947" s="989" t="s">
        <v>531</v>
      </c>
      <c r="L1947" s="989" t="s">
        <v>531</v>
      </c>
      <c r="M1947" s="989" t="s">
        <v>531</v>
      </c>
      <c r="N1947" s="989" t="s">
        <v>531</v>
      </c>
      <c r="O1947" s="989" t="s">
        <v>531</v>
      </c>
    </row>
    <row r="1948" spans="1:15" x14ac:dyDescent="0.25">
      <c r="A1948" s="93" t="s">
        <v>20</v>
      </c>
      <c r="B1948" s="97"/>
      <c r="C1948" s="30">
        <v>2700.5</v>
      </c>
      <c r="D1948" s="30">
        <v>2253.38</v>
      </c>
      <c r="E1948" s="30">
        <v>1703.47</v>
      </c>
      <c r="F1948" s="47">
        <v>725.96</v>
      </c>
      <c r="G1948" s="47">
        <v>1156.74</v>
      </c>
      <c r="H1948" s="47">
        <v>1556</v>
      </c>
      <c r="I1948" s="47"/>
      <c r="J1948" s="47"/>
      <c r="K1948" s="47"/>
      <c r="L1948" s="47"/>
      <c r="M1948" s="47"/>
      <c r="N1948" s="47"/>
      <c r="O1948" s="47"/>
    </row>
    <row r="1949" spans="1:15" x14ac:dyDescent="0.25">
      <c r="A1949" s="93" t="s">
        <v>21</v>
      </c>
      <c r="B1949" s="136"/>
      <c r="C1949" s="30">
        <f>C1945-C1948</f>
        <v>-1377.77</v>
      </c>
      <c r="D1949" s="30">
        <f>D1945-D1948</f>
        <v>-951.81367999999998</v>
      </c>
      <c r="E1949" s="30">
        <f>E1945-E1948</f>
        <v>-391.32184000000007</v>
      </c>
      <c r="F1949" s="47">
        <f>F1946-F1948</f>
        <v>-503.39552000000003</v>
      </c>
      <c r="G1949" s="47">
        <f>G1946-G1948</f>
        <v>-373.68368000000009</v>
      </c>
      <c r="H1949" s="47">
        <f>H1946-H1948</f>
        <v>348.8444800000002</v>
      </c>
      <c r="I1949" s="47">
        <f>I1946-I1948</f>
        <v>2034.5563200000001</v>
      </c>
      <c r="J1949" s="47"/>
      <c r="K1949" s="47"/>
      <c r="L1949" s="47"/>
      <c r="M1949" s="47"/>
      <c r="N1949" s="47"/>
      <c r="O1949" s="47"/>
    </row>
    <row r="1950" spans="1:15" x14ac:dyDescent="0.25">
      <c r="A1950" s="102" t="s">
        <v>22</v>
      </c>
      <c r="B1950" s="137"/>
      <c r="C1950" s="35">
        <v>2022</v>
      </c>
      <c r="D1950" s="35">
        <v>2023</v>
      </c>
      <c r="E1950" s="35"/>
      <c r="F1950" s="49"/>
      <c r="G1950" s="49"/>
      <c r="H1950" s="49"/>
      <c r="I1950" s="49"/>
      <c r="J1950" s="49"/>
      <c r="K1950" s="49"/>
      <c r="L1950" s="49"/>
      <c r="M1950" s="49"/>
      <c r="N1950" s="49"/>
      <c r="O1950" s="49"/>
    </row>
    <row r="1951" spans="1:15" ht="12.75" customHeight="1" x14ac:dyDescent="0.25">
      <c r="A1951" s="574" t="s">
        <v>564</v>
      </c>
      <c r="B1951" s="575"/>
      <c r="C1951" s="575"/>
      <c r="D1951" s="575"/>
      <c r="E1951" s="575"/>
      <c r="F1951" s="990"/>
      <c r="G1951" s="990"/>
      <c r="H1951" s="990"/>
      <c r="I1951" s="990"/>
      <c r="J1951" s="990"/>
      <c r="K1951" s="990"/>
      <c r="L1951" s="990"/>
      <c r="M1951" s="990"/>
      <c r="N1951" s="990"/>
      <c r="O1951" s="991"/>
    </row>
    <row r="1952" spans="1:15" ht="12.75" customHeight="1" x14ac:dyDescent="0.25">
      <c r="A1952" s="576" t="s">
        <v>929</v>
      </c>
      <c r="B1952" s="577"/>
      <c r="C1952" s="577"/>
      <c r="D1952" s="577"/>
      <c r="E1952" s="577"/>
      <c r="F1952" s="992"/>
      <c r="G1952" s="992"/>
      <c r="H1952" s="992"/>
      <c r="I1952" s="992"/>
      <c r="J1952" s="992"/>
      <c r="K1952" s="992"/>
      <c r="L1952" s="992"/>
      <c r="M1952" s="992"/>
      <c r="N1952" s="992"/>
      <c r="O1952" s="993"/>
    </row>
    <row r="1953" spans="1:15" ht="12.75" customHeight="1" x14ac:dyDescent="0.25">
      <c r="A1953" s="576" t="s">
        <v>1048</v>
      </c>
      <c r="B1953" s="577"/>
      <c r="C1953" s="577"/>
      <c r="D1953" s="577"/>
      <c r="E1953" s="577"/>
      <c r="F1953" s="992"/>
      <c r="G1953" s="992"/>
      <c r="H1953" s="992"/>
      <c r="I1953" s="992"/>
      <c r="J1953" s="992"/>
      <c r="K1953" s="992"/>
      <c r="L1953" s="992"/>
      <c r="M1953" s="992"/>
      <c r="N1953" s="992"/>
      <c r="O1953" s="993"/>
    </row>
    <row r="1954" spans="1:15" ht="12.75" customHeight="1" x14ac:dyDescent="0.25">
      <c r="A1954" s="67" t="s">
        <v>1176</v>
      </c>
      <c r="B1954" s="577"/>
      <c r="C1954" s="577"/>
      <c r="D1954" s="577"/>
      <c r="E1954" s="577"/>
      <c r="F1954" s="992"/>
      <c r="G1954" s="992"/>
      <c r="H1954" s="992"/>
      <c r="I1954" s="992"/>
      <c r="J1954" s="992"/>
      <c r="K1954" s="992"/>
      <c r="L1954" s="992"/>
      <c r="M1954" s="992"/>
      <c r="N1954" s="992"/>
      <c r="O1954" s="993"/>
    </row>
    <row r="1955" spans="1:15" ht="12.75" customHeight="1" x14ac:dyDescent="0.25">
      <c r="A1955" s="67" t="s">
        <v>1367</v>
      </c>
      <c r="B1955" s="577"/>
      <c r="C1955" s="577"/>
      <c r="D1955" s="577"/>
      <c r="E1955" s="577"/>
      <c r="F1955" s="992"/>
      <c r="G1955" s="992"/>
      <c r="H1955" s="992"/>
      <c r="I1955" s="992"/>
      <c r="J1955" s="992"/>
      <c r="K1955" s="992"/>
      <c r="L1955" s="992"/>
      <c r="M1955" s="992"/>
      <c r="N1955" s="992"/>
      <c r="O1955" s="993"/>
    </row>
    <row r="1956" spans="1:15" x14ac:dyDescent="0.25">
      <c r="A1956" s="69" t="s">
        <v>1368</v>
      </c>
      <c r="B1956" s="73"/>
      <c r="C1956" s="73"/>
      <c r="D1956" s="73"/>
      <c r="E1956" s="73"/>
      <c r="F1956" s="685"/>
      <c r="G1956" s="685"/>
      <c r="H1956" s="685"/>
      <c r="I1956" s="685"/>
      <c r="J1956" s="685"/>
      <c r="K1956" s="685"/>
      <c r="L1956" s="685"/>
      <c r="M1956" s="685"/>
      <c r="N1956" s="685"/>
      <c r="O1956" s="675"/>
    </row>
    <row r="1957" spans="1:15" x14ac:dyDescent="0.25">
      <c r="C1957" s="169"/>
    </row>
    <row r="1958" spans="1:15" x14ac:dyDescent="0.25">
      <c r="A1958" s="8" t="s">
        <v>14</v>
      </c>
      <c r="B1958" s="9" t="s">
        <v>74</v>
      </c>
      <c r="C1958" s="169"/>
    </row>
    <row r="1959" spans="1:15" x14ac:dyDescent="0.25">
      <c r="A1959" s="72" t="s">
        <v>16</v>
      </c>
      <c r="B1959" s="333">
        <v>2024</v>
      </c>
      <c r="C1959" s="248">
        <v>2025</v>
      </c>
      <c r="D1959" s="248">
        <v>2026</v>
      </c>
    </row>
    <row r="1960" spans="1:15" x14ac:dyDescent="0.25">
      <c r="A1960" s="28" t="s">
        <v>17</v>
      </c>
      <c r="B1960" s="30">
        <v>50.5</v>
      </c>
      <c r="C1960" s="30">
        <v>50.5</v>
      </c>
      <c r="D1960" s="30">
        <v>50.5</v>
      </c>
    </row>
    <row r="1961" spans="1:15" x14ac:dyDescent="0.25">
      <c r="A1961" s="28" t="s">
        <v>18</v>
      </c>
      <c r="B1961" s="30"/>
      <c r="C1961" s="249">
        <f>C1960+B1964</f>
        <v>49.84</v>
      </c>
      <c r="D1961" s="249">
        <f>D1960+C1964</f>
        <v>54.620000000000005</v>
      </c>
    </row>
    <row r="1962" spans="1:15" x14ac:dyDescent="0.25">
      <c r="A1962" s="28" t="s">
        <v>19</v>
      </c>
      <c r="B1962" s="212"/>
      <c r="C1962" s="578" t="s">
        <v>399</v>
      </c>
      <c r="D1962" s="578" t="s">
        <v>400</v>
      </c>
    </row>
    <row r="1963" spans="1:15" x14ac:dyDescent="0.25">
      <c r="A1963" s="28" t="s">
        <v>20</v>
      </c>
      <c r="B1963" s="212">
        <v>51.16</v>
      </c>
      <c r="C1963" s="579">
        <v>45.72</v>
      </c>
      <c r="D1963" s="580"/>
    </row>
    <row r="1964" spans="1:15" x14ac:dyDescent="0.25">
      <c r="A1964" s="28" t="s">
        <v>21</v>
      </c>
      <c r="B1964" s="159">
        <f>B1960-B1963</f>
        <v>-0.65999999999999659</v>
      </c>
      <c r="C1964" s="30">
        <f>C1961-C1963</f>
        <v>4.1200000000000045</v>
      </c>
      <c r="D1964" s="580"/>
    </row>
    <row r="1965" spans="1:15" x14ac:dyDescent="0.25">
      <c r="A1965" s="36" t="s">
        <v>22</v>
      </c>
      <c r="B1965" s="513"/>
      <c r="C1965" s="581"/>
      <c r="D1965" s="581"/>
    </row>
    <row r="1966" spans="1:15" x14ac:dyDescent="0.25">
      <c r="A1966" s="36" t="s">
        <v>179</v>
      </c>
      <c r="B1966" s="37"/>
      <c r="C1966" s="582"/>
      <c r="D1966" s="40"/>
    </row>
    <row r="1967" spans="1:15" x14ac:dyDescent="0.25">
      <c r="A1967" s="195" t="s">
        <v>1177</v>
      </c>
      <c r="B1967" s="37"/>
      <c r="C1967" s="582"/>
      <c r="D1967" s="40"/>
    </row>
    <row r="1968" spans="1:15" x14ac:dyDescent="0.25">
      <c r="A1968" s="69" t="s">
        <v>1252</v>
      </c>
      <c r="B1968" s="73" t="s">
        <v>1349</v>
      </c>
      <c r="C1968" s="242"/>
      <c r="D1968" s="45"/>
    </row>
    <row r="1970" spans="1:13" x14ac:dyDescent="0.25">
      <c r="A1970" s="8" t="s">
        <v>204</v>
      </c>
      <c r="B1970" s="9" t="s">
        <v>205</v>
      </c>
    </row>
    <row r="1971" spans="1:13" x14ac:dyDescent="0.25">
      <c r="A1971" s="8" t="s">
        <v>203</v>
      </c>
      <c r="B1971" s="9" t="s">
        <v>638</v>
      </c>
      <c r="C1971" s="27" t="s">
        <v>15</v>
      </c>
    </row>
    <row r="1972" spans="1:13" x14ac:dyDescent="0.25">
      <c r="A1972" s="29" t="s">
        <v>16</v>
      </c>
      <c r="B1972" s="29"/>
      <c r="C1972" s="29"/>
      <c r="D1972" s="210">
        <v>2018</v>
      </c>
      <c r="E1972" s="210">
        <v>2019</v>
      </c>
      <c r="F1972" s="770">
        <v>2020</v>
      </c>
      <c r="G1972" s="770">
        <v>2021</v>
      </c>
      <c r="H1972" s="770">
        <v>2022</v>
      </c>
      <c r="I1972" s="770">
        <v>2023</v>
      </c>
      <c r="J1972" s="770">
        <v>2024</v>
      </c>
      <c r="K1972" s="770">
        <v>2025</v>
      </c>
      <c r="L1972" s="770">
        <v>2026</v>
      </c>
      <c r="M1972" s="770">
        <v>2027</v>
      </c>
    </row>
    <row r="1973" spans="1:13" x14ac:dyDescent="0.25">
      <c r="A1973" s="29" t="s">
        <v>17</v>
      </c>
      <c r="B1973" s="30"/>
      <c r="C1973" s="30"/>
      <c r="D1973" s="30">
        <v>4400</v>
      </c>
      <c r="E1973" s="30">
        <v>4400</v>
      </c>
      <c r="F1973" s="47">
        <v>4400</v>
      </c>
      <c r="G1973" s="47">
        <v>4400</v>
      </c>
      <c r="H1973" s="47">
        <v>4400</v>
      </c>
      <c r="I1973" s="47">
        <v>5280</v>
      </c>
      <c r="J1973" s="47">
        <v>5280</v>
      </c>
      <c r="K1973" s="47">
        <v>5280</v>
      </c>
      <c r="L1973" s="47">
        <v>5280</v>
      </c>
      <c r="M1973" s="47">
        <v>5280</v>
      </c>
    </row>
    <row r="1974" spans="1:13" x14ac:dyDescent="0.25">
      <c r="A1974" s="29" t="s">
        <v>18</v>
      </c>
      <c r="B1974" s="30"/>
      <c r="C1974" s="30"/>
      <c r="D1974" s="30">
        <v>5500</v>
      </c>
      <c r="E1974" s="30">
        <f>E1973*1.25-900</f>
        <v>4600</v>
      </c>
      <c r="F1974" s="47">
        <f>F1973*1.25-600</f>
        <v>4900</v>
      </c>
      <c r="G1974" s="47">
        <f>G1973+E1977</f>
        <v>4597.134</v>
      </c>
      <c r="H1974" s="47">
        <f>H1973+F1977</f>
        <v>5274.0761000000002</v>
      </c>
      <c r="I1974" s="47">
        <f>I1973+G1977-100</f>
        <v>5854.6139999999996</v>
      </c>
      <c r="J1974" s="47">
        <f>J1973+0-100</f>
        <v>5180</v>
      </c>
      <c r="K1974" s="47">
        <f>1.25*I1973-100</f>
        <v>6500</v>
      </c>
      <c r="L1974" s="47">
        <v>5477.7</v>
      </c>
      <c r="M1974" s="47"/>
    </row>
    <row r="1975" spans="1:13" x14ac:dyDescent="0.25">
      <c r="A1975" s="28" t="s">
        <v>19</v>
      </c>
      <c r="B1975" s="340"/>
      <c r="C1975" s="30"/>
      <c r="D1975" s="30"/>
      <c r="E1975" s="30"/>
      <c r="F1975" s="47"/>
      <c r="G1975" s="47"/>
      <c r="H1975" s="47"/>
      <c r="I1975" s="47"/>
      <c r="J1975" s="47"/>
      <c r="K1975" s="47"/>
      <c r="L1975" s="47"/>
      <c r="M1975" s="47"/>
    </row>
    <row r="1976" spans="1:13" x14ac:dyDescent="0.25">
      <c r="A1976" s="28" t="s">
        <v>20</v>
      </c>
      <c r="B1976" s="30"/>
      <c r="C1976" s="30"/>
      <c r="D1976" s="30">
        <v>2572.5</v>
      </c>
      <c r="E1976" s="30">
        <v>4402.866</v>
      </c>
      <c r="F1976" s="47">
        <v>4025.9238999999998</v>
      </c>
      <c r="G1976" s="47">
        <v>3922.52</v>
      </c>
      <c r="H1976" s="47">
        <v>5586.99</v>
      </c>
      <c r="I1976" s="47">
        <v>2670.4437000000003</v>
      </c>
      <c r="J1976" s="47">
        <v>4882.3</v>
      </c>
      <c r="K1976" s="47"/>
      <c r="L1976" s="47"/>
      <c r="M1976" s="47"/>
    </row>
    <row r="1977" spans="1:13" x14ac:dyDescent="0.25">
      <c r="A1977" s="28" t="s">
        <v>21</v>
      </c>
      <c r="B1977" s="30"/>
      <c r="C1977" s="30"/>
      <c r="D1977" s="30">
        <f t="shared" ref="D1977:J1977" si="97">D1974-D1976</f>
        <v>2927.5</v>
      </c>
      <c r="E1977" s="30">
        <f t="shared" si="97"/>
        <v>197.13400000000001</v>
      </c>
      <c r="F1977" s="47">
        <f t="shared" si="97"/>
        <v>874.07610000000022</v>
      </c>
      <c r="G1977" s="47">
        <f t="shared" si="97"/>
        <v>674.61400000000003</v>
      </c>
      <c r="H1977" s="47">
        <f t="shared" si="97"/>
        <v>-312.91389999999956</v>
      </c>
      <c r="I1977" s="47">
        <f t="shared" si="97"/>
        <v>3184.1702999999993</v>
      </c>
      <c r="J1977" s="47">
        <f t="shared" si="97"/>
        <v>297.69999999999982</v>
      </c>
      <c r="K1977" s="47"/>
      <c r="L1977" s="47"/>
      <c r="M1977" s="47"/>
    </row>
    <row r="1978" spans="1:13" x14ac:dyDescent="0.25">
      <c r="A1978" s="34" t="s">
        <v>22</v>
      </c>
      <c r="B1978" s="35"/>
      <c r="C1978" s="35"/>
      <c r="D1978" s="215">
        <v>2020</v>
      </c>
      <c r="E1978" s="215">
        <v>2021</v>
      </c>
      <c r="F1978" s="257">
        <v>2022</v>
      </c>
      <c r="G1978" s="257">
        <v>2023</v>
      </c>
      <c r="H1978" s="257">
        <v>2024</v>
      </c>
      <c r="I1978" s="257">
        <v>2025</v>
      </c>
      <c r="J1978" s="257">
        <v>2026</v>
      </c>
      <c r="K1978" s="257">
        <v>2027</v>
      </c>
      <c r="L1978" s="257">
        <v>2027</v>
      </c>
      <c r="M1978" s="257">
        <v>2028</v>
      </c>
    </row>
    <row r="1979" spans="1:13" x14ac:dyDescent="0.25">
      <c r="A1979" s="36" t="s">
        <v>23</v>
      </c>
      <c r="B1979" s="37"/>
      <c r="C1979" s="37"/>
      <c r="D1979" s="238"/>
      <c r="E1979" s="238"/>
      <c r="F1979" s="784"/>
      <c r="G1979" s="784"/>
      <c r="H1979" s="784"/>
      <c r="I1979" s="784"/>
      <c r="J1979" s="784"/>
      <c r="K1979" s="784"/>
      <c r="L1979" s="784"/>
      <c r="M1979" s="785"/>
    </row>
    <row r="1980" spans="1:13" x14ac:dyDescent="0.25">
      <c r="A1980" s="36" t="s">
        <v>115</v>
      </c>
      <c r="B1980" s="37"/>
      <c r="C1980" s="37"/>
      <c r="D1980" s="37"/>
      <c r="E1980" s="37"/>
      <c r="F1980" s="669"/>
      <c r="G1980" s="669"/>
      <c r="H1980" s="669"/>
      <c r="I1980" s="669"/>
      <c r="J1980" s="669"/>
      <c r="K1980" s="669"/>
      <c r="L1980" s="669"/>
      <c r="M1980" s="672"/>
    </row>
    <row r="1981" spans="1:13" x14ac:dyDescent="0.25">
      <c r="A1981" s="64" t="s">
        <v>326</v>
      </c>
      <c r="M1981" s="684"/>
    </row>
    <row r="1982" spans="1:13" x14ac:dyDescent="0.25">
      <c r="A1982" s="64" t="s">
        <v>327</v>
      </c>
      <c r="M1982" s="684"/>
    </row>
    <row r="1983" spans="1:13" x14ac:dyDescent="0.25">
      <c r="A1983" s="64" t="s">
        <v>466</v>
      </c>
      <c r="M1983" s="684"/>
    </row>
    <row r="1984" spans="1:13" x14ac:dyDescent="0.25">
      <c r="A1984" s="64" t="s">
        <v>902</v>
      </c>
      <c r="M1984" s="684"/>
    </row>
    <row r="1985" spans="1:13" x14ac:dyDescent="0.25">
      <c r="A1985" s="64" t="s">
        <v>816</v>
      </c>
      <c r="M1985" s="684"/>
    </row>
    <row r="1986" spans="1:13" x14ac:dyDescent="0.25">
      <c r="A1986" s="64" t="s">
        <v>1049</v>
      </c>
      <c r="M1986" s="684"/>
    </row>
    <row r="1987" spans="1:13" x14ac:dyDescent="0.25">
      <c r="A1987" s="64" t="s">
        <v>1050</v>
      </c>
      <c r="M1987" s="684"/>
    </row>
    <row r="1988" spans="1:13" x14ac:dyDescent="0.25">
      <c r="A1988" s="64" t="s">
        <v>1178</v>
      </c>
      <c r="M1988" s="684"/>
    </row>
    <row r="1989" spans="1:13" x14ac:dyDescent="0.25">
      <c r="A1989" s="69"/>
      <c r="B1989" s="73"/>
      <c r="C1989" s="73"/>
      <c r="D1989" s="73"/>
      <c r="E1989" s="73"/>
      <c r="F1989" s="685"/>
      <c r="G1989" s="685"/>
      <c r="H1989" s="685"/>
      <c r="I1989" s="685"/>
      <c r="J1989" s="685"/>
      <c r="K1989" s="685"/>
      <c r="L1989" s="685"/>
      <c r="M1989" s="675"/>
    </row>
    <row r="1991" spans="1:13" x14ac:dyDescent="0.25">
      <c r="A1991" s="8" t="s">
        <v>203</v>
      </c>
      <c r="B1991" s="9" t="s">
        <v>641</v>
      </c>
      <c r="C1991" s="27" t="s">
        <v>15</v>
      </c>
    </row>
    <row r="1992" spans="1:13" x14ac:dyDescent="0.25">
      <c r="A1992" s="29" t="s">
        <v>16</v>
      </c>
      <c r="B1992" s="29"/>
      <c r="C1992" s="210">
        <v>2016</v>
      </c>
      <c r="D1992" s="210">
        <v>2017</v>
      </c>
      <c r="E1992" s="210">
        <v>2018</v>
      </c>
      <c r="F1992" s="770">
        <v>2019</v>
      </c>
      <c r="G1992" s="770">
        <v>2020</v>
      </c>
      <c r="H1992" s="770">
        <v>2021</v>
      </c>
      <c r="I1992" s="770">
        <v>2022</v>
      </c>
      <c r="J1992" s="770">
        <v>2023</v>
      </c>
      <c r="K1992" s="770">
        <v>2024</v>
      </c>
      <c r="L1992" s="770">
        <v>2025</v>
      </c>
    </row>
    <row r="1993" spans="1:13" x14ac:dyDescent="0.25">
      <c r="A1993" s="29" t="s">
        <v>17</v>
      </c>
      <c r="B1993" s="30"/>
      <c r="C1993" s="30">
        <v>1001</v>
      </c>
      <c r="D1993" s="30">
        <v>1001</v>
      </c>
      <c r="E1993" s="30">
        <v>1001</v>
      </c>
      <c r="F1993" s="47">
        <v>1001</v>
      </c>
      <c r="G1993" s="47">
        <v>1001</v>
      </c>
      <c r="H1993" s="47">
        <v>1001</v>
      </c>
      <c r="I1993" s="47">
        <v>1001</v>
      </c>
      <c r="J1993" s="47">
        <v>1001</v>
      </c>
      <c r="K1993" s="47">
        <v>1001</v>
      </c>
      <c r="L1993" s="47">
        <v>1001</v>
      </c>
    </row>
    <row r="1994" spans="1:13" x14ac:dyDescent="0.25">
      <c r="A1994" s="29" t="s">
        <v>18</v>
      </c>
      <c r="B1994" s="30"/>
      <c r="C1994" s="30">
        <f>C1993*1.3-50</f>
        <v>1251.3</v>
      </c>
      <c r="D1994" s="30">
        <f>D1993*1.3-50</f>
        <v>1251.3</v>
      </c>
      <c r="E1994" s="30">
        <f>E1993*1.2-50</f>
        <v>1151.2</v>
      </c>
      <c r="F1994" s="47">
        <f>F1993*1.2-50</f>
        <v>1151.2</v>
      </c>
      <c r="G1994" s="47">
        <f>G1993*1.2-50</f>
        <v>1151.2</v>
      </c>
      <c r="H1994" s="47">
        <f>H1993*1.2-50</f>
        <v>1151.2</v>
      </c>
      <c r="I1994" s="47">
        <f>I1993*1.2-50</f>
        <v>1151.2</v>
      </c>
      <c r="J1994" s="47">
        <f>J1993*1.1-50</f>
        <v>1051.1000000000001</v>
      </c>
      <c r="K1994" s="47">
        <f>K1993*1.1-50</f>
        <v>1051.1000000000001</v>
      </c>
      <c r="L1994" s="47">
        <f>L1993*1.1</f>
        <v>1101.1000000000001</v>
      </c>
    </row>
    <row r="1995" spans="1:13" x14ac:dyDescent="0.25">
      <c r="A1995" s="28" t="s">
        <v>19</v>
      </c>
      <c r="B1995" s="340"/>
      <c r="C1995" s="319" t="s">
        <v>467</v>
      </c>
      <c r="D1995" s="319" t="s">
        <v>467</v>
      </c>
      <c r="E1995" s="319" t="s">
        <v>468</v>
      </c>
      <c r="F1995" s="837" t="s">
        <v>468</v>
      </c>
      <c r="G1995" s="837" t="s">
        <v>468</v>
      </c>
      <c r="H1995" s="837" t="s">
        <v>468</v>
      </c>
      <c r="I1995" s="837" t="s">
        <v>468</v>
      </c>
      <c r="J1995" s="837" t="s">
        <v>1051</v>
      </c>
      <c r="K1995" s="837" t="s">
        <v>1051</v>
      </c>
      <c r="L1995" s="837" t="s">
        <v>1284</v>
      </c>
    </row>
    <row r="1996" spans="1:13" x14ac:dyDescent="0.25">
      <c r="A1996" s="28" t="s">
        <v>20</v>
      </c>
      <c r="B1996" s="30"/>
      <c r="C1996" s="30">
        <v>124.4</v>
      </c>
      <c r="D1996" s="30">
        <v>159</v>
      </c>
      <c r="E1996" s="30">
        <v>188.7</v>
      </c>
      <c r="F1996" s="47">
        <v>288.56359999999995</v>
      </c>
      <c r="G1996" s="47">
        <v>149.46553</v>
      </c>
      <c r="H1996" s="46">
        <v>228.99</v>
      </c>
      <c r="I1996" s="46">
        <v>160.58000000000001</v>
      </c>
      <c r="J1996" s="46">
        <v>291.24200000000002</v>
      </c>
      <c r="K1996" s="46">
        <v>291.10000000000002</v>
      </c>
      <c r="L1996" s="46"/>
    </row>
    <row r="1997" spans="1:13" x14ac:dyDescent="0.25">
      <c r="A1997" s="28" t="s">
        <v>21</v>
      </c>
      <c r="B1997" s="30"/>
      <c r="C1997" s="30">
        <f t="shared" ref="C1997:K1997" si="98">C1994-C1996</f>
        <v>1126.8999999999999</v>
      </c>
      <c r="D1997" s="30">
        <f t="shared" si="98"/>
        <v>1092.3</v>
      </c>
      <c r="E1997" s="30">
        <f t="shared" si="98"/>
        <v>962.5</v>
      </c>
      <c r="F1997" s="47">
        <f t="shared" si="98"/>
        <v>862.63640000000009</v>
      </c>
      <c r="G1997" s="47">
        <f t="shared" si="98"/>
        <v>1001.7344700000001</v>
      </c>
      <c r="H1997" s="47">
        <f t="shared" si="98"/>
        <v>922.21</v>
      </c>
      <c r="I1997" s="47">
        <f t="shared" si="98"/>
        <v>990.62</v>
      </c>
      <c r="J1997" s="47">
        <f t="shared" si="98"/>
        <v>759.85800000000017</v>
      </c>
      <c r="K1997" s="47">
        <f t="shared" si="98"/>
        <v>760.00000000000011</v>
      </c>
      <c r="L1997" s="47">
        <f t="shared" ref="L1997" si="99">L1994-L1996</f>
        <v>1101.1000000000001</v>
      </c>
    </row>
    <row r="1998" spans="1:13" x14ac:dyDescent="0.25">
      <c r="A1998" s="34" t="s">
        <v>22</v>
      </c>
      <c r="B1998" s="35"/>
      <c r="C1998" s="215">
        <v>2018</v>
      </c>
      <c r="D1998" s="215">
        <v>2019</v>
      </c>
      <c r="E1998" s="215">
        <v>2020</v>
      </c>
      <c r="F1998" s="257">
        <v>2021</v>
      </c>
      <c r="G1998" s="257">
        <v>2022</v>
      </c>
      <c r="H1998" s="257">
        <v>2023</v>
      </c>
      <c r="I1998" s="257">
        <v>2024</v>
      </c>
      <c r="J1998" s="257">
        <v>2025</v>
      </c>
      <c r="K1998" s="257">
        <v>2026</v>
      </c>
      <c r="L1998" s="257">
        <v>2027</v>
      </c>
    </row>
    <row r="1999" spans="1:13" x14ac:dyDescent="0.25">
      <c r="A1999" s="35" t="s">
        <v>23</v>
      </c>
      <c r="B1999" s="34"/>
      <c r="C1999" s="107"/>
      <c r="D1999" s="107"/>
      <c r="E1999" s="107"/>
      <c r="F1999" s="712"/>
      <c r="G1999" s="712"/>
      <c r="H1999" s="713"/>
      <c r="I1999" s="713"/>
      <c r="J1999" s="713"/>
      <c r="K1999" s="713"/>
      <c r="L1999" s="713"/>
    </row>
    <row r="2000" spans="1:13" x14ac:dyDescent="0.25">
      <c r="A2000" s="583" t="s">
        <v>455</v>
      </c>
      <c r="B2000" s="584"/>
      <c r="C2000" s="584"/>
      <c r="D2000" s="584"/>
      <c r="E2000" s="584"/>
      <c r="F2000" s="711"/>
      <c r="G2000" s="711"/>
      <c r="H2000" s="712"/>
      <c r="I2000" s="712"/>
      <c r="J2000" s="713"/>
      <c r="K2000" s="713"/>
      <c r="L2000" s="713"/>
    </row>
    <row r="2001" spans="1:13" x14ac:dyDescent="0.25">
      <c r="A2001" s="64" t="s">
        <v>454</v>
      </c>
      <c r="J2001" s="684"/>
      <c r="K2001" s="684"/>
      <c r="L2001" s="684"/>
    </row>
    <row r="2002" spans="1:13" x14ac:dyDescent="0.25">
      <c r="A2002" s="64" t="s">
        <v>833</v>
      </c>
      <c r="J2002" s="684"/>
      <c r="K2002" s="684"/>
      <c r="L2002" s="684"/>
    </row>
    <row r="2003" spans="1:13" x14ac:dyDescent="0.25">
      <c r="A2003" s="72" t="s">
        <v>1179</v>
      </c>
      <c r="B2003" s="73"/>
      <c r="C2003" s="73"/>
      <c r="D2003" s="73"/>
      <c r="E2003" s="73"/>
      <c r="F2003" s="685"/>
      <c r="G2003" s="685"/>
      <c r="H2003" s="685"/>
      <c r="I2003" s="685"/>
      <c r="J2003" s="675"/>
      <c r="K2003" s="675"/>
      <c r="L2003" s="675"/>
    </row>
    <row r="2006" spans="1:13" x14ac:dyDescent="0.25">
      <c r="A2006" s="8" t="s">
        <v>12</v>
      </c>
      <c r="B2006" s="9" t="s">
        <v>13</v>
      </c>
    </row>
    <row r="2007" spans="1:13" x14ac:dyDescent="0.25">
      <c r="A2007" s="8" t="s">
        <v>14</v>
      </c>
      <c r="B2007" s="9" t="s">
        <v>642</v>
      </c>
      <c r="C2007" s="27" t="s">
        <v>15</v>
      </c>
    </row>
    <row r="2008" spans="1:13" x14ac:dyDescent="0.25">
      <c r="A2008" s="28" t="s">
        <v>16</v>
      </c>
      <c r="B2008" s="29"/>
      <c r="C2008" s="585">
        <v>2016</v>
      </c>
      <c r="D2008" s="586">
        <v>2017</v>
      </c>
      <c r="E2008" s="585">
        <v>2018</v>
      </c>
      <c r="F2008" s="994">
        <v>2019</v>
      </c>
      <c r="G2008" s="994">
        <v>2020</v>
      </c>
      <c r="H2008" s="994">
        <v>2021</v>
      </c>
      <c r="I2008" s="994">
        <v>2022</v>
      </c>
      <c r="J2008" s="994">
        <v>2023</v>
      </c>
      <c r="K2008" s="994">
        <v>2024</v>
      </c>
      <c r="L2008" s="994">
        <v>2025</v>
      </c>
      <c r="M2008" s="994">
        <v>2026</v>
      </c>
    </row>
    <row r="2009" spans="1:13" x14ac:dyDescent="0.25">
      <c r="A2009" s="28" t="s">
        <v>17</v>
      </c>
      <c r="B2009" s="29"/>
      <c r="C2009" s="30">
        <v>47.4</v>
      </c>
      <c r="D2009" s="250">
        <v>56.91</v>
      </c>
      <c r="E2009" s="30">
        <v>66</v>
      </c>
      <c r="F2009" s="795">
        <v>73</v>
      </c>
      <c r="G2009" s="795">
        <v>80</v>
      </c>
      <c r="H2009" s="795">
        <v>80</v>
      </c>
      <c r="I2009" s="795">
        <v>80</v>
      </c>
      <c r="J2009" s="795">
        <v>129</v>
      </c>
      <c r="K2009" s="795">
        <v>129</v>
      </c>
      <c r="L2009" s="795">
        <v>129</v>
      </c>
      <c r="M2009" s="795">
        <v>238</v>
      </c>
    </row>
    <row r="2010" spans="1:13" x14ac:dyDescent="0.25">
      <c r="A2010" s="28" t="s">
        <v>18</v>
      </c>
      <c r="B2010" s="29"/>
      <c r="C2010" s="30">
        <v>47.4</v>
      </c>
      <c r="D2010" s="250">
        <v>56.91</v>
      </c>
      <c r="E2010" s="30">
        <v>66</v>
      </c>
      <c r="F2010" s="795">
        <v>73</v>
      </c>
      <c r="G2010" s="795">
        <v>80</v>
      </c>
      <c r="H2010" s="795">
        <v>0.8</v>
      </c>
      <c r="I2010" s="795">
        <v>80</v>
      </c>
      <c r="J2010" s="795">
        <v>1</v>
      </c>
      <c r="K2010" s="795">
        <v>1</v>
      </c>
      <c r="L2010" s="795">
        <v>1</v>
      </c>
      <c r="M2010" s="795"/>
    </row>
    <row r="2011" spans="1:13" x14ac:dyDescent="0.25">
      <c r="A2011" s="28" t="s">
        <v>19</v>
      </c>
      <c r="B2011" s="29"/>
      <c r="C2011" s="30"/>
      <c r="D2011" s="250"/>
      <c r="E2011" s="30"/>
      <c r="F2011" s="795"/>
      <c r="G2011" s="795"/>
      <c r="H2011" s="995" t="s">
        <v>543</v>
      </c>
      <c r="I2011" s="995"/>
      <c r="J2011" s="995" t="s">
        <v>544</v>
      </c>
      <c r="K2011" s="995" t="s">
        <v>545</v>
      </c>
      <c r="L2011" s="995" t="s">
        <v>548</v>
      </c>
      <c r="M2011" s="995" t="s">
        <v>550</v>
      </c>
    </row>
    <row r="2012" spans="1:13" x14ac:dyDescent="0.25">
      <c r="A2012" s="28" t="s">
        <v>20</v>
      </c>
      <c r="B2012" s="29"/>
      <c r="C2012" s="30">
        <v>47.393000000000001</v>
      </c>
      <c r="D2012" s="250">
        <v>56.905999999999999</v>
      </c>
      <c r="E2012" s="30">
        <v>66</v>
      </c>
      <c r="F2012" s="795">
        <v>71.97</v>
      </c>
      <c r="G2012" s="795">
        <v>79.2</v>
      </c>
      <c r="H2012" s="795"/>
      <c r="I2012" s="795">
        <v>79.2</v>
      </c>
      <c r="J2012" s="795"/>
      <c r="K2012" s="795">
        <v>0</v>
      </c>
      <c r="L2012" s="795"/>
      <c r="M2012" s="795"/>
    </row>
    <row r="2013" spans="1:13" x14ac:dyDescent="0.25">
      <c r="A2013" s="28" t="s">
        <v>21</v>
      </c>
      <c r="B2013" s="29"/>
      <c r="C2013" s="30">
        <f>C2010-C2012</f>
        <v>6.9999999999978968E-3</v>
      </c>
      <c r="D2013" s="30">
        <f>D2010-D2012</f>
        <v>3.9999999999977831E-3</v>
      </c>
      <c r="E2013" s="30">
        <f>E2010-E2012</f>
        <v>0</v>
      </c>
      <c r="F2013" s="47">
        <f>F2010-F2012</f>
        <v>1.0300000000000011</v>
      </c>
      <c r="G2013" s="795">
        <f>G2010-G2012</f>
        <v>0.79999999999999716</v>
      </c>
      <c r="H2013" s="795"/>
      <c r="I2013" s="795">
        <v>0.79999999999999716</v>
      </c>
      <c r="J2013" s="795">
        <v>0</v>
      </c>
      <c r="K2013" s="795">
        <f>K2010-K2012</f>
        <v>1</v>
      </c>
      <c r="L2013" s="795"/>
      <c r="M2013" s="795"/>
    </row>
    <row r="2014" spans="1:13" x14ac:dyDescent="0.25">
      <c r="A2014" s="34" t="s">
        <v>22</v>
      </c>
      <c r="B2014" s="35"/>
      <c r="C2014" s="35"/>
      <c r="D2014" s="107"/>
      <c r="E2014" s="35"/>
      <c r="F2014" s="713"/>
      <c r="G2014" s="49"/>
      <c r="H2014" s="49"/>
      <c r="I2014" s="49"/>
      <c r="J2014" s="49"/>
      <c r="K2014" s="49">
        <v>2025</v>
      </c>
      <c r="L2014" s="49">
        <v>2026</v>
      </c>
      <c r="M2014" s="49">
        <v>2027</v>
      </c>
    </row>
    <row r="2015" spans="1:13" x14ac:dyDescent="0.25">
      <c r="A2015" s="50" t="s">
        <v>23</v>
      </c>
      <c r="B2015" s="51"/>
      <c r="C2015" s="51"/>
      <c r="D2015" s="51"/>
      <c r="E2015" s="51"/>
      <c r="F2015" s="676"/>
      <c r="G2015" s="676"/>
      <c r="H2015" s="676"/>
      <c r="I2015" s="676"/>
      <c r="J2015" s="676"/>
      <c r="K2015" s="676"/>
      <c r="L2015" s="676"/>
      <c r="M2015" s="717"/>
    </row>
    <row r="2016" spans="1:13" x14ac:dyDescent="0.25">
      <c r="A2016" s="64" t="s">
        <v>946</v>
      </c>
      <c r="M2016" s="684"/>
    </row>
    <row r="2017" spans="1:14" x14ac:dyDescent="0.25">
      <c r="A2017" s="64" t="s">
        <v>947</v>
      </c>
      <c r="M2017" s="684"/>
    </row>
    <row r="2018" spans="1:14" x14ac:dyDescent="0.25">
      <c r="A2018" s="72" t="s">
        <v>948</v>
      </c>
      <c r="B2018" s="73"/>
      <c r="C2018" s="73"/>
      <c r="D2018" s="73"/>
      <c r="E2018" s="73"/>
      <c r="F2018" s="685"/>
      <c r="G2018" s="685"/>
      <c r="H2018" s="685"/>
      <c r="I2018" s="685"/>
      <c r="J2018" s="685"/>
      <c r="K2018" s="685"/>
      <c r="L2018" s="685"/>
      <c r="M2018" s="675"/>
    </row>
    <row r="2021" spans="1:14" x14ac:dyDescent="0.25">
      <c r="A2021" s="8" t="s">
        <v>12</v>
      </c>
      <c r="B2021" s="9" t="s">
        <v>172</v>
      </c>
    </row>
    <row r="2022" spans="1:14" x14ac:dyDescent="0.25">
      <c r="A2022" s="8" t="s">
        <v>14</v>
      </c>
      <c r="B2022" s="587" t="s">
        <v>623</v>
      </c>
      <c r="C2022" s="588" t="s">
        <v>15</v>
      </c>
    </row>
    <row r="2023" spans="1:14" x14ac:dyDescent="0.25">
      <c r="A2023" s="28" t="s">
        <v>16</v>
      </c>
      <c r="B2023" s="29"/>
      <c r="C2023" s="29"/>
      <c r="D2023" s="29"/>
      <c r="E2023" s="29"/>
      <c r="F2023" s="770">
        <v>2018</v>
      </c>
      <c r="G2023" s="770">
        <v>2019</v>
      </c>
      <c r="H2023" s="770">
        <v>2020</v>
      </c>
      <c r="I2023" s="770">
        <v>2021</v>
      </c>
      <c r="J2023" s="770">
        <v>2022</v>
      </c>
      <c r="K2023" s="770">
        <v>2023</v>
      </c>
      <c r="L2023" s="770">
        <v>2024</v>
      </c>
      <c r="M2023" s="770">
        <v>2025</v>
      </c>
      <c r="N2023" s="770">
        <v>2026</v>
      </c>
    </row>
    <row r="2024" spans="1:14" x14ac:dyDescent="0.25">
      <c r="A2024" s="28" t="s">
        <v>17</v>
      </c>
      <c r="B2024" s="29"/>
      <c r="C2024" s="30"/>
      <c r="D2024" s="30"/>
      <c r="E2024" s="30"/>
      <c r="F2024" s="47">
        <v>125</v>
      </c>
      <c r="G2024" s="47">
        <v>125</v>
      </c>
      <c r="H2024" s="47">
        <v>125</v>
      </c>
      <c r="I2024" s="47">
        <v>125</v>
      </c>
      <c r="J2024" s="47">
        <v>125</v>
      </c>
      <c r="K2024" s="47">
        <v>125</v>
      </c>
      <c r="L2024" s="47">
        <v>125</v>
      </c>
      <c r="M2024" s="47">
        <v>125</v>
      </c>
      <c r="N2024" s="47">
        <v>125</v>
      </c>
    </row>
    <row r="2025" spans="1:14" x14ac:dyDescent="0.25">
      <c r="A2025" s="28" t="s">
        <v>18</v>
      </c>
      <c r="B2025" s="29"/>
      <c r="C2025" s="30"/>
      <c r="D2025" s="30"/>
      <c r="E2025" s="30"/>
      <c r="F2025" s="47">
        <v>100</v>
      </c>
      <c r="G2025" s="47">
        <v>100</v>
      </c>
      <c r="H2025" s="47">
        <f>H2024*1.4-100</f>
        <v>75</v>
      </c>
      <c r="I2025" s="47">
        <v>75</v>
      </c>
      <c r="J2025" s="47">
        <v>75</v>
      </c>
      <c r="K2025" s="47">
        <v>75</v>
      </c>
      <c r="L2025" s="47">
        <v>75</v>
      </c>
      <c r="M2025" s="47">
        <v>75</v>
      </c>
      <c r="N2025" s="47">
        <v>75</v>
      </c>
    </row>
    <row r="2026" spans="1:14" x14ac:dyDescent="0.25">
      <c r="A2026" s="28" t="s">
        <v>19</v>
      </c>
      <c r="B2026" s="29"/>
      <c r="C2026" s="30"/>
      <c r="D2026" s="30"/>
      <c r="E2026" s="30"/>
      <c r="F2026" s="47">
        <f>F2024*1.4-(75)</f>
        <v>100</v>
      </c>
      <c r="G2026" s="47">
        <f>G2024*1.4-(75)</f>
        <v>100</v>
      </c>
      <c r="H2026" s="47">
        <v>75</v>
      </c>
      <c r="I2026" s="47">
        <v>75</v>
      </c>
      <c r="J2026" s="47">
        <v>75</v>
      </c>
      <c r="K2026" s="47">
        <v>75</v>
      </c>
      <c r="L2026" s="47">
        <f>L2024+0.4*K2024-75-25</f>
        <v>75</v>
      </c>
      <c r="M2026" s="47"/>
      <c r="N2026" s="47"/>
    </row>
    <row r="2027" spans="1:14" x14ac:dyDescent="0.25">
      <c r="A2027" s="28" t="s">
        <v>20</v>
      </c>
      <c r="B2027" s="29"/>
      <c r="C2027" s="30"/>
      <c r="D2027" s="30"/>
      <c r="E2027" s="30"/>
      <c r="F2027" s="47">
        <v>3</v>
      </c>
      <c r="G2027" s="47">
        <v>5.91</v>
      </c>
      <c r="H2027" s="47">
        <v>7.76</v>
      </c>
      <c r="I2027" s="47">
        <v>6.2</v>
      </c>
      <c r="J2027" s="47">
        <v>6.06</v>
      </c>
      <c r="K2027" s="47">
        <v>0.95</v>
      </c>
      <c r="L2027" s="668">
        <v>4.09</v>
      </c>
      <c r="M2027" s="668"/>
      <c r="N2027" s="668"/>
    </row>
    <row r="2028" spans="1:14" x14ac:dyDescent="0.25">
      <c r="A2028" s="28" t="s">
        <v>21</v>
      </c>
      <c r="B2028" s="29"/>
      <c r="C2028" s="30"/>
      <c r="D2028" s="30"/>
      <c r="E2028" s="30"/>
      <c r="F2028" s="47">
        <f>F2025-F2027</f>
        <v>97</v>
      </c>
      <c r="G2028" s="47">
        <f>G2025-G2027</f>
        <v>94.09</v>
      </c>
      <c r="H2028" s="47">
        <v>67.239999999999995</v>
      </c>
      <c r="I2028" s="47">
        <f>I2025-I2027</f>
        <v>68.8</v>
      </c>
      <c r="J2028" s="47">
        <f>J2025-J2027</f>
        <v>68.94</v>
      </c>
      <c r="K2028" s="47">
        <f>K2025-K2027</f>
        <v>74.05</v>
      </c>
      <c r="L2028" s="47">
        <f>L2025-L2027</f>
        <v>70.91</v>
      </c>
      <c r="M2028" s="47">
        <f>M2025-M2027</f>
        <v>75</v>
      </c>
      <c r="N2028" s="47"/>
    </row>
    <row r="2029" spans="1:14" x14ac:dyDescent="0.25">
      <c r="A2029" s="34" t="s">
        <v>22</v>
      </c>
      <c r="B2029" s="35"/>
      <c r="C2029" s="35"/>
      <c r="D2029" s="35"/>
      <c r="E2029" s="35"/>
      <c r="F2029" s="257">
        <v>2019</v>
      </c>
      <c r="G2029" s="257">
        <v>2020</v>
      </c>
      <c r="H2029" s="257">
        <v>2021</v>
      </c>
      <c r="I2029" s="257">
        <v>2022</v>
      </c>
      <c r="J2029" s="257">
        <v>2023</v>
      </c>
      <c r="K2029" s="257">
        <v>2024</v>
      </c>
      <c r="L2029" s="257">
        <v>2025</v>
      </c>
      <c r="M2029" s="257">
        <v>2026</v>
      </c>
      <c r="N2029" s="257">
        <v>2027</v>
      </c>
    </row>
    <row r="2030" spans="1:14" ht="26.15" customHeight="1" x14ac:dyDescent="0.25">
      <c r="A2030" s="218" t="s">
        <v>662</v>
      </c>
      <c r="B2030" s="376"/>
      <c r="C2030" s="376"/>
      <c r="D2030" s="376"/>
      <c r="E2030" s="376"/>
      <c r="F2030" s="881"/>
      <c r="G2030" s="881"/>
      <c r="H2030" s="881"/>
      <c r="I2030" s="881"/>
      <c r="J2030" s="669"/>
      <c r="K2030" s="669"/>
      <c r="L2030" s="669"/>
      <c r="M2030" s="669"/>
      <c r="N2030" s="672"/>
    </row>
    <row r="2031" spans="1:14" ht="34.4" customHeight="1" x14ac:dyDescent="0.25">
      <c r="A2031" s="219" t="s">
        <v>260</v>
      </c>
      <c r="B2031" s="7"/>
      <c r="C2031" s="7"/>
      <c r="D2031" s="7"/>
      <c r="E2031" s="7"/>
      <c r="F2031" s="378"/>
      <c r="G2031" s="378"/>
      <c r="H2031" s="378"/>
      <c r="I2031" s="378"/>
      <c r="N2031" s="684"/>
    </row>
    <row r="2032" spans="1:14" ht="27.65" customHeight="1" x14ac:dyDescent="0.25">
      <c r="A2032" s="219" t="s">
        <v>521</v>
      </c>
      <c r="B2032" s="7"/>
      <c r="C2032" s="7"/>
      <c r="D2032" s="7"/>
      <c r="E2032" s="7"/>
      <c r="F2032" s="378"/>
      <c r="G2032" s="378"/>
      <c r="H2032" s="378"/>
      <c r="I2032" s="378"/>
      <c r="N2032" s="684"/>
    </row>
    <row r="2033" spans="1:14" ht="27.65" customHeight="1" x14ac:dyDescent="0.25">
      <c r="A2033" s="219" t="s">
        <v>522</v>
      </c>
      <c r="B2033" s="7"/>
      <c r="C2033" s="7"/>
      <c r="D2033" s="7"/>
      <c r="E2033" s="7"/>
      <c r="F2033" s="378"/>
      <c r="G2033" s="378"/>
      <c r="H2033" s="378"/>
      <c r="I2033" s="378"/>
      <c r="N2033" s="684"/>
    </row>
    <row r="2034" spans="1:14" ht="27.65" customHeight="1" x14ac:dyDescent="0.25">
      <c r="A2034" s="219" t="s">
        <v>661</v>
      </c>
      <c r="N2034" s="684"/>
    </row>
    <row r="2035" spans="1:14" ht="27.65" customHeight="1" x14ac:dyDescent="0.25">
      <c r="A2035" s="219" t="s">
        <v>845</v>
      </c>
      <c r="N2035" s="684"/>
    </row>
    <row r="2036" spans="1:14" ht="30" customHeight="1" x14ac:dyDescent="0.25">
      <c r="A2036" s="297" t="s">
        <v>1054</v>
      </c>
      <c r="B2036" s="73"/>
      <c r="C2036" s="73"/>
      <c r="D2036" s="73"/>
      <c r="E2036" s="73"/>
      <c r="F2036" s="685"/>
      <c r="G2036" s="685"/>
      <c r="H2036" s="685"/>
      <c r="I2036" s="685"/>
      <c r="J2036" s="685"/>
      <c r="K2036" s="685"/>
      <c r="L2036" s="685"/>
      <c r="M2036" s="685"/>
      <c r="N2036" s="675"/>
    </row>
    <row r="2038" spans="1:14" x14ac:dyDescent="0.25">
      <c r="A2038" s="8" t="s">
        <v>14</v>
      </c>
      <c r="B2038" s="534" t="s">
        <v>74</v>
      </c>
      <c r="C2038" s="9" t="s">
        <v>15</v>
      </c>
    </row>
    <row r="2039" spans="1:14" x14ac:dyDescent="0.25">
      <c r="A2039" s="72" t="s">
        <v>16</v>
      </c>
      <c r="B2039" s="533"/>
      <c r="C2039" s="210">
        <v>2015</v>
      </c>
      <c r="D2039" s="210">
        <v>2016</v>
      </c>
      <c r="E2039" s="210">
        <v>2017</v>
      </c>
      <c r="F2039" s="770">
        <v>2018</v>
      </c>
      <c r="G2039" s="770">
        <v>2019</v>
      </c>
      <c r="H2039" s="770">
        <v>2020</v>
      </c>
      <c r="I2039" s="770">
        <v>2021</v>
      </c>
      <c r="J2039" s="770">
        <v>2022</v>
      </c>
      <c r="K2039" s="770">
        <v>2023</v>
      </c>
      <c r="L2039" s="770">
        <v>2024</v>
      </c>
      <c r="M2039" s="770">
        <v>2025</v>
      </c>
      <c r="N2039" s="770">
        <v>2026</v>
      </c>
    </row>
    <row r="2040" spans="1:14" x14ac:dyDescent="0.25">
      <c r="A2040" s="28" t="s">
        <v>17</v>
      </c>
      <c r="B2040" s="334"/>
      <c r="C2040" s="334">
        <v>20</v>
      </c>
      <c r="D2040" s="334">
        <v>20</v>
      </c>
      <c r="E2040" s="334">
        <v>20</v>
      </c>
      <c r="F2040" s="844">
        <v>20</v>
      </c>
      <c r="G2040" s="844">
        <v>20</v>
      </c>
      <c r="H2040" s="861">
        <v>16.8</v>
      </c>
      <c r="I2040" s="46">
        <v>16.8</v>
      </c>
      <c r="J2040" s="46">
        <v>16.8</v>
      </c>
      <c r="K2040" s="46">
        <v>16.8</v>
      </c>
      <c r="L2040" s="46">
        <v>16.8</v>
      </c>
      <c r="M2040" s="46">
        <v>16.8</v>
      </c>
      <c r="N2040" s="46">
        <v>16.8</v>
      </c>
    </row>
    <row r="2041" spans="1:14" x14ac:dyDescent="0.25">
      <c r="A2041" s="28" t="s">
        <v>18</v>
      </c>
      <c r="B2041" s="334"/>
      <c r="C2041" s="334"/>
      <c r="D2041" s="334">
        <v>-64.900000000000006</v>
      </c>
      <c r="E2041" s="334">
        <v>-63.600000000000009</v>
      </c>
      <c r="F2041" s="844">
        <v>-43.600000000000009</v>
      </c>
      <c r="G2041" s="844">
        <v>-23.600000000000009</v>
      </c>
      <c r="H2041" s="844">
        <f>G2044+H2040+2</f>
        <v>-4.8000000000000078</v>
      </c>
      <c r="I2041" s="47">
        <f>I2040+H2044+2</f>
        <v>13.999999999999993</v>
      </c>
      <c r="J2041" s="47">
        <f>J2040+2</f>
        <v>18.8</v>
      </c>
      <c r="K2041" s="47">
        <f>K2040+2</f>
        <v>18.8</v>
      </c>
      <c r="L2041" s="47">
        <f>L2040+2</f>
        <v>18.8</v>
      </c>
      <c r="M2041" s="47">
        <f>M2040+2</f>
        <v>18.8</v>
      </c>
      <c r="N2041" s="47">
        <f>N2040+2</f>
        <v>18.8</v>
      </c>
    </row>
    <row r="2042" spans="1:14" x14ac:dyDescent="0.25">
      <c r="A2042" s="28" t="s">
        <v>19</v>
      </c>
      <c r="B2042" s="335"/>
      <c r="C2042" s="335"/>
      <c r="D2042" s="344">
        <v>1</v>
      </c>
      <c r="E2042" s="344">
        <v>2</v>
      </c>
      <c r="F2042" s="855">
        <v>3</v>
      </c>
      <c r="G2042" s="855">
        <v>4</v>
      </c>
      <c r="H2042" s="855">
        <v>5</v>
      </c>
      <c r="I2042" s="960">
        <v>6</v>
      </c>
      <c r="J2042" s="960">
        <v>7</v>
      </c>
      <c r="K2042" s="960">
        <v>8</v>
      </c>
      <c r="L2042" s="960">
        <v>9</v>
      </c>
      <c r="M2042" s="709">
        <v>10</v>
      </c>
      <c r="N2042" s="709">
        <v>11</v>
      </c>
    </row>
    <row r="2043" spans="1:14" ht="15" x14ac:dyDescent="0.3">
      <c r="A2043" s="28" t="s">
        <v>20</v>
      </c>
      <c r="B2043" s="30"/>
      <c r="C2043" s="30">
        <v>34.9</v>
      </c>
      <c r="D2043" s="30">
        <v>18.7</v>
      </c>
      <c r="E2043" s="30">
        <v>0</v>
      </c>
      <c r="F2043" s="47">
        <v>0</v>
      </c>
      <c r="G2043" s="47">
        <v>0</v>
      </c>
      <c r="H2043" s="47">
        <v>0</v>
      </c>
      <c r="I2043" s="46">
        <v>0.6</v>
      </c>
      <c r="J2043" s="46">
        <v>0</v>
      </c>
      <c r="K2043" s="46">
        <v>0</v>
      </c>
      <c r="L2043" s="47">
        <v>0.13172300000000001</v>
      </c>
      <c r="M2043" s="996">
        <v>0.35108099999999998</v>
      </c>
      <c r="N2043" s="709"/>
    </row>
    <row r="2044" spans="1:14" x14ac:dyDescent="0.25">
      <c r="A2044" s="28" t="s">
        <v>21</v>
      </c>
      <c r="B2044" s="30"/>
      <c r="C2044" s="30">
        <v>-84.9</v>
      </c>
      <c r="D2044" s="30">
        <v>-83.600000000000009</v>
      </c>
      <c r="E2044" s="30">
        <v>-63.600000000000009</v>
      </c>
      <c r="F2044" s="47">
        <v>-43.600000000000009</v>
      </c>
      <c r="G2044" s="47">
        <f t="shared" ref="G2044:M2044" si="100">G2041-G2043</f>
        <v>-23.600000000000009</v>
      </c>
      <c r="H2044" s="47">
        <f t="shared" si="100"/>
        <v>-4.8000000000000078</v>
      </c>
      <c r="I2044" s="47">
        <f t="shared" si="100"/>
        <v>13.399999999999993</v>
      </c>
      <c r="J2044" s="47">
        <f t="shared" si="100"/>
        <v>18.8</v>
      </c>
      <c r="K2044" s="47">
        <f t="shared" si="100"/>
        <v>18.8</v>
      </c>
      <c r="L2044" s="47">
        <f t="shared" si="100"/>
        <v>18.668277</v>
      </c>
      <c r="M2044" s="47">
        <f t="shared" si="100"/>
        <v>18.448919</v>
      </c>
      <c r="N2044" s="709"/>
    </row>
    <row r="2045" spans="1:14" x14ac:dyDescent="0.25">
      <c r="A2045" s="90" t="s">
        <v>22</v>
      </c>
      <c r="B2045" s="172"/>
      <c r="C2045" s="237">
        <v>2016</v>
      </c>
      <c r="D2045" s="237">
        <v>2017</v>
      </c>
      <c r="E2045" s="237">
        <v>2018</v>
      </c>
      <c r="F2045" s="498">
        <v>2019</v>
      </c>
      <c r="G2045" s="498">
        <v>2020</v>
      </c>
      <c r="H2045" s="498">
        <v>2021</v>
      </c>
      <c r="I2045" s="498">
        <v>2022</v>
      </c>
      <c r="J2045" s="498">
        <v>2023</v>
      </c>
      <c r="K2045" s="498">
        <v>2024</v>
      </c>
      <c r="L2045" s="498">
        <v>2025</v>
      </c>
      <c r="M2045" s="703">
        <v>2026</v>
      </c>
      <c r="N2045" s="703">
        <v>2027</v>
      </c>
    </row>
    <row r="2046" spans="1:14" x14ac:dyDescent="0.25">
      <c r="A2046" s="36" t="s">
        <v>523</v>
      </c>
      <c r="B2046" s="39"/>
      <c r="C2046" s="39"/>
      <c r="D2046" s="39"/>
      <c r="E2046" s="39"/>
      <c r="F2046" s="997"/>
      <c r="G2046" s="997"/>
      <c r="H2046" s="997"/>
      <c r="I2046" s="669"/>
      <c r="J2046" s="669"/>
      <c r="K2046" s="669"/>
      <c r="L2046" s="669"/>
      <c r="M2046" s="669"/>
      <c r="N2046" s="672"/>
    </row>
    <row r="2047" spans="1:14" x14ac:dyDescent="0.25">
      <c r="A2047" s="64" t="s">
        <v>524</v>
      </c>
      <c r="B2047" s="5"/>
      <c r="C2047" s="5"/>
      <c r="D2047" s="5"/>
      <c r="E2047" s="5"/>
      <c r="F2047" s="998"/>
      <c r="G2047" s="998"/>
      <c r="H2047" s="998"/>
      <c r="N2047" s="684"/>
    </row>
    <row r="2048" spans="1:14" x14ac:dyDescent="0.25">
      <c r="A2048" s="64" t="s">
        <v>525</v>
      </c>
      <c r="B2048" s="5"/>
      <c r="C2048" s="5"/>
      <c r="D2048" s="5"/>
      <c r="E2048" s="5"/>
      <c r="F2048" s="998"/>
      <c r="G2048" s="998"/>
      <c r="H2048" s="998"/>
      <c r="N2048" s="684"/>
    </row>
    <row r="2049" spans="1:14" x14ac:dyDescent="0.25">
      <c r="A2049" s="64" t="s">
        <v>526</v>
      </c>
      <c r="B2049" s="5"/>
      <c r="C2049" s="5"/>
      <c r="D2049" s="5"/>
      <c r="E2049" s="5"/>
      <c r="F2049" s="998"/>
      <c r="G2049" s="998"/>
      <c r="H2049" s="998"/>
      <c r="N2049" s="684"/>
    </row>
    <row r="2050" spans="1:14" x14ac:dyDescent="0.25">
      <c r="A2050" s="64" t="s">
        <v>527</v>
      </c>
      <c r="B2050" s="5"/>
      <c r="C2050" s="5"/>
      <c r="D2050" s="5"/>
      <c r="E2050" s="5"/>
      <c r="F2050" s="998"/>
      <c r="G2050" s="998"/>
      <c r="H2050" s="998"/>
      <c r="N2050" s="684"/>
    </row>
    <row r="2051" spans="1:14" x14ac:dyDescent="0.25">
      <c r="A2051" s="64" t="s">
        <v>664</v>
      </c>
      <c r="B2051" s="5"/>
      <c r="C2051" s="5"/>
      <c r="D2051" s="5"/>
      <c r="E2051" s="5"/>
      <c r="F2051" s="998"/>
      <c r="G2051" s="998"/>
      <c r="H2051" s="998"/>
      <c r="N2051" s="684"/>
    </row>
    <row r="2052" spans="1:14" x14ac:dyDescent="0.25">
      <c r="A2052" s="64" t="s">
        <v>663</v>
      </c>
      <c r="B2052" s="5"/>
      <c r="C2052" s="5"/>
      <c r="D2052" s="5"/>
      <c r="E2052" s="5"/>
      <c r="F2052" s="998"/>
      <c r="G2052" s="998"/>
      <c r="H2052" s="998"/>
      <c r="N2052" s="684"/>
    </row>
    <row r="2053" spans="1:14" x14ac:dyDescent="0.25">
      <c r="A2053" s="64" t="s">
        <v>846</v>
      </c>
      <c r="B2053" s="5"/>
      <c r="C2053" s="5"/>
      <c r="D2053" s="5"/>
      <c r="E2053" s="5"/>
      <c r="F2053" s="998"/>
      <c r="G2053" s="998"/>
      <c r="H2053" s="998"/>
      <c r="N2053" s="684"/>
    </row>
    <row r="2054" spans="1:14" x14ac:dyDescent="0.25">
      <c r="A2054" s="64" t="s">
        <v>1055</v>
      </c>
      <c r="B2054" s="5"/>
      <c r="C2054" s="5"/>
      <c r="D2054" s="5"/>
      <c r="E2054" s="5"/>
      <c r="F2054" s="998"/>
      <c r="G2054" s="998"/>
      <c r="H2054" s="998"/>
      <c r="N2054" s="684"/>
    </row>
    <row r="2055" spans="1:14" x14ac:dyDescent="0.25">
      <c r="A2055" s="64" t="s">
        <v>1219</v>
      </c>
      <c r="B2055" s="5"/>
      <c r="C2055" s="5"/>
      <c r="D2055" s="5"/>
      <c r="E2055" s="5"/>
      <c r="F2055" s="998"/>
      <c r="G2055" s="998"/>
      <c r="H2055" s="998"/>
      <c r="N2055" s="684"/>
    </row>
    <row r="2056" spans="1:14" x14ac:dyDescent="0.25">
      <c r="A2056" s="69" t="s">
        <v>1253</v>
      </c>
      <c r="B2056" s="44"/>
      <c r="C2056" s="44"/>
      <c r="D2056" s="44"/>
      <c r="E2056" s="44"/>
      <c r="F2056" s="999"/>
      <c r="G2056" s="999"/>
      <c r="H2056" s="999"/>
      <c r="I2056" s="685"/>
      <c r="J2056" s="685"/>
      <c r="K2056" s="685"/>
      <c r="L2056" s="685"/>
      <c r="M2056" s="685"/>
      <c r="N2056" s="675"/>
    </row>
    <row r="2058" spans="1:14" x14ac:dyDescent="0.25">
      <c r="A2058" s="8" t="s">
        <v>14</v>
      </c>
      <c r="B2058" s="534" t="s">
        <v>79</v>
      </c>
      <c r="C2058" s="9" t="s">
        <v>15</v>
      </c>
    </row>
    <row r="2059" spans="1:14" x14ac:dyDescent="0.25">
      <c r="A2059" s="72" t="s">
        <v>16</v>
      </c>
      <c r="B2059" s="533"/>
      <c r="C2059" s="27">
        <v>2015</v>
      </c>
      <c r="D2059" s="27">
        <v>2016</v>
      </c>
      <c r="E2059" s="27">
        <v>2017</v>
      </c>
      <c r="F2059" s="666">
        <v>2018</v>
      </c>
      <c r="G2059" s="666">
        <v>2019</v>
      </c>
      <c r="H2059" s="666">
        <v>2020</v>
      </c>
      <c r="I2059" s="770">
        <v>2021</v>
      </c>
      <c r="J2059" s="770">
        <v>2022</v>
      </c>
      <c r="K2059" s="770">
        <v>2023</v>
      </c>
      <c r="L2059" s="770">
        <v>2024</v>
      </c>
      <c r="M2059" s="501">
        <v>2024</v>
      </c>
      <c r="N2059" s="501">
        <v>2025</v>
      </c>
    </row>
    <row r="2060" spans="1:14" x14ac:dyDescent="0.25">
      <c r="A2060" s="28" t="s">
        <v>17</v>
      </c>
      <c r="B2060" s="334"/>
      <c r="C2060" s="334">
        <v>15</v>
      </c>
      <c r="D2060" s="334">
        <v>15</v>
      </c>
      <c r="E2060" s="334">
        <v>15</v>
      </c>
      <c r="F2060" s="844">
        <v>15</v>
      </c>
      <c r="G2060" s="844">
        <v>15</v>
      </c>
      <c r="H2060" s="861">
        <v>15</v>
      </c>
      <c r="I2060" s="47">
        <v>15</v>
      </c>
      <c r="J2060" s="47">
        <v>15</v>
      </c>
      <c r="K2060" s="47">
        <v>15</v>
      </c>
      <c r="L2060" s="47">
        <v>15</v>
      </c>
      <c r="M2060" s="496">
        <v>15</v>
      </c>
      <c r="N2060" s="496">
        <v>15</v>
      </c>
    </row>
    <row r="2061" spans="1:14" x14ac:dyDescent="0.25">
      <c r="A2061" s="28" t="s">
        <v>18</v>
      </c>
      <c r="B2061" s="334"/>
      <c r="C2061" s="334"/>
      <c r="D2061" s="334">
        <v>-59.3</v>
      </c>
      <c r="E2061" s="334">
        <v>-64.199999999999989</v>
      </c>
      <c r="F2061" s="844">
        <v>-49.199999999999989</v>
      </c>
      <c r="G2061" s="844">
        <v>-34.199999999999989</v>
      </c>
      <c r="H2061" s="844">
        <f>G2064+H2060</f>
        <v>-19.199999999999989</v>
      </c>
      <c r="I2061" s="47">
        <f>I2060+H2064</f>
        <v>-4.1999999999999886</v>
      </c>
      <c r="J2061" s="47">
        <f>J2060+I2064</f>
        <v>10.440000000000012</v>
      </c>
      <c r="K2061" s="47"/>
      <c r="L2061" s="47">
        <f>L2060+K2064</f>
        <v>15</v>
      </c>
      <c r="M2061" s="496">
        <v>15</v>
      </c>
      <c r="N2061" s="47"/>
    </row>
    <row r="2062" spans="1:14" x14ac:dyDescent="0.25">
      <c r="A2062" s="28" t="s">
        <v>19</v>
      </c>
      <c r="B2062" s="335"/>
      <c r="C2062" s="335"/>
      <c r="D2062" s="344">
        <v>1</v>
      </c>
      <c r="E2062" s="344">
        <v>2</v>
      </c>
      <c r="F2062" s="855">
        <v>3</v>
      </c>
      <c r="G2062" s="855">
        <v>4</v>
      </c>
      <c r="H2062" s="855">
        <v>5</v>
      </c>
      <c r="I2062" s="960">
        <v>6</v>
      </c>
      <c r="J2062" s="960">
        <v>7</v>
      </c>
      <c r="K2062" s="960">
        <v>8</v>
      </c>
      <c r="L2062" s="960">
        <v>9</v>
      </c>
      <c r="M2062" s="1000">
        <v>10</v>
      </c>
      <c r="N2062" s="1000">
        <v>11</v>
      </c>
    </row>
    <row r="2063" spans="1:14" ht="15" x14ac:dyDescent="0.3">
      <c r="A2063" s="28" t="s">
        <v>20</v>
      </c>
      <c r="B2063" s="30"/>
      <c r="C2063" s="30">
        <v>31.9</v>
      </c>
      <c r="D2063" s="30">
        <v>19.899999999999999</v>
      </c>
      <c r="E2063" s="30">
        <v>0</v>
      </c>
      <c r="F2063" s="47">
        <v>0</v>
      </c>
      <c r="G2063" s="47">
        <v>0</v>
      </c>
      <c r="H2063" s="47">
        <v>0</v>
      </c>
      <c r="I2063" s="47">
        <v>0.36</v>
      </c>
      <c r="J2063" s="47">
        <v>0</v>
      </c>
      <c r="K2063" s="47">
        <v>0</v>
      </c>
      <c r="L2063" s="47">
        <v>1.53</v>
      </c>
      <c r="M2063" s="996">
        <v>8.6828570000000003</v>
      </c>
      <c r="N2063" s="709"/>
    </row>
    <row r="2064" spans="1:14" x14ac:dyDescent="0.25">
      <c r="A2064" s="28" t="s">
        <v>21</v>
      </c>
      <c r="B2064" s="30"/>
      <c r="C2064" s="30">
        <v>-74.3</v>
      </c>
      <c r="D2064" s="30">
        <v>-79.199999999999989</v>
      </c>
      <c r="E2064" s="30">
        <v>-64.199999999999989</v>
      </c>
      <c r="F2064" s="47">
        <v>-49.199999999999989</v>
      </c>
      <c r="G2064" s="47">
        <f t="shared" ref="G2064:M2064" si="101">G2061-G2063</f>
        <v>-34.199999999999989</v>
      </c>
      <c r="H2064" s="47">
        <f t="shared" si="101"/>
        <v>-19.199999999999989</v>
      </c>
      <c r="I2064" s="47">
        <f t="shared" si="101"/>
        <v>-4.559999999999989</v>
      </c>
      <c r="J2064" s="47">
        <f t="shared" si="101"/>
        <v>10.440000000000012</v>
      </c>
      <c r="K2064" s="47">
        <f t="shared" si="101"/>
        <v>0</v>
      </c>
      <c r="L2064" s="47">
        <f t="shared" si="101"/>
        <v>13.47</v>
      </c>
      <c r="M2064" s="47">
        <f t="shared" si="101"/>
        <v>6.3171429999999997</v>
      </c>
      <c r="N2064" s="47"/>
    </row>
    <row r="2065" spans="1:14" x14ac:dyDescent="0.25">
      <c r="A2065" s="90" t="s">
        <v>22</v>
      </c>
      <c r="B2065" s="172"/>
      <c r="C2065" s="237">
        <v>2016</v>
      </c>
      <c r="D2065" s="237">
        <v>2017</v>
      </c>
      <c r="E2065" s="237">
        <v>2018</v>
      </c>
      <c r="F2065" s="498">
        <v>2019</v>
      </c>
      <c r="G2065" s="498">
        <v>2020</v>
      </c>
      <c r="H2065" s="498">
        <v>2021</v>
      </c>
      <c r="I2065" s="498">
        <v>2022</v>
      </c>
      <c r="J2065" s="498">
        <v>2023</v>
      </c>
      <c r="K2065" s="498">
        <v>2024</v>
      </c>
      <c r="L2065" s="498">
        <v>2025</v>
      </c>
      <c r="M2065" s="498">
        <v>2026</v>
      </c>
      <c r="N2065" s="498">
        <v>2027</v>
      </c>
    </row>
    <row r="2066" spans="1:14" x14ac:dyDescent="0.25">
      <c r="A2066" s="36" t="s">
        <v>523</v>
      </c>
      <c r="B2066" s="39"/>
      <c r="C2066" s="39"/>
      <c r="D2066" s="238"/>
      <c r="E2066" s="238"/>
      <c r="F2066" s="784"/>
      <c r="G2066" s="784"/>
      <c r="H2066" s="784"/>
      <c r="I2066" s="784"/>
      <c r="J2066" s="784"/>
      <c r="K2066" s="669"/>
      <c r="L2066" s="669"/>
      <c r="M2066" s="669"/>
      <c r="N2066" s="672"/>
    </row>
    <row r="2067" spans="1:14" x14ac:dyDescent="0.25">
      <c r="A2067" s="64" t="s">
        <v>524</v>
      </c>
      <c r="B2067" s="5"/>
      <c r="C2067" s="5"/>
      <c r="D2067" s="500"/>
      <c r="E2067" s="500"/>
      <c r="F2067" s="938"/>
      <c r="G2067" s="938"/>
      <c r="H2067" s="938"/>
      <c r="I2067" s="938"/>
      <c r="J2067" s="938"/>
      <c r="N2067" s="684"/>
    </row>
    <row r="2068" spans="1:14" x14ac:dyDescent="0.25">
      <c r="A2068" s="64" t="s">
        <v>525</v>
      </c>
      <c r="B2068" s="5"/>
      <c r="C2068" s="5"/>
      <c r="D2068" s="500"/>
      <c r="E2068" s="500"/>
      <c r="F2068" s="938"/>
      <c r="G2068" s="938"/>
      <c r="H2068" s="938"/>
      <c r="I2068" s="938"/>
      <c r="J2068" s="938"/>
      <c r="N2068" s="684"/>
    </row>
    <row r="2069" spans="1:14" x14ac:dyDescent="0.25">
      <c r="A2069" s="64" t="s">
        <v>526</v>
      </c>
      <c r="B2069" s="5"/>
      <c r="C2069" s="5"/>
      <c r="D2069" s="500"/>
      <c r="E2069" s="500"/>
      <c r="F2069" s="938"/>
      <c r="G2069" s="938"/>
      <c r="H2069" s="938"/>
      <c r="I2069" s="938"/>
      <c r="J2069" s="938"/>
      <c r="N2069" s="684"/>
    </row>
    <row r="2070" spans="1:14" x14ac:dyDescent="0.25">
      <c r="A2070" s="64" t="s">
        <v>528</v>
      </c>
      <c r="B2070" s="5"/>
      <c r="C2070" s="5"/>
      <c r="D2070" s="500"/>
      <c r="E2070" s="500"/>
      <c r="F2070" s="938"/>
      <c r="G2070" s="938"/>
      <c r="H2070" s="938"/>
      <c r="I2070" s="938"/>
      <c r="J2070" s="938"/>
      <c r="N2070" s="684"/>
    </row>
    <row r="2071" spans="1:14" x14ac:dyDescent="0.25">
      <c r="A2071" s="64" t="s">
        <v>529</v>
      </c>
      <c r="B2071" s="5"/>
      <c r="C2071" s="5"/>
      <c r="D2071" s="500"/>
      <c r="E2071" s="500"/>
      <c r="F2071" s="938"/>
      <c r="G2071" s="938"/>
      <c r="H2071" s="938"/>
      <c r="I2071" s="938"/>
      <c r="J2071" s="938"/>
      <c r="N2071" s="684"/>
    </row>
    <row r="2072" spans="1:14" x14ac:dyDescent="0.25">
      <c r="A2072" s="64" t="s">
        <v>665</v>
      </c>
      <c r="B2072" s="5"/>
      <c r="C2072" s="5"/>
      <c r="D2072" s="500"/>
      <c r="E2072" s="500"/>
      <c r="F2072" s="938"/>
      <c r="G2072" s="938"/>
      <c r="H2072" s="938"/>
      <c r="I2072" s="938"/>
      <c r="J2072" s="938"/>
      <c r="N2072" s="684"/>
    </row>
    <row r="2073" spans="1:14" x14ac:dyDescent="0.25">
      <c r="A2073" s="69"/>
      <c r="B2073" s="73"/>
      <c r="C2073" s="73"/>
      <c r="D2073" s="73"/>
      <c r="E2073" s="73"/>
      <c r="F2073" s="685"/>
      <c r="G2073" s="685"/>
      <c r="H2073" s="685"/>
      <c r="I2073" s="685"/>
      <c r="J2073" s="685"/>
      <c r="K2073" s="685"/>
      <c r="L2073" s="685"/>
      <c r="M2073" s="685"/>
      <c r="N2073" s="675"/>
    </row>
    <row r="2075" spans="1:14" x14ac:dyDescent="0.25">
      <c r="A2075" s="8" t="s">
        <v>11</v>
      </c>
      <c r="B2075" s="9" t="s">
        <v>38</v>
      </c>
    </row>
    <row r="2076" spans="1:14" x14ac:dyDescent="0.25">
      <c r="A2076" s="8" t="s">
        <v>1</v>
      </c>
      <c r="B2076" s="534" t="s">
        <v>642</v>
      </c>
      <c r="C2076" s="27" t="s">
        <v>2</v>
      </c>
    </row>
    <row r="2077" spans="1:14" x14ac:dyDescent="0.25">
      <c r="A2077" s="29" t="s">
        <v>3</v>
      </c>
      <c r="B2077" s="589">
        <v>2016</v>
      </c>
      <c r="C2077" s="590">
        <v>2017</v>
      </c>
      <c r="D2077" s="590">
        <v>2018</v>
      </c>
      <c r="E2077" s="590">
        <v>2019</v>
      </c>
      <c r="F2077" s="770">
        <v>2020</v>
      </c>
      <c r="G2077" s="770">
        <v>2021</v>
      </c>
      <c r="H2077" s="770">
        <v>2022</v>
      </c>
      <c r="I2077" s="770">
        <v>2023</v>
      </c>
      <c r="J2077" s="770">
        <v>2024</v>
      </c>
      <c r="K2077" s="770">
        <v>2025</v>
      </c>
      <c r="L2077" s="770">
        <v>2026</v>
      </c>
    </row>
    <row r="2078" spans="1:14" x14ac:dyDescent="0.25">
      <c r="A2078" s="28" t="s">
        <v>4</v>
      </c>
      <c r="B2078" s="591">
        <v>1491.71</v>
      </c>
      <c r="C2078" s="591">
        <v>1791</v>
      </c>
      <c r="D2078" s="251">
        <v>2115</v>
      </c>
      <c r="E2078" s="251">
        <v>2400</v>
      </c>
      <c r="F2078" s="795">
        <v>2655</v>
      </c>
      <c r="G2078" s="795">
        <v>2655</v>
      </c>
      <c r="H2078" s="795">
        <v>2655</v>
      </c>
      <c r="I2078" s="795">
        <v>3000</v>
      </c>
      <c r="J2078" s="795">
        <v>3000</v>
      </c>
      <c r="K2078" s="795">
        <v>3000</v>
      </c>
      <c r="L2078" s="795">
        <v>3508.85</v>
      </c>
    </row>
    <row r="2079" spans="1:14" x14ac:dyDescent="0.25">
      <c r="A2079" s="28" t="s">
        <v>5</v>
      </c>
      <c r="B2079" s="591">
        <v>1491.71</v>
      </c>
      <c r="C2079" s="591">
        <v>1791</v>
      </c>
      <c r="D2079" s="251">
        <v>2115</v>
      </c>
      <c r="E2079" s="251">
        <v>2400</v>
      </c>
      <c r="F2079" s="795">
        <v>2675.4</v>
      </c>
      <c r="G2079" s="795">
        <f>G2078+79.2+21.55</f>
        <v>2755.75</v>
      </c>
      <c r="H2079" s="795">
        <f>H2078+24.72</f>
        <v>2679.72</v>
      </c>
      <c r="I2079" s="795">
        <v>3020</v>
      </c>
      <c r="J2079" s="795">
        <v>3030</v>
      </c>
      <c r="K2079" s="795">
        <v>3020.62</v>
      </c>
      <c r="L2079" s="781" t="s">
        <v>1351</v>
      </c>
    </row>
    <row r="2080" spans="1:14" x14ac:dyDescent="0.25">
      <c r="A2080" s="28" t="s">
        <v>6</v>
      </c>
      <c r="B2080" s="30"/>
      <c r="C2080" s="250"/>
      <c r="D2080" s="30"/>
      <c r="E2080" s="251"/>
      <c r="F2080" s="795"/>
      <c r="G2080" s="795"/>
      <c r="H2080" s="795"/>
      <c r="I2080" s="795"/>
      <c r="J2080" s="795"/>
      <c r="K2080" s="795"/>
      <c r="L2080" s="795"/>
    </row>
    <row r="2081" spans="1:15" x14ac:dyDescent="0.25">
      <c r="A2081" s="28" t="s">
        <v>7</v>
      </c>
      <c r="B2081" s="251">
        <v>1490.58</v>
      </c>
      <c r="C2081" s="251">
        <v>1789.538</v>
      </c>
      <c r="D2081" s="251">
        <v>2102.0929999999998</v>
      </c>
      <c r="E2081" s="251">
        <v>2379.1309999999999</v>
      </c>
      <c r="F2081" s="795">
        <v>2653.377</v>
      </c>
      <c r="G2081" s="795">
        <v>2729.7379999999998</v>
      </c>
      <c r="H2081" s="795">
        <v>2652.7869999999998</v>
      </c>
      <c r="I2081" s="795">
        <v>2989.87</v>
      </c>
      <c r="J2081" s="795">
        <v>2998</v>
      </c>
      <c r="K2081" s="795">
        <v>2991.41</v>
      </c>
      <c r="L2081" s="1001"/>
    </row>
    <row r="2082" spans="1:15" x14ac:dyDescent="0.25">
      <c r="A2082" s="28" t="s">
        <v>8</v>
      </c>
      <c r="B2082" s="30">
        <v>1.1300000000001091</v>
      </c>
      <c r="C2082" s="30">
        <v>1.4619999999999891</v>
      </c>
      <c r="D2082" s="30">
        <v>12.907000000000153</v>
      </c>
      <c r="E2082" s="30">
        <f t="shared" ref="E2082:K2082" si="102">E2079-E2081</f>
        <v>20.869000000000142</v>
      </c>
      <c r="F2082" s="795">
        <f t="shared" si="102"/>
        <v>22.023000000000138</v>
      </c>
      <c r="G2082" s="795">
        <f t="shared" si="102"/>
        <v>26.012000000000171</v>
      </c>
      <c r="H2082" s="795">
        <f t="shared" si="102"/>
        <v>26.932999999999993</v>
      </c>
      <c r="I2082" s="795">
        <f t="shared" si="102"/>
        <v>30.130000000000109</v>
      </c>
      <c r="J2082" s="795">
        <f>J2079-J2081</f>
        <v>32</v>
      </c>
      <c r="K2082" s="795">
        <f t="shared" si="102"/>
        <v>29.210000000000036</v>
      </c>
      <c r="L2082" s="795"/>
    </row>
    <row r="2083" spans="1:15" x14ac:dyDescent="0.25">
      <c r="A2083" s="36" t="s">
        <v>9</v>
      </c>
      <c r="B2083" s="90">
        <v>2017</v>
      </c>
      <c r="C2083" s="90">
        <v>2018</v>
      </c>
      <c r="D2083" s="90">
        <v>2019</v>
      </c>
      <c r="E2083" s="90">
        <v>2020</v>
      </c>
      <c r="F2083" s="703">
        <v>2021</v>
      </c>
      <c r="G2083" s="703">
        <v>2022</v>
      </c>
      <c r="H2083" s="672">
        <v>2023</v>
      </c>
      <c r="I2083" s="672">
        <v>2024</v>
      </c>
      <c r="J2083" s="672">
        <v>2025</v>
      </c>
      <c r="K2083" s="672">
        <v>2026</v>
      </c>
      <c r="L2083" s="672">
        <v>2027</v>
      </c>
    </row>
    <row r="2084" spans="1:15" x14ac:dyDescent="0.25">
      <c r="A2084" s="50" t="s">
        <v>10</v>
      </c>
      <c r="B2084" s="51"/>
      <c r="C2084" s="51"/>
      <c r="D2084" s="51"/>
      <c r="E2084" s="51"/>
      <c r="F2084" s="676"/>
      <c r="G2084" s="676"/>
      <c r="H2084" s="676"/>
      <c r="I2084" s="676"/>
      <c r="J2084" s="676"/>
      <c r="K2084" s="676"/>
      <c r="L2084" s="717"/>
    </row>
    <row r="2085" spans="1:15" x14ac:dyDescent="0.25">
      <c r="A2085" s="64" t="s">
        <v>530</v>
      </c>
      <c r="L2085" s="684"/>
    </row>
    <row r="2086" spans="1:15" x14ac:dyDescent="0.25">
      <c r="A2086" s="64" t="s">
        <v>251</v>
      </c>
      <c r="L2086" s="684"/>
    </row>
    <row r="2087" spans="1:15" x14ac:dyDescent="0.25">
      <c r="A2087" s="240" t="s">
        <v>595</v>
      </c>
      <c r="B2087" s="241"/>
      <c r="C2087" s="241"/>
      <c r="D2087" s="241"/>
      <c r="E2087" s="241"/>
      <c r="F2087" s="241"/>
      <c r="G2087" s="241"/>
      <c r="L2087" s="684"/>
    </row>
    <row r="2088" spans="1:15" x14ac:dyDescent="0.25">
      <c r="A2088" s="219" t="s">
        <v>945</v>
      </c>
      <c r="B2088" s="246"/>
      <c r="C2088" s="246"/>
      <c r="D2088" s="246"/>
      <c r="E2088" s="246"/>
      <c r="F2088" s="377"/>
      <c r="G2088" s="377"/>
      <c r="L2088" s="684"/>
    </row>
    <row r="2089" spans="1:15" x14ac:dyDescent="0.25">
      <c r="A2089" s="219" t="s">
        <v>847</v>
      </c>
      <c r="B2089" s="246"/>
      <c r="C2089" s="246"/>
      <c r="D2089" s="246"/>
      <c r="E2089" s="246"/>
      <c r="F2089" s="377"/>
      <c r="G2089" s="377"/>
      <c r="L2089" s="684"/>
    </row>
    <row r="2090" spans="1:15" x14ac:dyDescent="0.25">
      <c r="A2090" s="219" t="s">
        <v>1056</v>
      </c>
      <c r="B2090" s="246"/>
      <c r="C2090" s="246"/>
      <c r="D2090" s="246"/>
      <c r="E2090" s="246"/>
      <c r="F2090" s="377"/>
      <c r="G2090" s="377"/>
      <c r="L2090" s="684"/>
    </row>
    <row r="2091" spans="1:15" x14ac:dyDescent="0.25">
      <c r="A2091" s="219" t="s">
        <v>1123</v>
      </c>
      <c r="B2091" s="246"/>
      <c r="C2091" s="246"/>
      <c r="D2091" s="246"/>
      <c r="E2091" s="246"/>
      <c r="F2091" s="377"/>
      <c r="G2091" s="377"/>
      <c r="L2091" s="684"/>
    </row>
    <row r="2092" spans="1:15" s="70" customFormat="1" x14ac:dyDescent="0.25">
      <c r="A2092" s="220" t="s">
        <v>1285</v>
      </c>
      <c r="B2092" s="592"/>
      <c r="C2092" s="592"/>
      <c r="D2092" s="592"/>
      <c r="E2092" s="592"/>
      <c r="F2092" s="791"/>
      <c r="G2092" s="791"/>
      <c r="H2092" s="685"/>
      <c r="I2092" s="685"/>
      <c r="J2092" s="685"/>
      <c r="K2092" s="685"/>
      <c r="L2092" s="675"/>
      <c r="M2092" s="685"/>
      <c r="N2092" s="685"/>
      <c r="O2092" s="685"/>
    </row>
    <row r="2095" spans="1:15" x14ac:dyDescent="0.25">
      <c r="A2095" s="593" t="s">
        <v>12</v>
      </c>
      <c r="B2095" s="594" t="s">
        <v>860</v>
      </c>
      <c r="D2095" s="595"/>
      <c r="E2095" s="595"/>
      <c r="F2095" s="1002"/>
      <c r="G2095" s="1002"/>
      <c r="H2095" s="1002"/>
    </row>
    <row r="2096" spans="1:15" x14ac:dyDescent="0.25">
      <c r="A2096" s="593" t="s">
        <v>14</v>
      </c>
      <c r="B2096" s="596" t="s">
        <v>642</v>
      </c>
      <c r="C2096" s="597" t="s">
        <v>15</v>
      </c>
      <c r="D2096" s="595"/>
      <c r="E2096" s="595"/>
      <c r="F2096" s="1002"/>
      <c r="G2096" s="1002"/>
      <c r="H2096" s="1002"/>
    </row>
    <row r="2097" spans="1:8" x14ac:dyDescent="0.25">
      <c r="A2097" s="598" t="s">
        <v>16</v>
      </c>
      <c r="B2097" s="599"/>
      <c r="C2097" s="600">
        <v>2022</v>
      </c>
      <c r="D2097" s="601">
        <v>2023</v>
      </c>
      <c r="E2097" s="601">
        <v>2024</v>
      </c>
      <c r="F2097" s="1004">
        <v>2025</v>
      </c>
      <c r="G2097" s="1005">
        <v>2026</v>
      </c>
    </row>
    <row r="2098" spans="1:8" x14ac:dyDescent="0.25">
      <c r="A2098" s="598" t="s">
        <v>17</v>
      </c>
      <c r="B2098" s="599"/>
      <c r="C2098" s="603">
        <v>2305</v>
      </c>
      <c r="D2098" s="603">
        <v>2600</v>
      </c>
      <c r="E2098" s="603">
        <v>2600</v>
      </c>
      <c r="F2098" s="1007">
        <v>2600</v>
      </c>
      <c r="G2098" s="1008">
        <v>3094.45</v>
      </c>
    </row>
    <row r="2099" spans="1:8" x14ac:dyDescent="0.25">
      <c r="A2099" s="598" t="s">
        <v>18</v>
      </c>
      <c r="B2099" s="599"/>
      <c r="C2099" s="604"/>
      <c r="D2099" s="603">
        <f>D2098+C2102+440.79+67.08+128</f>
        <v>3246.0209999999997</v>
      </c>
      <c r="E2099" s="603">
        <f>E2098+D2102+128+507.87</f>
        <v>3200.74</v>
      </c>
      <c r="F2099" s="1007">
        <f>F2098+128</f>
        <v>2728</v>
      </c>
      <c r="G2099" s="1009">
        <f>G2098+55</f>
        <v>3149.45</v>
      </c>
    </row>
    <row r="2100" spans="1:8" x14ac:dyDescent="0.25">
      <c r="A2100" s="598" t="s">
        <v>19</v>
      </c>
      <c r="B2100" s="599"/>
      <c r="C2100" s="605"/>
      <c r="D2100" s="606" t="str">
        <f>"(1)"</f>
        <v>(1)</v>
      </c>
      <c r="E2100" s="606" t="str">
        <f>"(2)"</f>
        <v>(2)</v>
      </c>
      <c r="F2100" s="1011" t="str">
        <f>"(3)"</f>
        <v>(3)</v>
      </c>
      <c r="G2100" s="1012" t="str">
        <f>"(4)"</f>
        <v>(4)</v>
      </c>
    </row>
    <row r="2101" spans="1:8" x14ac:dyDescent="0.25">
      <c r="A2101" s="598" t="s">
        <v>20</v>
      </c>
      <c r="B2101" s="599"/>
      <c r="C2101" s="603">
        <v>2294.8490000000002</v>
      </c>
      <c r="D2101" s="607">
        <f>D2099-D2102</f>
        <v>3281.1509999999998</v>
      </c>
      <c r="E2101" s="607">
        <v>3200.48</v>
      </c>
      <c r="F2101" s="1014">
        <v>2717.98</v>
      </c>
      <c r="G2101" s="1015"/>
    </row>
    <row r="2102" spans="1:8" x14ac:dyDescent="0.25">
      <c r="A2102" s="598" t="s">
        <v>21</v>
      </c>
      <c r="B2102" s="599"/>
      <c r="C2102" s="603">
        <f>C2098-C2101</f>
        <v>10.15099999999984</v>
      </c>
      <c r="D2102" s="603">
        <v>-35.130000000000003</v>
      </c>
      <c r="E2102" s="603">
        <v>0.26</v>
      </c>
      <c r="F2102" s="1007">
        <f>F2099-F2101</f>
        <v>10.019999999999982</v>
      </c>
      <c r="G2102" s="1008"/>
    </row>
    <row r="2103" spans="1:8" x14ac:dyDescent="0.25">
      <c r="A2103" s="609" t="s">
        <v>22</v>
      </c>
      <c r="B2103" s="610"/>
      <c r="C2103" s="611">
        <v>2023</v>
      </c>
      <c r="D2103" s="612">
        <v>2024</v>
      </c>
      <c r="E2103" s="612">
        <v>2025</v>
      </c>
      <c r="F2103" s="1017">
        <v>2026</v>
      </c>
      <c r="G2103" s="1018">
        <v>2027</v>
      </c>
    </row>
    <row r="2104" spans="1:8" x14ac:dyDescent="0.25">
      <c r="A2104" s="614" t="s">
        <v>927</v>
      </c>
      <c r="B2104" s="615"/>
      <c r="C2104" s="616"/>
      <c r="D2104" s="616"/>
      <c r="E2104" s="616"/>
      <c r="F2104" s="669"/>
      <c r="G2104" s="672"/>
    </row>
    <row r="2105" spans="1:8" x14ac:dyDescent="0.25">
      <c r="A2105" s="617" t="s">
        <v>950</v>
      </c>
      <c r="B2105" s="595"/>
      <c r="C2105" s="613"/>
      <c r="D2105" s="613"/>
      <c r="E2105" s="613"/>
      <c r="G2105" s="684"/>
    </row>
    <row r="2106" spans="1:8" x14ac:dyDescent="0.25">
      <c r="A2106" s="617" t="s">
        <v>1203</v>
      </c>
      <c r="B2106" s="595"/>
      <c r="C2106" s="613"/>
      <c r="D2106" s="613"/>
      <c r="E2106" s="613"/>
      <c r="G2106" s="684"/>
    </row>
    <row r="2107" spans="1:8" x14ac:dyDescent="0.25">
      <c r="A2107" s="69" t="s">
        <v>1286</v>
      </c>
      <c r="B2107" s="618"/>
      <c r="C2107" s="619"/>
      <c r="D2107" s="619"/>
      <c r="E2107" s="619"/>
      <c r="F2107" s="685"/>
      <c r="G2107" s="675"/>
    </row>
    <row r="2108" spans="1:8" x14ac:dyDescent="0.25">
      <c r="A2108" s="595"/>
      <c r="B2108" s="595"/>
      <c r="C2108" s="595"/>
      <c r="D2108" s="595"/>
      <c r="E2108" s="595"/>
    </row>
    <row r="2109" spans="1:8" x14ac:dyDescent="0.25">
      <c r="A2109" s="593" t="s">
        <v>14</v>
      </c>
      <c r="B2109" s="596" t="s">
        <v>861</v>
      </c>
      <c r="C2109" s="597" t="s">
        <v>15</v>
      </c>
      <c r="D2109" s="595"/>
      <c r="E2109" s="595"/>
      <c r="F2109" s="1002"/>
      <c r="G2109" s="1002"/>
      <c r="H2109" s="1002"/>
    </row>
    <row r="2110" spans="1:8" x14ac:dyDescent="0.25">
      <c r="A2110" s="598" t="s">
        <v>16</v>
      </c>
      <c r="B2110" s="599"/>
      <c r="C2110" s="600">
        <v>2023</v>
      </c>
      <c r="D2110" s="601">
        <v>2024</v>
      </c>
      <c r="E2110" s="601">
        <v>2025</v>
      </c>
      <c r="F2110" s="1003">
        <v>2026</v>
      </c>
    </row>
    <row r="2111" spans="1:8" x14ac:dyDescent="0.25">
      <c r="A2111" s="598" t="s">
        <v>17</v>
      </c>
      <c r="B2111" s="599"/>
      <c r="C2111" s="603">
        <v>225</v>
      </c>
      <c r="D2111" s="603">
        <v>225</v>
      </c>
      <c r="E2111" s="603">
        <v>225</v>
      </c>
      <c r="F2111" s="1006">
        <v>225</v>
      </c>
    </row>
    <row r="2112" spans="1:8" x14ac:dyDescent="0.25">
      <c r="A2112" s="598" t="s">
        <v>18</v>
      </c>
      <c r="B2112" s="599"/>
      <c r="C2112" s="603">
        <v>150</v>
      </c>
      <c r="D2112" s="603">
        <v>150</v>
      </c>
      <c r="E2112" s="603">
        <v>150</v>
      </c>
      <c r="F2112" s="1006">
        <v>150</v>
      </c>
    </row>
    <row r="2113" spans="1:9" x14ac:dyDescent="0.25">
      <c r="A2113" s="598" t="s">
        <v>19</v>
      </c>
      <c r="B2113" s="599"/>
      <c r="C2113" s="620" t="s">
        <v>862</v>
      </c>
      <c r="D2113" s="620" t="s">
        <v>862</v>
      </c>
      <c r="E2113" s="620" t="s">
        <v>1180</v>
      </c>
      <c r="F2113" s="1022" t="s">
        <v>1180</v>
      </c>
    </row>
    <row r="2114" spans="1:9" x14ac:dyDescent="0.25">
      <c r="A2114" s="598" t="s">
        <v>20</v>
      </c>
      <c r="B2114" s="599"/>
      <c r="C2114" s="603">
        <v>149.94999999999999</v>
      </c>
      <c r="D2114" s="607">
        <v>150</v>
      </c>
      <c r="E2114" s="607">
        <v>150</v>
      </c>
      <c r="F2114" s="1013">
        <v>150</v>
      </c>
    </row>
    <row r="2115" spans="1:9" x14ac:dyDescent="0.25">
      <c r="A2115" s="609" t="s">
        <v>21</v>
      </c>
      <c r="B2115" s="610"/>
      <c r="C2115" s="621">
        <f>C2112-C2114</f>
        <v>5.0000000000011369E-2</v>
      </c>
      <c r="D2115" s="621">
        <f>D2112-D2114</f>
        <v>0</v>
      </c>
      <c r="E2115" s="621">
        <f>E2112-E2114</f>
        <v>0</v>
      </c>
      <c r="F2115" s="1023">
        <f>F2112-F2114</f>
        <v>0</v>
      </c>
    </row>
    <row r="2116" spans="1:9" x14ac:dyDescent="0.25">
      <c r="A2116" s="622" t="s">
        <v>22</v>
      </c>
      <c r="B2116" s="623"/>
      <c r="C2116" s="624"/>
      <c r="D2116" s="624"/>
      <c r="E2116" s="624"/>
      <c r="F2116" s="717"/>
    </row>
    <row r="2117" spans="1:9" x14ac:dyDescent="0.25">
      <c r="A2117" s="617" t="s">
        <v>863</v>
      </c>
      <c r="B2117" s="595"/>
      <c r="C2117" s="613"/>
      <c r="D2117" s="613"/>
      <c r="F2117" s="684"/>
    </row>
    <row r="2118" spans="1:9" x14ac:dyDescent="0.25">
      <c r="A2118" s="625" t="s">
        <v>1213</v>
      </c>
      <c r="B2118" s="618"/>
      <c r="C2118" s="618"/>
      <c r="D2118" s="618"/>
      <c r="E2118" s="618"/>
      <c r="F2118" s="675"/>
    </row>
    <row r="2119" spans="1:9" x14ac:dyDescent="0.25">
      <c r="A2119" s="595"/>
      <c r="B2119" s="595"/>
      <c r="C2119" s="595"/>
      <c r="D2119" s="595"/>
      <c r="E2119" s="595"/>
    </row>
    <row r="2120" spans="1:9" x14ac:dyDescent="0.25">
      <c r="A2120" s="593" t="s">
        <v>12</v>
      </c>
      <c r="B2120" s="594" t="s">
        <v>584</v>
      </c>
      <c r="D2120" s="595"/>
      <c r="E2120" s="595"/>
      <c r="F2120" s="1002"/>
      <c r="G2120" s="1002"/>
      <c r="H2120" s="1002"/>
    </row>
    <row r="2121" spans="1:9" x14ac:dyDescent="0.25">
      <c r="A2121" s="593" t="s">
        <v>14</v>
      </c>
      <c r="B2121" s="596" t="s">
        <v>624</v>
      </c>
      <c r="C2121" s="597" t="s">
        <v>15</v>
      </c>
      <c r="D2121" s="595"/>
      <c r="E2121" s="595"/>
      <c r="F2121" s="1002"/>
      <c r="G2121" s="1002"/>
      <c r="H2121" s="1002"/>
    </row>
    <row r="2122" spans="1:9" x14ac:dyDescent="0.25">
      <c r="A2122" s="598" t="s">
        <v>16</v>
      </c>
      <c r="B2122" s="599"/>
      <c r="C2122" s="600">
        <v>2021</v>
      </c>
      <c r="D2122" s="601">
        <v>2022</v>
      </c>
      <c r="E2122" s="626">
        <v>2023</v>
      </c>
      <c r="F2122" s="1024">
        <v>2024</v>
      </c>
      <c r="G2122" s="1024">
        <v>2025</v>
      </c>
      <c r="H2122" s="1024" t="s">
        <v>1182</v>
      </c>
      <c r="I2122" s="1024">
        <v>2027</v>
      </c>
    </row>
    <row r="2123" spans="1:9" x14ac:dyDescent="0.25">
      <c r="A2123" s="598" t="s">
        <v>17</v>
      </c>
      <c r="B2123" s="599"/>
      <c r="C2123" s="603">
        <f>434.04</f>
        <v>434.04</v>
      </c>
      <c r="D2123" s="603">
        <v>442.25</v>
      </c>
      <c r="E2123" s="603">
        <v>442.25</v>
      </c>
      <c r="F2123" s="1006">
        <v>752.8</v>
      </c>
      <c r="G2123" s="1006">
        <v>752.8</v>
      </c>
      <c r="H2123" s="637">
        <v>752.8</v>
      </c>
      <c r="I2123" s="637">
        <v>752.8</v>
      </c>
    </row>
    <row r="2124" spans="1:9" x14ac:dyDescent="0.25">
      <c r="A2124" s="598" t="s">
        <v>18</v>
      </c>
      <c r="B2124" s="599"/>
      <c r="C2124" s="603">
        <f>C2123+53.75</f>
        <v>487.79</v>
      </c>
      <c r="D2124" s="603">
        <f>D2123+53.75</f>
        <v>496</v>
      </c>
      <c r="E2124" s="605">
        <f>E2123+0.25*C2123</f>
        <v>550.76</v>
      </c>
      <c r="F2124" s="1010">
        <f>F2123+0.25*D2123</f>
        <v>863.36249999999995</v>
      </c>
      <c r="G2124" s="1010">
        <f>G2123+0.25*E2123</f>
        <v>863.36249999999995</v>
      </c>
      <c r="H2124" s="637">
        <v>941</v>
      </c>
      <c r="I2124" s="637">
        <v>941</v>
      </c>
    </row>
    <row r="2125" spans="1:9" x14ac:dyDescent="0.25">
      <c r="A2125" s="598" t="s">
        <v>19</v>
      </c>
      <c r="B2125" s="599"/>
      <c r="C2125" s="605" t="s">
        <v>684</v>
      </c>
      <c r="D2125" s="605" t="s">
        <v>686</v>
      </c>
      <c r="E2125" s="605" t="s">
        <v>685</v>
      </c>
      <c r="F2125" s="1010" t="s">
        <v>850</v>
      </c>
      <c r="G2125" s="1010" t="s">
        <v>1057</v>
      </c>
      <c r="H2125" s="649" t="s">
        <v>1183</v>
      </c>
      <c r="I2125" s="649" t="s">
        <v>1287</v>
      </c>
    </row>
    <row r="2126" spans="1:9" x14ac:dyDescent="0.25">
      <c r="A2126" s="598" t="s">
        <v>20</v>
      </c>
      <c r="B2126" s="599"/>
      <c r="C2126" s="603">
        <v>169.39099999999999</v>
      </c>
      <c r="D2126" s="607">
        <v>125.35080000000001</v>
      </c>
      <c r="E2126" s="605">
        <v>112.47</v>
      </c>
      <c r="F2126" s="1010">
        <v>8.23</v>
      </c>
      <c r="G2126" s="1010">
        <v>97.37</v>
      </c>
      <c r="H2126" s="649"/>
      <c r="I2126" s="649"/>
    </row>
    <row r="2127" spans="1:9" x14ac:dyDescent="0.25">
      <c r="A2127" s="598" t="s">
        <v>21</v>
      </c>
      <c r="B2127" s="599"/>
      <c r="C2127" s="603">
        <f>C2124-C2126</f>
        <v>318.399</v>
      </c>
      <c r="D2127" s="603">
        <f>D2124-D2126</f>
        <v>370.64920000000001</v>
      </c>
      <c r="E2127" s="603">
        <f>E2124-E2126</f>
        <v>438.28999999999996</v>
      </c>
      <c r="F2127" s="1006">
        <f>F2124-F2126</f>
        <v>855.13249999999994</v>
      </c>
      <c r="G2127" s="1006">
        <f>G2124-G2126</f>
        <v>765.99249999999995</v>
      </c>
      <c r="H2127" s="649"/>
      <c r="I2127" s="649"/>
    </row>
    <row r="2128" spans="1:9" x14ac:dyDescent="0.25">
      <c r="A2128" s="609" t="s">
        <v>22</v>
      </c>
      <c r="B2128" s="610"/>
      <c r="C2128" s="611">
        <v>2023</v>
      </c>
      <c r="D2128" s="612">
        <v>2024</v>
      </c>
      <c r="E2128" s="611">
        <v>2025</v>
      </c>
      <c r="F2128" s="1016">
        <v>2026</v>
      </c>
      <c r="G2128" s="1016">
        <v>2027</v>
      </c>
      <c r="H2128" s="642">
        <v>2028</v>
      </c>
      <c r="I2128" s="642">
        <v>2029</v>
      </c>
    </row>
    <row r="2129" spans="1:9" x14ac:dyDescent="0.25">
      <c r="A2129" s="614" t="s">
        <v>691</v>
      </c>
      <c r="B2129" s="627"/>
      <c r="C2129" s="627"/>
      <c r="D2129" s="627"/>
      <c r="E2129" s="627"/>
      <c r="F2129" s="669"/>
      <c r="G2129" s="669"/>
      <c r="H2129" s="669"/>
      <c r="I2129" s="672"/>
    </row>
    <row r="2130" spans="1:9" ht="12.75" customHeight="1" x14ac:dyDescent="0.25">
      <c r="A2130" s="617" t="s">
        <v>699</v>
      </c>
      <c r="B2130" s="628"/>
      <c r="C2130" s="628"/>
      <c r="D2130" s="628"/>
      <c r="E2130" s="628"/>
      <c r="I2130" s="684"/>
    </row>
    <row r="2131" spans="1:9" x14ac:dyDescent="0.25">
      <c r="A2131" s="629" t="s">
        <v>700</v>
      </c>
      <c r="B2131" s="630"/>
      <c r="C2131" s="630"/>
      <c r="D2131" s="630"/>
      <c r="E2131" s="630"/>
      <c r="I2131" s="684"/>
    </row>
    <row r="2132" spans="1:9" x14ac:dyDescent="0.25">
      <c r="A2132" s="629" t="s">
        <v>933</v>
      </c>
      <c r="B2132" s="630"/>
      <c r="C2132" s="630"/>
      <c r="D2132" s="630"/>
      <c r="E2132" s="630"/>
      <c r="I2132" s="684"/>
    </row>
    <row r="2133" spans="1:9" x14ac:dyDescent="0.25">
      <c r="A2133" s="629" t="s">
        <v>1058</v>
      </c>
      <c r="B2133" s="630"/>
      <c r="C2133" s="630"/>
      <c r="D2133" s="630"/>
      <c r="E2133" s="630"/>
      <c r="I2133" s="684"/>
    </row>
    <row r="2134" spans="1:9" x14ac:dyDescent="0.25">
      <c r="A2134" s="629" t="s">
        <v>1181</v>
      </c>
      <c r="B2134" s="630"/>
      <c r="C2134" s="630"/>
      <c r="D2134" s="630"/>
      <c r="E2134" s="630"/>
      <c r="I2134" s="684"/>
    </row>
    <row r="2135" spans="1:9" x14ac:dyDescent="0.25">
      <c r="A2135" s="631" t="s">
        <v>1254</v>
      </c>
      <c r="B2135" s="632"/>
      <c r="C2135" s="632"/>
      <c r="D2135" s="632"/>
      <c r="E2135" s="632"/>
      <c r="F2135" s="685"/>
      <c r="G2135" s="685"/>
      <c r="H2135" s="685"/>
      <c r="I2135" s="675"/>
    </row>
    <row r="2136" spans="1:9" x14ac:dyDescent="0.25">
      <c r="A2136" s="595"/>
      <c r="B2136" s="628"/>
      <c r="C2136" s="632"/>
      <c r="D2136" s="628"/>
      <c r="E2136" s="628"/>
    </row>
    <row r="2137" spans="1:9" x14ac:dyDescent="0.25">
      <c r="A2137" s="630"/>
      <c r="B2137" s="630"/>
      <c r="C2137" s="633"/>
      <c r="D2137" s="630"/>
      <c r="E2137" s="630"/>
    </row>
    <row r="2138" spans="1:9" x14ac:dyDescent="0.25">
      <c r="A2138" s="593" t="s">
        <v>14</v>
      </c>
      <c r="B2138" s="596" t="s">
        <v>638</v>
      </c>
      <c r="C2138" s="597" t="s">
        <v>15</v>
      </c>
      <c r="D2138" s="595"/>
      <c r="E2138" s="595"/>
      <c r="F2138" s="1002"/>
      <c r="G2138" s="1002"/>
      <c r="H2138" s="1002"/>
    </row>
    <row r="2139" spans="1:9" x14ac:dyDescent="0.25">
      <c r="A2139" s="598" t="s">
        <v>16</v>
      </c>
      <c r="B2139" s="599"/>
      <c r="C2139" s="600">
        <v>2021</v>
      </c>
      <c r="D2139" s="601">
        <v>2022</v>
      </c>
      <c r="E2139" s="626">
        <v>2023</v>
      </c>
      <c r="F2139" s="1024">
        <v>2024</v>
      </c>
      <c r="G2139" s="1024">
        <v>2025</v>
      </c>
      <c r="H2139" s="1025">
        <v>2026</v>
      </c>
      <c r="I2139" s="1005">
        <v>2027</v>
      </c>
    </row>
    <row r="2140" spans="1:9" x14ac:dyDescent="0.25">
      <c r="A2140" s="598" t="s">
        <v>17</v>
      </c>
      <c r="B2140" s="599"/>
      <c r="C2140" s="603">
        <v>100</v>
      </c>
      <c r="D2140" s="603">
        <v>100</v>
      </c>
      <c r="E2140" s="605">
        <v>120</v>
      </c>
      <c r="F2140" s="1010">
        <v>120</v>
      </c>
      <c r="G2140" s="1010">
        <v>120</v>
      </c>
      <c r="H2140" s="1026">
        <v>120</v>
      </c>
      <c r="I2140" s="1027">
        <v>120</v>
      </c>
    </row>
    <row r="2141" spans="1:9" x14ac:dyDescent="0.25">
      <c r="A2141" s="598" t="s">
        <v>18</v>
      </c>
      <c r="B2141" s="599"/>
      <c r="C2141" s="603"/>
      <c r="D2141" s="603">
        <v>125</v>
      </c>
      <c r="E2141" s="634">
        <f>E2140+0.25*C2140</f>
        <v>145</v>
      </c>
      <c r="F2141" s="1028">
        <f>F2140+1.49</f>
        <v>121.49</v>
      </c>
      <c r="G2141" s="1028">
        <f>G2140+0.25*E2140</f>
        <v>150</v>
      </c>
      <c r="H2141" s="1026">
        <v>150</v>
      </c>
      <c r="I2141" s="1027">
        <v>150</v>
      </c>
    </row>
    <row r="2142" spans="1:9" x14ac:dyDescent="0.25">
      <c r="A2142" s="598" t="s">
        <v>19</v>
      </c>
      <c r="B2142" s="599"/>
      <c r="C2142" s="634"/>
      <c r="D2142" s="634" t="s">
        <v>681</v>
      </c>
      <c r="E2142" s="634" t="s">
        <v>680</v>
      </c>
      <c r="F2142" s="1028" t="s">
        <v>925</v>
      </c>
      <c r="G2142" s="1028" t="s">
        <v>1060</v>
      </c>
      <c r="H2142" s="1026" t="s">
        <v>1185</v>
      </c>
      <c r="I2142" s="1029" t="s">
        <v>1288</v>
      </c>
    </row>
    <row r="2143" spans="1:9" x14ac:dyDescent="0.25">
      <c r="A2143" s="598" t="s">
        <v>20</v>
      </c>
      <c r="B2143" s="599"/>
      <c r="C2143" s="603">
        <v>0</v>
      </c>
      <c r="D2143" s="607">
        <v>0</v>
      </c>
      <c r="E2143" s="605">
        <v>0</v>
      </c>
      <c r="F2143" s="1010">
        <v>0</v>
      </c>
      <c r="G2143" s="1010">
        <v>0</v>
      </c>
      <c r="H2143" s="1026"/>
      <c r="I2143" s="1027"/>
    </row>
    <row r="2144" spans="1:9" x14ac:dyDescent="0.25">
      <c r="A2144" s="598" t="s">
        <v>21</v>
      </c>
      <c r="B2144" s="599"/>
      <c r="C2144" s="603">
        <f>C2140-C2143</f>
        <v>100</v>
      </c>
      <c r="D2144" s="603">
        <f>D2141-D2143</f>
        <v>125</v>
      </c>
      <c r="E2144" s="603">
        <f>E2141-E2143</f>
        <v>145</v>
      </c>
      <c r="F2144" s="1006">
        <f>F2141-F2143</f>
        <v>121.49</v>
      </c>
      <c r="G2144" s="1006">
        <f>G2141-G2143</f>
        <v>150</v>
      </c>
      <c r="H2144" s="1026"/>
      <c r="I2144" s="1027"/>
    </row>
    <row r="2145" spans="1:9" x14ac:dyDescent="0.25">
      <c r="A2145" s="609" t="s">
        <v>22</v>
      </c>
      <c r="B2145" s="610"/>
      <c r="C2145" s="611">
        <v>2023</v>
      </c>
      <c r="D2145" s="612">
        <v>2024</v>
      </c>
      <c r="E2145" s="611">
        <v>2025</v>
      </c>
      <c r="F2145" s="1016">
        <v>2026</v>
      </c>
      <c r="G2145" s="1016">
        <v>2027</v>
      </c>
      <c r="H2145" s="1030">
        <v>2028</v>
      </c>
      <c r="I2145" s="1031">
        <v>2029</v>
      </c>
    </row>
    <row r="2146" spans="1:9" x14ac:dyDescent="0.25">
      <c r="A2146" s="614" t="s">
        <v>734</v>
      </c>
      <c r="B2146" s="615"/>
      <c r="C2146" s="616"/>
      <c r="D2146" s="616"/>
      <c r="E2146" s="616"/>
      <c r="F2146" s="1020"/>
      <c r="G2146" s="1020"/>
      <c r="H2146" s="669"/>
      <c r="I2146" s="672"/>
    </row>
    <row r="2147" spans="1:9" x14ac:dyDescent="0.25">
      <c r="A2147" s="617" t="s">
        <v>926</v>
      </c>
      <c r="B2147" s="595"/>
      <c r="C2147" s="613"/>
      <c r="D2147" s="613"/>
      <c r="E2147" s="613"/>
      <c r="F2147" s="1017"/>
      <c r="G2147" s="1017"/>
      <c r="I2147" s="684"/>
    </row>
    <row r="2148" spans="1:9" x14ac:dyDescent="0.25">
      <c r="A2148" s="617" t="s">
        <v>1059</v>
      </c>
      <c r="B2148" s="595"/>
      <c r="C2148" s="613"/>
      <c r="D2148" s="613"/>
      <c r="E2148" s="613"/>
      <c r="F2148" s="1017"/>
      <c r="G2148" s="1017"/>
      <c r="I2148" s="684"/>
    </row>
    <row r="2149" spans="1:9" x14ac:dyDescent="0.25">
      <c r="A2149" s="617" t="s">
        <v>1184</v>
      </c>
      <c r="B2149" s="595"/>
      <c r="C2149" s="613"/>
      <c r="D2149" s="613"/>
      <c r="E2149" s="613"/>
      <c r="F2149" s="1017"/>
      <c r="G2149" s="1017"/>
      <c r="I2149" s="684"/>
    </row>
    <row r="2150" spans="1:9" x14ac:dyDescent="0.25">
      <c r="A2150" s="631" t="s">
        <v>1352</v>
      </c>
      <c r="B2150" s="618"/>
      <c r="C2150" s="618"/>
      <c r="D2150" s="618"/>
      <c r="E2150" s="618"/>
      <c r="F2150" s="685"/>
      <c r="G2150" s="685"/>
      <c r="H2150" s="685"/>
      <c r="I2150" s="675"/>
    </row>
    <row r="2151" spans="1:9" x14ac:dyDescent="0.25">
      <c r="A2151" s="595"/>
      <c r="B2151" s="595"/>
      <c r="C2151" s="595"/>
      <c r="D2151" s="595"/>
      <c r="E2151" s="595"/>
    </row>
    <row r="2152" spans="1:9" x14ac:dyDescent="0.25">
      <c r="A2152" s="593" t="s">
        <v>14</v>
      </c>
      <c r="B2152" s="596" t="s">
        <v>623</v>
      </c>
      <c r="C2152" s="597" t="s">
        <v>15</v>
      </c>
      <c r="D2152" s="595"/>
      <c r="E2152" s="595"/>
      <c r="F2152" s="1002"/>
      <c r="G2152" s="1002"/>
      <c r="H2152" s="1002"/>
    </row>
    <row r="2153" spans="1:9" x14ac:dyDescent="0.25">
      <c r="A2153" s="598" t="s">
        <v>16</v>
      </c>
      <c r="B2153" s="599"/>
      <c r="C2153" s="600">
        <v>2021</v>
      </c>
      <c r="D2153" s="601">
        <v>2022</v>
      </c>
      <c r="E2153" s="626">
        <v>2023</v>
      </c>
      <c r="F2153" s="1024">
        <v>2024</v>
      </c>
      <c r="G2153" s="1024">
        <v>2025</v>
      </c>
      <c r="H2153" s="1024">
        <v>2026</v>
      </c>
      <c r="I2153" s="1024">
        <v>2027</v>
      </c>
    </row>
    <row r="2154" spans="1:9" x14ac:dyDescent="0.25">
      <c r="A2154" s="598" t="s">
        <v>17</v>
      </c>
      <c r="B2154" s="599"/>
      <c r="C2154" s="603">
        <v>35</v>
      </c>
      <c r="D2154" s="603">
        <v>35</v>
      </c>
      <c r="E2154" s="603">
        <v>35.67</v>
      </c>
      <c r="F2154" s="1006">
        <v>35.67</v>
      </c>
      <c r="G2154" s="1006">
        <v>35.67</v>
      </c>
      <c r="H2154" s="649">
        <v>35.67</v>
      </c>
      <c r="I2154" s="649">
        <v>35.67</v>
      </c>
    </row>
    <row r="2155" spans="1:9" x14ac:dyDescent="0.25">
      <c r="A2155" s="598" t="s">
        <v>18</v>
      </c>
      <c r="B2155" s="599"/>
      <c r="C2155" s="603">
        <v>49.67</v>
      </c>
      <c r="D2155" s="603">
        <v>49.67</v>
      </c>
      <c r="E2155" s="605">
        <f>E2154+0.4*C2154</f>
        <v>49.67</v>
      </c>
      <c r="F2155" s="1010">
        <f>F2154+0.4*D2154</f>
        <v>49.67</v>
      </c>
      <c r="G2155" s="1010">
        <f>G2154+0.4*E2154</f>
        <v>49.938000000000002</v>
      </c>
      <c r="H2155" s="649">
        <v>49.94</v>
      </c>
      <c r="I2155" s="649">
        <v>49.94</v>
      </c>
    </row>
    <row r="2156" spans="1:9" ht="30.75" customHeight="1" x14ac:dyDescent="0.25">
      <c r="A2156" s="598" t="s">
        <v>19</v>
      </c>
      <c r="B2156" s="599"/>
      <c r="C2156" s="635" t="s">
        <v>702</v>
      </c>
      <c r="D2156" s="635" t="s">
        <v>703</v>
      </c>
      <c r="E2156" s="635" t="s">
        <v>687</v>
      </c>
      <c r="F2156" s="1032" t="s">
        <v>851</v>
      </c>
      <c r="G2156" s="1032" t="s">
        <v>1063</v>
      </c>
      <c r="H2156" s="649" t="s">
        <v>1186</v>
      </c>
      <c r="I2156" s="649" t="s">
        <v>1289</v>
      </c>
    </row>
    <row r="2157" spans="1:9" x14ac:dyDescent="0.25">
      <c r="A2157" s="598" t="s">
        <v>20</v>
      </c>
      <c r="B2157" s="599"/>
      <c r="C2157" s="603">
        <v>5.9</v>
      </c>
      <c r="D2157" s="607">
        <v>3.351</v>
      </c>
      <c r="E2157" s="605">
        <v>3.54</v>
      </c>
      <c r="F2157" s="1010">
        <v>4.3899999999999997</v>
      </c>
      <c r="G2157" s="1010">
        <v>1.93</v>
      </c>
      <c r="H2157" s="649"/>
      <c r="I2157" s="649"/>
    </row>
    <row r="2158" spans="1:9" x14ac:dyDescent="0.25">
      <c r="A2158" s="598" t="s">
        <v>21</v>
      </c>
      <c r="B2158" s="599"/>
      <c r="C2158" s="603">
        <f>C2155-C2157</f>
        <v>43.77</v>
      </c>
      <c r="D2158" s="603">
        <f>D2155-D2157</f>
        <v>46.319000000000003</v>
      </c>
      <c r="E2158" s="603">
        <f>E2155-E2157</f>
        <v>46.13</v>
      </c>
      <c r="F2158" s="1006">
        <f>F2155-F2157</f>
        <v>45.28</v>
      </c>
      <c r="G2158" s="1006">
        <f>G2155-G2157</f>
        <v>48.008000000000003</v>
      </c>
      <c r="H2158" s="649"/>
      <c r="I2158" s="649"/>
    </row>
    <row r="2159" spans="1:9" x14ac:dyDescent="0.25">
      <c r="A2159" s="609" t="s">
        <v>22</v>
      </c>
      <c r="B2159" s="610"/>
      <c r="C2159" s="611">
        <v>2023</v>
      </c>
      <c r="D2159" s="611">
        <v>2024</v>
      </c>
      <c r="E2159" s="611">
        <v>2025</v>
      </c>
      <c r="F2159" s="1016">
        <v>2026</v>
      </c>
      <c r="G2159" s="1016">
        <v>2027</v>
      </c>
      <c r="H2159" s="642">
        <v>2028</v>
      </c>
      <c r="I2159" s="642">
        <v>2029</v>
      </c>
    </row>
    <row r="2160" spans="1:9" x14ac:dyDescent="0.25">
      <c r="A2160" s="614" t="s">
        <v>701</v>
      </c>
      <c r="B2160" s="615"/>
      <c r="C2160" s="615"/>
      <c r="D2160" s="615"/>
      <c r="E2160" s="615"/>
      <c r="F2160" s="669"/>
      <c r="G2160" s="669"/>
      <c r="H2160" s="669"/>
      <c r="I2160" s="672"/>
    </row>
    <row r="2161" spans="1:9" x14ac:dyDescent="0.25">
      <c r="A2161" s="617" t="s">
        <v>705</v>
      </c>
      <c r="B2161" s="595"/>
      <c r="C2161" s="595"/>
      <c r="D2161" s="595"/>
      <c r="E2161" s="595"/>
      <c r="I2161" s="684"/>
    </row>
    <row r="2162" spans="1:9" x14ac:dyDescent="0.25">
      <c r="A2162" s="617" t="s">
        <v>704</v>
      </c>
      <c r="B2162" s="595"/>
      <c r="C2162" s="595"/>
      <c r="D2162" s="595"/>
      <c r="E2162" s="595"/>
      <c r="I2162" s="684"/>
    </row>
    <row r="2163" spans="1:9" x14ac:dyDescent="0.25">
      <c r="A2163" s="617" t="s">
        <v>1061</v>
      </c>
      <c r="B2163" s="595"/>
      <c r="C2163" s="595"/>
      <c r="D2163" s="595"/>
      <c r="E2163" s="595"/>
      <c r="I2163" s="684"/>
    </row>
    <row r="2164" spans="1:9" x14ac:dyDescent="0.25">
      <c r="A2164" s="617" t="s">
        <v>1062</v>
      </c>
      <c r="B2164" s="595"/>
      <c r="C2164" s="595"/>
      <c r="D2164" s="595"/>
      <c r="E2164" s="595"/>
      <c r="I2164" s="684"/>
    </row>
    <row r="2165" spans="1:9" x14ac:dyDescent="0.25">
      <c r="A2165" s="617" t="s">
        <v>1187</v>
      </c>
      <c r="B2165" s="595"/>
      <c r="C2165" s="595"/>
      <c r="D2165" s="595"/>
      <c r="E2165" s="595"/>
      <c r="I2165" s="684"/>
    </row>
    <row r="2166" spans="1:9" x14ac:dyDescent="0.25">
      <c r="A2166" s="631" t="s">
        <v>1353</v>
      </c>
      <c r="B2166" s="618"/>
      <c r="C2166" s="618"/>
      <c r="D2166" s="618"/>
      <c r="E2166" s="618"/>
      <c r="F2166" s="685"/>
      <c r="G2166" s="685"/>
      <c r="H2166" s="685"/>
      <c r="I2166" s="675"/>
    </row>
    <row r="2167" spans="1:9" x14ac:dyDescent="0.25">
      <c r="A2167" s="630"/>
      <c r="B2167" s="630"/>
      <c r="C2167" s="633"/>
      <c r="D2167" s="630"/>
      <c r="E2167" s="630"/>
    </row>
    <row r="2168" spans="1:9" x14ac:dyDescent="0.25">
      <c r="A2168" s="593" t="s">
        <v>14</v>
      </c>
      <c r="B2168" s="596" t="s">
        <v>641</v>
      </c>
      <c r="C2168" s="597" t="s">
        <v>15</v>
      </c>
      <c r="D2168" s="595"/>
      <c r="E2168" s="595"/>
      <c r="F2168" s="1002"/>
      <c r="G2168" s="1002"/>
      <c r="H2168" s="1002"/>
    </row>
    <row r="2169" spans="1:9" x14ac:dyDescent="0.25">
      <c r="A2169" s="598" t="s">
        <v>16</v>
      </c>
      <c r="B2169" s="599"/>
      <c r="C2169" s="600">
        <v>2021</v>
      </c>
      <c r="D2169" s="601">
        <v>2022</v>
      </c>
      <c r="E2169" s="626">
        <v>2023</v>
      </c>
      <c r="F2169" s="1024">
        <v>2024</v>
      </c>
      <c r="G2169" s="1024">
        <v>2025</v>
      </c>
      <c r="H2169" s="1025">
        <v>2026</v>
      </c>
      <c r="I2169" s="1005">
        <v>2027</v>
      </c>
    </row>
    <row r="2170" spans="1:9" x14ac:dyDescent="0.25">
      <c r="A2170" s="598" t="s">
        <v>17</v>
      </c>
      <c r="B2170" s="599"/>
      <c r="C2170" s="603">
        <v>25</v>
      </c>
      <c r="D2170" s="603">
        <v>25</v>
      </c>
      <c r="E2170" s="603">
        <v>25</v>
      </c>
      <c r="F2170" s="1006">
        <v>25</v>
      </c>
      <c r="G2170" s="1006">
        <v>25</v>
      </c>
      <c r="H2170" s="1033">
        <v>25</v>
      </c>
      <c r="I2170" s="1034">
        <v>25</v>
      </c>
    </row>
    <row r="2171" spans="1:9" x14ac:dyDescent="0.25">
      <c r="A2171" s="598" t="s">
        <v>18</v>
      </c>
      <c r="B2171" s="599"/>
      <c r="C2171" s="603">
        <v>30</v>
      </c>
      <c r="D2171" s="603">
        <v>30</v>
      </c>
      <c r="E2171" s="634">
        <f>E2170+0.1*C2170</f>
        <v>27.5</v>
      </c>
      <c r="F2171" s="1028">
        <f>F2170+0.1*D2170</f>
        <v>27.5</v>
      </c>
      <c r="G2171" s="1028">
        <f>G2170+0.1*E2170</f>
        <v>27.5</v>
      </c>
      <c r="H2171" s="1033">
        <v>27.5</v>
      </c>
      <c r="I2171" s="1034">
        <v>27.5</v>
      </c>
    </row>
    <row r="2172" spans="1:9" x14ac:dyDescent="0.25">
      <c r="A2172" s="598" t="s">
        <v>19</v>
      </c>
      <c r="B2172" s="599"/>
      <c r="C2172" s="634" t="s">
        <v>682</v>
      </c>
      <c r="D2172" s="634" t="s">
        <v>683</v>
      </c>
      <c r="E2172" s="634" t="s">
        <v>1064</v>
      </c>
      <c r="F2172" s="1028" t="s">
        <v>1065</v>
      </c>
      <c r="G2172" s="1028" t="s">
        <v>1066</v>
      </c>
      <c r="H2172" s="1026" t="s">
        <v>1190</v>
      </c>
      <c r="I2172" s="1027" t="s">
        <v>1190</v>
      </c>
    </row>
    <row r="2173" spans="1:9" x14ac:dyDescent="0.25">
      <c r="A2173" s="598" t="s">
        <v>20</v>
      </c>
      <c r="B2173" s="599"/>
      <c r="C2173" s="603">
        <v>0</v>
      </c>
      <c r="D2173" s="607">
        <v>0</v>
      </c>
      <c r="E2173" s="605">
        <v>0</v>
      </c>
      <c r="F2173" s="1010">
        <v>0</v>
      </c>
      <c r="G2173" s="1010">
        <v>0</v>
      </c>
      <c r="H2173" s="1026"/>
      <c r="I2173" s="1027"/>
    </row>
    <row r="2174" spans="1:9" x14ac:dyDescent="0.25">
      <c r="A2174" s="598" t="s">
        <v>21</v>
      </c>
      <c r="B2174" s="599"/>
      <c r="C2174" s="603">
        <v>30</v>
      </c>
      <c r="D2174" s="607">
        <f>D2171-D2173</f>
        <v>30</v>
      </c>
      <c r="E2174" s="607">
        <f>E2171-E2173</f>
        <v>27.5</v>
      </c>
      <c r="F2174" s="1013">
        <f>F2171-F2173</f>
        <v>27.5</v>
      </c>
      <c r="G2174" s="1013">
        <f>G2171-G2173</f>
        <v>27.5</v>
      </c>
      <c r="H2174" s="1026"/>
      <c r="I2174" s="1027"/>
    </row>
    <row r="2175" spans="1:9" x14ac:dyDescent="0.25">
      <c r="A2175" s="609" t="s">
        <v>22</v>
      </c>
      <c r="B2175" s="610"/>
      <c r="C2175" s="611">
        <v>2023</v>
      </c>
      <c r="D2175" s="612">
        <v>2024</v>
      </c>
      <c r="E2175" s="611">
        <v>2025</v>
      </c>
      <c r="F2175" s="1016">
        <v>2026</v>
      </c>
      <c r="G2175" s="1016">
        <v>2027</v>
      </c>
      <c r="H2175" s="1030">
        <v>2028</v>
      </c>
      <c r="I2175" s="1031">
        <v>2029</v>
      </c>
    </row>
    <row r="2176" spans="1:9" x14ac:dyDescent="0.25">
      <c r="A2176" s="614" t="s">
        <v>688</v>
      </c>
      <c r="B2176" s="615"/>
      <c r="C2176" s="616"/>
      <c r="D2176" s="616"/>
      <c r="E2176" s="616"/>
      <c r="F2176" s="1020"/>
      <c r="G2176" s="669"/>
      <c r="H2176" s="669"/>
      <c r="I2176" s="672"/>
    </row>
    <row r="2177" spans="1:9" x14ac:dyDescent="0.25">
      <c r="A2177" s="617" t="s">
        <v>1067</v>
      </c>
      <c r="B2177" s="595"/>
      <c r="C2177" s="595"/>
      <c r="D2177" s="595"/>
      <c r="E2177" s="595"/>
      <c r="I2177" s="684"/>
    </row>
    <row r="2178" spans="1:9" x14ac:dyDescent="0.25">
      <c r="A2178" s="617" t="s">
        <v>1068</v>
      </c>
      <c r="B2178" s="595"/>
      <c r="C2178" s="595"/>
      <c r="D2178" s="595"/>
      <c r="E2178" s="595"/>
      <c r="I2178" s="684"/>
    </row>
    <row r="2179" spans="1:9" x14ac:dyDescent="0.25">
      <c r="A2179" s="617" t="s">
        <v>1188</v>
      </c>
      <c r="B2179" s="595"/>
      <c r="C2179" s="595"/>
      <c r="D2179" s="595"/>
      <c r="E2179" s="595"/>
      <c r="I2179" s="684"/>
    </row>
    <row r="2180" spans="1:9" x14ac:dyDescent="0.25">
      <c r="A2180" s="631" t="s">
        <v>1354</v>
      </c>
      <c r="B2180" s="618"/>
      <c r="C2180" s="618"/>
      <c r="D2180" s="618"/>
      <c r="E2180" s="618"/>
      <c r="F2180" s="685"/>
      <c r="G2180" s="685"/>
      <c r="H2180" s="685"/>
      <c r="I2180" s="675"/>
    </row>
    <row r="2181" spans="1:9" x14ac:dyDescent="0.25">
      <c r="A2181" s="595"/>
      <c r="B2181" s="595"/>
      <c r="C2181" s="595"/>
      <c r="D2181" s="595"/>
      <c r="E2181" s="595"/>
    </row>
    <row r="2182" spans="1:9" x14ac:dyDescent="0.25">
      <c r="A2182" s="593" t="s">
        <v>14</v>
      </c>
      <c r="B2182" s="596" t="s">
        <v>642</v>
      </c>
      <c r="C2182" s="597" t="s">
        <v>15</v>
      </c>
      <c r="D2182" s="595"/>
      <c r="E2182" s="595"/>
      <c r="F2182" s="1002"/>
      <c r="G2182" s="1002"/>
      <c r="H2182" s="1002"/>
    </row>
    <row r="2183" spans="1:9" x14ac:dyDescent="0.25">
      <c r="A2183" s="598" t="s">
        <v>16</v>
      </c>
      <c r="B2183" s="599"/>
      <c r="C2183" s="600">
        <v>2021</v>
      </c>
      <c r="D2183" s="601">
        <v>2022</v>
      </c>
      <c r="E2183" s="626">
        <v>2023</v>
      </c>
      <c r="F2183" s="1024">
        <v>2024</v>
      </c>
      <c r="G2183" s="1024">
        <v>2025</v>
      </c>
      <c r="H2183" s="1024">
        <v>2026</v>
      </c>
      <c r="I2183" s="1024">
        <v>2027</v>
      </c>
    </row>
    <row r="2184" spans="1:9" x14ac:dyDescent="0.25">
      <c r="A2184" s="598" t="s">
        <v>17</v>
      </c>
      <c r="B2184" s="599"/>
      <c r="C2184" s="603">
        <v>48.4</v>
      </c>
      <c r="D2184" s="603">
        <v>48.4</v>
      </c>
      <c r="E2184" s="603">
        <v>63</v>
      </c>
      <c r="F2184" s="1006">
        <v>63</v>
      </c>
      <c r="G2184" s="1006">
        <v>63</v>
      </c>
      <c r="H2184" s="1006">
        <v>230.56</v>
      </c>
      <c r="I2184" s="1006"/>
    </row>
    <row r="2185" spans="1:9" x14ac:dyDescent="0.25">
      <c r="A2185" s="598" t="s">
        <v>18</v>
      </c>
      <c r="B2185" s="599"/>
      <c r="C2185" s="603"/>
      <c r="D2185" s="603">
        <f>D2184+0.05*C2184</f>
        <v>50.82</v>
      </c>
      <c r="E2185" s="605">
        <f>E2184+0.05*D2184</f>
        <v>65.42</v>
      </c>
      <c r="F2185" s="1010">
        <f>F2184+0.05*E2184</f>
        <v>66.150000000000006</v>
      </c>
      <c r="G2185" s="1010">
        <v>66.150000000000006</v>
      </c>
      <c r="H2185" s="649">
        <v>243.16</v>
      </c>
      <c r="I2185" s="649"/>
    </row>
    <row r="2186" spans="1:9" x14ac:dyDescent="0.25">
      <c r="A2186" s="598" t="s">
        <v>19</v>
      </c>
      <c r="B2186" s="599"/>
      <c r="C2186" s="605"/>
      <c r="D2186" s="607" t="s">
        <v>852</v>
      </c>
      <c r="E2186" s="605" t="s">
        <v>853</v>
      </c>
      <c r="F2186" s="1010" t="s">
        <v>854</v>
      </c>
      <c r="G2186" s="1010" t="s">
        <v>1069</v>
      </c>
      <c r="H2186" s="649" t="s">
        <v>1291</v>
      </c>
      <c r="I2186" s="649"/>
    </row>
    <row r="2187" spans="1:9" x14ac:dyDescent="0.25">
      <c r="A2187" s="598" t="s">
        <v>20</v>
      </c>
      <c r="B2187" s="599"/>
      <c r="C2187" s="603">
        <v>2.92</v>
      </c>
      <c r="D2187" s="607">
        <v>4.609</v>
      </c>
      <c r="E2187" s="605">
        <v>22.1</v>
      </c>
      <c r="F2187" s="1010">
        <v>39.75</v>
      </c>
      <c r="G2187" s="1010">
        <v>39.26</v>
      </c>
      <c r="H2187" s="649"/>
      <c r="I2187" s="649"/>
    </row>
    <row r="2188" spans="1:9" x14ac:dyDescent="0.25">
      <c r="A2188" s="598" t="s">
        <v>21</v>
      </c>
      <c r="B2188" s="599"/>
      <c r="C2188" s="603">
        <f>C2184-C2187</f>
        <v>45.48</v>
      </c>
      <c r="D2188" s="603">
        <f>D2185-D2187</f>
        <v>46.210999999999999</v>
      </c>
      <c r="E2188" s="603">
        <f>E2185-E2187</f>
        <v>43.32</v>
      </c>
      <c r="F2188" s="1006">
        <f>F2185-F2187</f>
        <v>26.400000000000006</v>
      </c>
      <c r="G2188" s="1006">
        <f>G2185-G2187</f>
        <v>26.890000000000008</v>
      </c>
      <c r="H2188" s="649"/>
      <c r="I2188" s="649"/>
    </row>
    <row r="2189" spans="1:9" x14ac:dyDescent="0.25">
      <c r="A2189" s="609" t="s">
        <v>22</v>
      </c>
      <c r="B2189" s="610"/>
      <c r="C2189" s="611">
        <v>2022</v>
      </c>
      <c r="D2189" s="612">
        <v>2023</v>
      </c>
      <c r="E2189" s="611">
        <v>2024</v>
      </c>
      <c r="F2189" s="1016">
        <v>2025</v>
      </c>
      <c r="G2189" s="1016">
        <v>2026</v>
      </c>
      <c r="H2189" s="642">
        <v>2027</v>
      </c>
      <c r="I2189" s="642">
        <v>2028</v>
      </c>
    </row>
    <row r="2190" spans="1:9" x14ac:dyDescent="0.25">
      <c r="A2190" s="614" t="s">
        <v>689</v>
      </c>
      <c r="B2190" s="615"/>
      <c r="C2190" s="616"/>
      <c r="D2190" s="616"/>
      <c r="E2190" s="616"/>
      <c r="F2190" s="1020"/>
      <c r="G2190" s="1020"/>
      <c r="H2190" s="669"/>
      <c r="I2190" s="672"/>
    </row>
    <row r="2191" spans="1:9" x14ac:dyDescent="0.25">
      <c r="A2191" s="617" t="s">
        <v>855</v>
      </c>
      <c r="B2191" s="595"/>
      <c r="C2191" s="613"/>
      <c r="D2191" s="613"/>
      <c r="E2191" s="613"/>
      <c r="F2191" s="1017"/>
      <c r="G2191" s="1017"/>
      <c r="I2191" s="684"/>
    </row>
    <row r="2192" spans="1:9" x14ac:dyDescent="0.25">
      <c r="A2192" s="617" t="s">
        <v>1070</v>
      </c>
      <c r="B2192" s="595"/>
      <c r="C2192" s="613"/>
      <c r="D2192" s="613"/>
      <c r="E2192" s="613"/>
      <c r="F2192" s="1017"/>
      <c r="G2192" s="1017"/>
      <c r="I2192" s="684"/>
    </row>
    <row r="2193" spans="1:9" x14ac:dyDescent="0.25">
      <c r="A2193" s="617" t="s">
        <v>1189</v>
      </c>
      <c r="B2193" s="595"/>
      <c r="C2193" s="613"/>
      <c r="D2193" s="613"/>
      <c r="E2193" s="613"/>
      <c r="F2193" s="1017"/>
      <c r="G2193" s="1017"/>
      <c r="I2193" s="684"/>
    </row>
    <row r="2194" spans="1:9" x14ac:dyDescent="0.25">
      <c r="A2194" s="631" t="s">
        <v>1290</v>
      </c>
      <c r="B2194" s="618"/>
      <c r="C2194" s="618"/>
      <c r="D2194" s="618"/>
      <c r="E2194" s="618"/>
      <c r="F2194" s="685"/>
      <c r="G2194" s="685"/>
      <c r="H2194" s="685"/>
      <c r="I2194" s="675"/>
    </row>
    <row r="2195" spans="1:9" x14ac:dyDescent="0.25">
      <c r="A2195" s="595"/>
      <c r="B2195" s="595"/>
      <c r="C2195" s="595"/>
      <c r="D2195" s="595"/>
      <c r="E2195" s="595"/>
    </row>
    <row r="2196" spans="1:9" x14ac:dyDescent="0.25">
      <c r="A2196" s="593" t="s">
        <v>14</v>
      </c>
      <c r="B2196" s="596" t="s">
        <v>645</v>
      </c>
      <c r="C2196" s="597" t="s">
        <v>15</v>
      </c>
      <c r="D2196" s="595"/>
      <c r="E2196" s="595"/>
      <c r="F2196" s="1002"/>
      <c r="G2196" s="1002"/>
      <c r="H2196" s="1002"/>
    </row>
    <row r="2197" spans="1:9" x14ac:dyDescent="0.25">
      <c r="A2197" s="598" t="s">
        <v>16</v>
      </c>
      <c r="B2197" s="599"/>
      <c r="C2197" s="600">
        <v>2021</v>
      </c>
      <c r="D2197" s="601">
        <v>2022</v>
      </c>
      <c r="E2197" s="626">
        <v>2023</v>
      </c>
      <c r="F2197" s="1024">
        <v>2024</v>
      </c>
      <c r="G2197" s="1024">
        <v>2025</v>
      </c>
      <c r="H2197" s="1024">
        <v>2026</v>
      </c>
      <c r="I2197" s="1024">
        <v>2027</v>
      </c>
    </row>
    <row r="2198" spans="1:9" x14ac:dyDescent="0.25">
      <c r="A2198" s="598" t="s">
        <v>17</v>
      </c>
      <c r="B2198" s="599"/>
      <c r="C2198" s="603">
        <v>5.31</v>
      </c>
      <c r="D2198" s="603">
        <v>6.18</v>
      </c>
      <c r="E2198" s="603">
        <v>6.18</v>
      </c>
      <c r="F2198" s="1006">
        <v>6.18</v>
      </c>
      <c r="G2198" s="1006">
        <v>6.18</v>
      </c>
      <c r="H2198" s="649">
        <v>7.09</v>
      </c>
      <c r="I2198" s="649"/>
    </row>
    <row r="2199" spans="1:9" x14ac:dyDescent="0.25">
      <c r="A2199" s="598" t="s">
        <v>18</v>
      </c>
      <c r="B2199" s="599"/>
      <c r="C2199" s="603">
        <v>10.62</v>
      </c>
      <c r="D2199" s="603">
        <f>D2198+C2198</f>
        <v>11.489999999999998</v>
      </c>
      <c r="E2199" s="605">
        <f>E2198+D2198</f>
        <v>12.36</v>
      </c>
      <c r="F2199" s="1010">
        <f>F2198*2</f>
        <v>12.36</v>
      </c>
      <c r="G2199" s="1010">
        <f>G2198*2</f>
        <v>12.36</v>
      </c>
      <c r="H2199" s="649">
        <f>H2198+2.472</f>
        <v>9.5619999999999994</v>
      </c>
      <c r="I2199" s="649"/>
    </row>
    <row r="2200" spans="1:9" x14ac:dyDescent="0.25">
      <c r="A2200" s="598" t="s">
        <v>19</v>
      </c>
      <c r="B2200" s="599"/>
      <c r="C2200" s="605"/>
      <c r="D2200" s="607" t="s">
        <v>856</v>
      </c>
      <c r="E2200" s="605" t="s">
        <v>857</v>
      </c>
      <c r="F2200" s="1010" t="s">
        <v>858</v>
      </c>
      <c r="G2200" s="1010" t="s">
        <v>1071</v>
      </c>
      <c r="H2200" s="649" t="s">
        <v>1289</v>
      </c>
      <c r="I2200" s="649"/>
    </row>
    <row r="2201" spans="1:9" x14ac:dyDescent="0.25">
      <c r="A2201" s="598" t="s">
        <v>20</v>
      </c>
      <c r="B2201" s="599"/>
      <c r="C2201" s="603">
        <v>0.71</v>
      </c>
      <c r="D2201" s="607">
        <v>0</v>
      </c>
      <c r="E2201" s="605">
        <v>0.55000000000000004</v>
      </c>
      <c r="F2201" s="1010">
        <v>0</v>
      </c>
      <c r="G2201" s="1010">
        <v>0.34</v>
      </c>
      <c r="H2201" s="649"/>
      <c r="I2201" s="649"/>
    </row>
    <row r="2202" spans="1:9" x14ac:dyDescent="0.25">
      <c r="A2202" s="598" t="s">
        <v>21</v>
      </c>
      <c r="B2202" s="599"/>
      <c r="C2202" s="603">
        <f>C2199-C2201</f>
        <v>9.91</v>
      </c>
      <c r="D2202" s="603">
        <f>D2199-D2201</f>
        <v>11.489999999999998</v>
      </c>
      <c r="E2202" s="603">
        <f>E2199-E2201</f>
        <v>11.809999999999999</v>
      </c>
      <c r="F2202" s="1006">
        <f>F2199-F2201</f>
        <v>12.36</v>
      </c>
      <c r="G2202" s="1006">
        <f>G2199-G2201</f>
        <v>12.02</v>
      </c>
      <c r="H2202" s="649"/>
      <c r="I2202" s="649"/>
    </row>
    <row r="2203" spans="1:9" x14ac:dyDescent="0.25">
      <c r="A2203" s="609" t="s">
        <v>22</v>
      </c>
      <c r="B2203" s="610"/>
      <c r="C2203" s="611">
        <v>2022</v>
      </c>
      <c r="D2203" s="612">
        <v>2023</v>
      </c>
      <c r="E2203" s="611">
        <v>2024</v>
      </c>
      <c r="F2203" s="1016">
        <v>2025</v>
      </c>
      <c r="G2203" s="1016">
        <v>2026</v>
      </c>
      <c r="H2203" s="642">
        <v>2027</v>
      </c>
      <c r="I2203" s="642">
        <v>2028</v>
      </c>
    </row>
    <row r="2204" spans="1:9" x14ac:dyDescent="0.25">
      <c r="A2204" s="614" t="s">
        <v>690</v>
      </c>
      <c r="B2204" s="615"/>
      <c r="C2204" s="616"/>
      <c r="D2204" s="616"/>
      <c r="E2204" s="616"/>
      <c r="F2204" s="1020"/>
      <c r="G2204" s="1020"/>
      <c r="H2204" s="669"/>
      <c r="I2204" s="672"/>
    </row>
    <row r="2205" spans="1:9" x14ac:dyDescent="0.25">
      <c r="A2205" s="617" t="s">
        <v>859</v>
      </c>
      <c r="B2205" s="595"/>
      <c r="C2205" s="595"/>
      <c r="D2205" s="595"/>
      <c r="E2205" s="595"/>
      <c r="F2205" s="1002"/>
      <c r="G2205" s="1002"/>
      <c r="I2205" s="684"/>
    </row>
    <row r="2206" spans="1:9" x14ac:dyDescent="0.25">
      <c r="A2206" s="617" t="s">
        <v>1072</v>
      </c>
      <c r="B2206" s="595"/>
      <c r="C2206" s="595"/>
      <c r="D2206" s="595"/>
      <c r="E2206" s="595"/>
      <c r="F2206" s="1002"/>
      <c r="G2206" s="1002"/>
      <c r="I2206" s="684"/>
    </row>
    <row r="2207" spans="1:9" x14ac:dyDescent="0.25">
      <c r="A2207" s="617" t="s">
        <v>1191</v>
      </c>
      <c r="B2207" s="595"/>
      <c r="C2207" s="595"/>
      <c r="D2207" s="595"/>
      <c r="E2207" s="595"/>
      <c r="F2207" s="1002"/>
      <c r="G2207" s="1002"/>
      <c r="I2207" s="684"/>
    </row>
    <row r="2208" spans="1:9" x14ac:dyDescent="0.25">
      <c r="A2208" s="631" t="s">
        <v>1355</v>
      </c>
      <c r="B2208" s="618"/>
      <c r="C2208" s="618"/>
      <c r="D2208" s="618"/>
      <c r="E2208" s="618"/>
      <c r="F2208" s="685"/>
      <c r="G2208" s="685"/>
      <c r="H2208" s="685"/>
      <c r="I2208" s="675"/>
    </row>
    <row r="2209" spans="1:9" x14ac:dyDescent="0.25">
      <c r="A2209" s="595"/>
      <c r="B2209" s="595"/>
      <c r="C2209" s="595"/>
      <c r="D2209" s="595"/>
      <c r="E2209" s="595"/>
    </row>
    <row r="2210" spans="1:9" x14ac:dyDescent="0.25">
      <c r="A2210" s="8" t="s">
        <v>204</v>
      </c>
      <c r="B2210" s="9" t="s">
        <v>817</v>
      </c>
    </row>
    <row r="2211" spans="1:9" x14ac:dyDescent="0.25">
      <c r="A2211" s="8" t="s">
        <v>203</v>
      </c>
      <c r="B2211" s="9" t="s">
        <v>638</v>
      </c>
      <c r="C2211" s="27" t="s">
        <v>15</v>
      </c>
    </row>
    <row r="2212" spans="1:9" x14ac:dyDescent="0.25">
      <c r="A2212" s="29" t="s">
        <v>16</v>
      </c>
      <c r="B2212" s="29"/>
      <c r="C2212" s="29"/>
      <c r="D2212" s="210">
        <v>2022</v>
      </c>
      <c r="E2212" s="210">
        <v>2023</v>
      </c>
      <c r="F2212" s="770">
        <v>2024</v>
      </c>
      <c r="G2212" s="770">
        <v>2025</v>
      </c>
      <c r="H2212" s="501">
        <v>2026</v>
      </c>
      <c r="I2212" s="501">
        <v>2027</v>
      </c>
    </row>
    <row r="2213" spans="1:9" x14ac:dyDescent="0.25">
      <c r="A2213" s="29" t="s">
        <v>17</v>
      </c>
      <c r="B2213" s="30"/>
      <c r="C2213" s="30"/>
      <c r="D2213" s="30">
        <v>440</v>
      </c>
      <c r="E2213" s="30">
        <v>530</v>
      </c>
      <c r="F2213" s="47">
        <v>530</v>
      </c>
      <c r="G2213" s="47">
        <v>530</v>
      </c>
      <c r="H2213" s="496">
        <v>530</v>
      </c>
      <c r="I2213" s="496">
        <v>530</v>
      </c>
    </row>
    <row r="2214" spans="1:9" x14ac:dyDescent="0.25">
      <c r="A2214" s="29" t="s">
        <v>18</v>
      </c>
      <c r="B2214" s="30"/>
      <c r="C2214" s="30"/>
      <c r="D2214" s="30">
        <f>D2213+0.25*440-52.95</f>
        <v>497.05</v>
      </c>
      <c r="E2214" s="30">
        <f>E2213+0.25*440-100</f>
        <v>540</v>
      </c>
      <c r="F2214" s="47">
        <f>F2213-100</f>
        <v>430</v>
      </c>
      <c r="G2214" s="47">
        <f>G2213+0.25*E2213-100</f>
        <v>562.5</v>
      </c>
      <c r="H2214" s="496">
        <f>H2213+0.25*F2213-100</f>
        <v>562.5</v>
      </c>
      <c r="I2214" s="496">
        <f>I2213+0.25*G2213-100</f>
        <v>562.5</v>
      </c>
    </row>
    <row r="2215" spans="1:9" x14ac:dyDescent="0.25">
      <c r="A2215" s="28" t="s">
        <v>19</v>
      </c>
      <c r="B2215" s="340"/>
      <c r="C2215" s="30"/>
      <c r="D2215" s="30"/>
      <c r="E2215" s="30"/>
      <c r="F2215" s="47"/>
      <c r="G2215" s="47"/>
      <c r="H2215" s="496"/>
      <c r="I2215" s="496"/>
    </row>
    <row r="2216" spans="1:9" x14ac:dyDescent="0.25">
      <c r="A2216" s="28" t="s">
        <v>20</v>
      </c>
      <c r="B2216" s="30"/>
      <c r="C2216" s="30"/>
      <c r="D2216" s="30">
        <v>0</v>
      </c>
      <c r="E2216" s="30">
        <v>0</v>
      </c>
      <c r="F2216" s="47">
        <v>0</v>
      </c>
      <c r="G2216" s="47">
        <v>0</v>
      </c>
      <c r="H2216" s="496"/>
      <c r="I2216" s="496"/>
    </row>
    <row r="2217" spans="1:9" x14ac:dyDescent="0.25">
      <c r="A2217" s="28" t="s">
        <v>21</v>
      </c>
      <c r="B2217" s="30"/>
      <c r="C2217" s="30"/>
      <c r="D2217" s="30">
        <f>D2214-D2216</f>
        <v>497.05</v>
      </c>
      <c r="E2217" s="30">
        <f>E2214-E2216</f>
        <v>540</v>
      </c>
      <c r="F2217" s="47">
        <f>F2214-F2216</f>
        <v>430</v>
      </c>
      <c r="G2217" s="47">
        <f>G2214-G2216</f>
        <v>562.5</v>
      </c>
      <c r="H2217" s="496"/>
      <c r="I2217" s="496"/>
    </row>
    <row r="2218" spans="1:9" x14ac:dyDescent="0.25">
      <c r="A2218" s="62" t="s">
        <v>22</v>
      </c>
      <c r="B2218" s="90"/>
      <c r="C2218" s="90"/>
      <c r="D2218" s="237">
        <v>2024</v>
      </c>
      <c r="E2218" s="237">
        <v>2025</v>
      </c>
      <c r="F2218" s="498">
        <v>2026</v>
      </c>
      <c r="G2218" s="498">
        <v>2027</v>
      </c>
      <c r="H2218" s="498">
        <v>2028</v>
      </c>
      <c r="I2218" s="498">
        <v>2029</v>
      </c>
    </row>
    <row r="2219" spans="1:9" x14ac:dyDescent="0.25">
      <c r="A2219" s="36" t="s">
        <v>23</v>
      </c>
      <c r="B2219" s="37"/>
      <c r="C2219" s="37"/>
      <c r="D2219" s="238"/>
      <c r="E2219" s="238"/>
      <c r="F2219" s="784"/>
      <c r="G2219" s="784"/>
      <c r="H2219" s="669"/>
      <c r="I2219" s="672"/>
    </row>
    <row r="2220" spans="1:9" x14ac:dyDescent="0.25">
      <c r="A2220" s="64" t="s">
        <v>903</v>
      </c>
      <c r="D2220" s="500"/>
      <c r="E2220" s="500"/>
      <c r="F2220" s="938"/>
      <c r="G2220" s="938"/>
      <c r="I2220" s="684"/>
    </row>
    <row r="2221" spans="1:9" x14ac:dyDescent="0.25">
      <c r="A2221" s="64" t="s">
        <v>818</v>
      </c>
      <c r="I2221" s="684"/>
    </row>
    <row r="2222" spans="1:9" x14ac:dyDescent="0.25">
      <c r="A2222" s="64" t="s">
        <v>1085</v>
      </c>
      <c r="I2222" s="684"/>
    </row>
    <row r="2223" spans="1:9" x14ac:dyDescent="0.25">
      <c r="A2223" s="64" t="s">
        <v>1086</v>
      </c>
      <c r="I2223" s="684"/>
    </row>
    <row r="2224" spans="1:9" x14ac:dyDescent="0.25">
      <c r="A2224" s="72" t="s">
        <v>1226</v>
      </c>
      <c r="B2224" s="73"/>
      <c r="C2224" s="73"/>
      <c r="D2224" s="73"/>
      <c r="E2224" s="73"/>
      <c r="F2224" s="685"/>
      <c r="G2224" s="685"/>
      <c r="H2224" s="685"/>
      <c r="I2224" s="675"/>
    </row>
    <row r="2227" spans="1:13" x14ac:dyDescent="0.25">
      <c r="A2227" s="593" t="s">
        <v>12</v>
      </c>
      <c r="B2227" s="594" t="s">
        <v>114</v>
      </c>
      <c r="D2227" s="595"/>
      <c r="E2227" s="595"/>
      <c r="F2227" s="1002"/>
      <c r="G2227" s="1002"/>
      <c r="H2227" s="1002"/>
    </row>
    <row r="2228" spans="1:13" x14ac:dyDescent="0.25">
      <c r="A2228" s="593" t="s">
        <v>14</v>
      </c>
      <c r="B2228" s="596" t="s">
        <v>624</v>
      </c>
      <c r="C2228" s="597" t="s">
        <v>15</v>
      </c>
      <c r="D2228" s="595"/>
      <c r="E2228" s="595"/>
      <c r="F2228" s="1002"/>
      <c r="G2228" s="1002"/>
      <c r="H2228" s="1002"/>
    </row>
    <row r="2229" spans="1:13" x14ac:dyDescent="0.25">
      <c r="A2229" s="598" t="s">
        <v>16</v>
      </c>
      <c r="B2229" s="599"/>
      <c r="C2229" s="600">
        <v>2016</v>
      </c>
      <c r="D2229" s="601">
        <v>2017</v>
      </c>
      <c r="E2229" s="626">
        <v>2018</v>
      </c>
      <c r="F2229" s="1004">
        <v>2019</v>
      </c>
      <c r="G2229" s="1035">
        <v>2020</v>
      </c>
      <c r="H2229" s="1035">
        <v>2021</v>
      </c>
      <c r="I2229" s="1035">
        <v>2022</v>
      </c>
      <c r="J2229" s="1035">
        <v>2023</v>
      </c>
      <c r="K2229" s="1035">
        <v>2024</v>
      </c>
      <c r="L2229" s="1035">
        <v>2025</v>
      </c>
      <c r="M2229" s="1035">
        <v>2026</v>
      </c>
    </row>
    <row r="2230" spans="1:13" x14ac:dyDescent="0.25">
      <c r="A2230" s="598" t="s">
        <v>17</v>
      </c>
      <c r="B2230" s="599"/>
      <c r="C2230" s="603">
        <v>527</v>
      </c>
      <c r="D2230" s="603">
        <v>527</v>
      </c>
      <c r="E2230" s="605">
        <v>632.4</v>
      </c>
      <c r="F2230" s="1036">
        <v>632.4</v>
      </c>
      <c r="G2230" s="1037">
        <v>632.4</v>
      </c>
      <c r="H2230" s="1037">
        <v>711.5</v>
      </c>
      <c r="I2230" s="1037">
        <v>711.5</v>
      </c>
      <c r="J2230" s="1037">
        <v>711.5</v>
      </c>
      <c r="K2230" s="1037">
        <v>889.4</v>
      </c>
      <c r="L2230" s="1037">
        <v>889.4</v>
      </c>
      <c r="M2230" s="1037">
        <v>889.4</v>
      </c>
    </row>
    <row r="2231" spans="1:13" x14ac:dyDescent="0.25">
      <c r="A2231" s="598" t="s">
        <v>18</v>
      </c>
      <c r="B2231" s="599"/>
      <c r="C2231" s="603">
        <v>658.75</v>
      </c>
      <c r="D2231" s="603">
        <v>658.75</v>
      </c>
      <c r="E2231" s="605">
        <v>764.15</v>
      </c>
      <c r="F2231" s="1036">
        <v>790.5</v>
      </c>
      <c r="G2231" s="1037">
        <v>790.5</v>
      </c>
      <c r="H2231" s="1037">
        <f t="shared" ref="H2231:M2231" si="103">H2230+0.25*G2230</f>
        <v>869.6</v>
      </c>
      <c r="I2231" s="1037">
        <f t="shared" si="103"/>
        <v>889.375</v>
      </c>
      <c r="J2231" s="1037">
        <f t="shared" si="103"/>
        <v>889.375</v>
      </c>
      <c r="K2231" s="1037">
        <f t="shared" si="103"/>
        <v>1067.2750000000001</v>
      </c>
      <c r="L2231" s="1037">
        <f t="shared" si="103"/>
        <v>1111.75</v>
      </c>
      <c r="M2231" s="1037">
        <f t="shared" si="103"/>
        <v>1111.75</v>
      </c>
    </row>
    <row r="2232" spans="1:13" x14ac:dyDescent="0.25">
      <c r="A2232" s="598" t="s">
        <v>19</v>
      </c>
      <c r="B2232" s="599"/>
      <c r="C2232" s="605"/>
      <c r="D2232" s="607"/>
      <c r="E2232" s="605"/>
      <c r="F2232" s="1036"/>
      <c r="G2232" s="1037"/>
      <c r="H2232" s="1037"/>
      <c r="I2232" s="1037"/>
      <c r="J2232" s="1037"/>
      <c r="K2232" s="1037"/>
      <c r="L2232" s="1037"/>
      <c r="M2232" s="1037"/>
    </row>
    <row r="2233" spans="1:13" x14ac:dyDescent="0.25">
      <c r="A2233" s="598" t="s">
        <v>20</v>
      </c>
      <c r="B2233" s="599"/>
      <c r="C2233" s="603">
        <v>250.22</v>
      </c>
      <c r="D2233" s="607">
        <v>238.35</v>
      </c>
      <c r="E2233" s="605">
        <v>102.57</v>
      </c>
      <c r="F2233" s="1036">
        <v>221.13</v>
      </c>
      <c r="G2233" s="1037">
        <v>328.36</v>
      </c>
      <c r="H2233" s="1037">
        <v>295.93</v>
      </c>
      <c r="I2233" s="1037">
        <v>310.56</v>
      </c>
      <c r="J2233" s="637">
        <v>180.1</v>
      </c>
      <c r="K2233" s="637">
        <v>228.4</v>
      </c>
      <c r="L2233" s="1037">
        <v>188.8</v>
      </c>
      <c r="M2233" s="1037"/>
    </row>
    <row r="2234" spans="1:13" x14ac:dyDescent="0.25">
      <c r="A2234" s="598" t="s">
        <v>21</v>
      </c>
      <c r="B2234" s="599"/>
      <c r="C2234" s="603">
        <v>408.53</v>
      </c>
      <c r="D2234" s="607">
        <v>420.4</v>
      </c>
      <c r="E2234" s="605">
        <f t="shared" ref="E2234:L2234" si="104">E2231-E2233</f>
        <v>661.57999999999993</v>
      </c>
      <c r="F2234" s="1036">
        <f t="shared" si="104"/>
        <v>569.37</v>
      </c>
      <c r="G2234" s="1037">
        <f t="shared" si="104"/>
        <v>462.14</v>
      </c>
      <c r="H2234" s="1037">
        <f t="shared" si="104"/>
        <v>573.67000000000007</v>
      </c>
      <c r="I2234" s="1037">
        <f t="shared" si="104"/>
        <v>578.81500000000005</v>
      </c>
      <c r="J2234" s="637">
        <f t="shared" si="104"/>
        <v>709.27499999999998</v>
      </c>
      <c r="K2234" s="637">
        <f t="shared" si="104"/>
        <v>838.87500000000011</v>
      </c>
      <c r="L2234" s="637">
        <f t="shared" si="104"/>
        <v>922.95</v>
      </c>
      <c r="M2234" s="1037"/>
    </row>
    <row r="2235" spans="1:13" x14ac:dyDescent="0.25">
      <c r="A2235" s="609" t="s">
        <v>22</v>
      </c>
      <c r="B2235" s="610"/>
      <c r="C2235" s="611">
        <v>2017</v>
      </c>
      <c r="D2235" s="612">
        <v>2018</v>
      </c>
      <c r="E2235" s="611">
        <v>2019</v>
      </c>
      <c r="F2235" s="1038">
        <v>2020</v>
      </c>
      <c r="G2235" s="1039">
        <v>2021</v>
      </c>
      <c r="H2235" s="1039">
        <v>2022</v>
      </c>
      <c r="I2235" s="1039">
        <v>2023</v>
      </c>
      <c r="J2235" s="1039">
        <v>2024</v>
      </c>
      <c r="K2235" s="1039">
        <v>2025</v>
      </c>
      <c r="L2235" s="1039">
        <v>2026</v>
      </c>
      <c r="M2235" s="1039">
        <v>2027</v>
      </c>
    </row>
    <row r="2236" spans="1:13" x14ac:dyDescent="0.25">
      <c r="A2236" s="614" t="s">
        <v>115</v>
      </c>
      <c r="B2236" s="615"/>
      <c r="C2236" s="615"/>
      <c r="D2236" s="615"/>
      <c r="E2236" s="615"/>
      <c r="F2236" s="1019"/>
      <c r="G2236" s="1019"/>
      <c r="H2236" s="1019"/>
      <c r="I2236" s="1019"/>
      <c r="J2236" s="1019"/>
      <c r="K2236" s="1019"/>
      <c r="L2236" s="669"/>
      <c r="M2236" s="672"/>
    </row>
    <row r="2237" spans="1:13" x14ac:dyDescent="0.25">
      <c r="A2237" s="614" t="s">
        <v>116</v>
      </c>
      <c r="B2237" s="615"/>
      <c r="C2237" s="615"/>
      <c r="D2237" s="559"/>
      <c r="E2237" s="559"/>
      <c r="F2237" s="986"/>
      <c r="G2237" s="986"/>
      <c r="H2237" s="986"/>
      <c r="I2237" s="986"/>
      <c r="J2237" s="1019"/>
      <c r="K2237" s="1019"/>
      <c r="L2237" s="669"/>
      <c r="M2237" s="672"/>
    </row>
    <row r="2238" spans="1:13" x14ac:dyDescent="0.25">
      <c r="A2238" s="617" t="s">
        <v>117</v>
      </c>
      <c r="B2238" s="595"/>
      <c r="C2238" s="595"/>
      <c r="D2238" s="595"/>
      <c r="E2238" s="595"/>
      <c r="F2238" s="1002"/>
      <c r="G2238" s="1002"/>
      <c r="H2238" s="1002"/>
      <c r="I2238" s="1002"/>
      <c r="J2238" s="1002"/>
      <c r="K2238" s="1002"/>
      <c r="M2238" s="684"/>
    </row>
    <row r="2239" spans="1:13" x14ac:dyDescent="0.25">
      <c r="A2239" s="617" t="s">
        <v>118</v>
      </c>
      <c r="B2239" s="595"/>
      <c r="C2239" s="595"/>
      <c r="D2239" s="595"/>
      <c r="E2239" s="595"/>
      <c r="F2239" s="1002"/>
      <c r="G2239" s="1002"/>
      <c r="H2239" s="1002"/>
      <c r="I2239" s="1002"/>
      <c r="J2239" s="1002"/>
      <c r="K2239" s="1002"/>
      <c r="M2239" s="684"/>
    </row>
    <row r="2240" spans="1:13" x14ac:dyDescent="0.25">
      <c r="A2240" s="617" t="s">
        <v>119</v>
      </c>
      <c r="B2240" s="595"/>
      <c r="C2240" s="595"/>
      <c r="D2240" s="595"/>
      <c r="E2240" s="595"/>
      <c r="F2240" s="1002"/>
      <c r="G2240" s="1002"/>
      <c r="H2240" s="1002"/>
      <c r="I2240" s="1002"/>
      <c r="J2240" s="1002"/>
      <c r="K2240" s="1002"/>
      <c r="M2240" s="684"/>
    </row>
    <row r="2241" spans="1:26" x14ac:dyDescent="0.25">
      <c r="A2241" s="617" t="s">
        <v>301</v>
      </c>
      <c r="B2241" s="595"/>
      <c r="C2241" s="595"/>
      <c r="D2241" s="595"/>
      <c r="E2241" s="595"/>
      <c r="F2241" s="1002"/>
      <c r="G2241" s="1002"/>
      <c r="H2241" s="1002"/>
      <c r="I2241" s="1002"/>
      <c r="J2241" s="1002"/>
      <c r="K2241" s="1002"/>
      <c r="M2241" s="684"/>
    </row>
    <row r="2242" spans="1:26" x14ac:dyDescent="0.25">
      <c r="A2242" s="617" t="s">
        <v>532</v>
      </c>
      <c r="B2242" s="595"/>
      <c r="C2242" s="595"/>
      <c r="D2242" s="595"/>
      <c r="E2242" s="595"/>
      <c r="F2242" s="1002"/>
      <c r="G2242" s="1002"/>
      <c r="H2242" s="1002"/>
      <c r="I2242" s="1002"/>
      <c r="J2242" s="1002"/>
      <c r="K2242" s="1002"/>
      <c r="M2242" s="684"/>
    </row>
    <row r="2243" spans="1:26" x14ac:dyDescent="0.25">
      <c r="A2243" s="617" t="s">
        <v>666</v>
      </c>
      <c r="B2243" s="595"/>
      <c r="C2243" s="595"/>
      <c r="D2243" s="595"/>
      <c r="E2243" s="595"/>
      <c r="F2243" s="1002"/>
      <c r="G2243" s="1002"/>
      <c r="H2243" s="1002"/>
      <c r="I2243" s="1002"/>
      <c r="J2243" s="1002"/>
      <c r="K2243" s="1002"/>
      <c r="M2243" s="684"/>
    </row>
    <row r="2244" spans="1:26" x14ac:dyDescent="0.25">
      <c r="A2244" s="617" t="s">
        <v>864</v>
      </c>
      <c r="B2244" s="595"/>
      <c r="C2244" s="595"/>
      <c r="D2244" s="595"/>
      <c r="E2244" s="595"/>
      <c r="F2244" s="1002"/>
      <c r="G2244" s="1002"/>
      <c r="H2244" s="1002"/>
      <c r="I2244" s="1002"/>
      <c r="J2244" s="1002"/>
      <c r="K2244" s="1002"/>
      <c r="M2244" s="684"/>
    </row>
    <row r="2245" spans="1:26" s="75" customFormat="1" ht="14.5" x14ac:dyDescent="0.35">
      <c r="A2245" s="64" t="s">
        <v>1010</v>
      </c>
      <c r="B2245" s="6"/>
      <c r="C2245" s="6"/>
      <c r="D2245" s="6"/>
      <c r="E2245" s="6"/>
      <c r="F2245" s="68"/>
      <c r="G2245" s="68"/>
      <c r="H2245" s="68"/>
      <c r="I2245" s="68"/>
      <c r="J2245" s="68"/>
      <c r="K2245" s="68"/>
      <c r="L2245" s="68"/>
      <c r="M2245" s="684"/>
      <c r="N2245" s="68"/>
      <c r="O2245" s="68"/>
      <c r="P2245" s="6"/>
      <c r="Q2245" s="6"/>
      <c r="R2245" s="6"/>
      <c r="S2245" s="6"/>
      <c r="T2245" s="6"/>
      <c r="U2245" s="6"/>
      <c r="V2245" s="6"/>
      <c r="W2245" s="6"/>
      <c r="X2245" s="6"/>
      <c r="Y2245" s="6"/>
      <c r="Z2245" s="6"/>
    </row>
    <row r="2246" spans="1:26" s="75" customFormat="1" ht="14.5" x14ac:dyDescent="0.35">
      <c r="A2246" s="64" t="s">
        <v>1107</v>
      </c>
      <c r="B2246" s="6"/>
      <c r="C2246" s="6"/>
      <c r="D2246" s="6"/>
      <c r="E2246" s="6"/>
      <c r="F2246" s="68"/>
      <c r="G2246" s="68"/>
      <c r="H2246" s="68"/>
      <c r="I2246" s="68"/>
      <c r="J2246" s="68"/>
      <c r="K2246" s="68"/>
      <c r="L2246" s="68"/>
      <c r="M2246" s="684"/>
      <c r="N2246" s="68"/>
      <c r="O2246" s="68"/>
      <c r="P2246" s="6"/>
      <c r="Q2246" s="6"/>
      <c r="R2246" s="6"/>
      <c r="S2246" s="6"/>
      <c r="T2246" s="6"/>
      <c r="U2246" s="6"/>
      <c r="V2246" s="6"/>
      <c r="W2246" s="6"/>
      <c r="X2246" s="6"/>
      <c r="Y2246" s="6"/>
      <c r="Z2246" s="6"/>
    </row>
    <row r="2247" spans="1:26" s="75" customFormat="1" ht="14.5" x14ac:dyDescent="0.35">
      <c r="A2247" s="206" t="s">
        <v>1356</v>
      </c>
      <c r="B2247" s="6"/>
      <c r="C2247" s="6"/>
      <c r="D2247" s="6"/>
      <c r="E2247" s="6"/>
      <c r="F2247" s="68"/>
      <c r="G2247" s="68"/>
      <c r="H2247" s="68"/>
      <c r="I2247" s="68"/>
      <c r="J2247" s="68"/>
      <c r="K2247" s="68"/>
      <c r="L2247" s="68"/>
      <c r="M2247" s="684"/>
      <c r="N2247" s="68"/>
      <c r="O2247" s="68"/>
      <c r="P2247" s="6"/>
      <c r="Q2247" s="6"/>
      <c r="R2247" s="6"/>
      <c r="S2247" s="6"/>
      <c r="T2247" s="6"/>
      <c r="U2247" s="6"/>
      <c r="V2247" s="6"/>
      <c r="W2247" s="6"/>
      <c r="X2247" s="6"/>
      <c r="Y2247" s="6"/>
      <c r="Z2247" s="6"/>
    </row>
    <row r="2248" spans="1:26" x14ac:dyDescent="0.25">
      <c r="A2248" s="617" t="s">
        <v>533</v>
      </c>
      <c r="B2248" s="595"/>
      <c r="C2248" s="595"/>
      <c r="D2248" s="595"/>
      <c r="E2248" s="595"/>
      <c r="F2248" s="1002"/>
      <c r="G2248" s="1002"/>
      <c r="H2248" s="1002"/>
      <c r="I2248" s="1002"/>
      <c r="J2248" s="1002"/>
      <c r="K2248" s="1002"/>
      <c r="M2248" s="684"/>
    </row>
    <row r="2249" spans="1:26" x14ac:dyDescent="0.25">
      <c r="A2249" s="617" t="s">
        <v>534</v>
      </c>
      <c r="B2249" s="595"/>
      <c r="C2249" s="595"/>
      <c r="D2249" s="595"/>
      <c r="E2249" s="595"/>
      <c r="F2249" s="1002"/>
      <c r="G2249" s="1002"/>
      <c r="H2249" s="1002"/>
      <c r="I2249" s="1002"/>
      <c r="J2249" s="1002"/>
      <c r="K2249" s="1002"/>
      <c r="M2249" s="684"/>
    </row>
    <row r="2250" spans="1:26" s="75" customFormat="1" ht="12.75" customHeight="1" x14ac:dyDescent="0.35">
      <c r="A2250" s="64" t="s">
        <v>1011</v>
      </c>
      <c r="B2250" s="6"/>
      <c r="C2250" s="6"/>
      <c r="D2250" s="6"/>
      <c r="E2250" s="6"/>
      <c r="F2250" s="68"/>
      <c r="G2250" s="68"/>
      <c r="H2250" s="68"/>
      <c r="I2250" s="68"/>
      <c r="J2250" s="68"/>
      <c r="K2250" s="68"/>
      <c r="L2250" s="68"/>
      <c r="M2250" s="684"/>
      <c r="N2250" s="68"/>
      <c r="O2250" s="68"/>
      <c r="P2250" s="6"/>
      <c r="Q2250" s="6"/>
      <c r="R2250" s="6"/>
      <c r="S2250" s="6"/>
      <c r="T2250" s="6"/>
      <c r="U2250" s="6"/>
      <c r="V2250" s="6"/>
      <c r="W2250" s="6"/>
      <c r="X2250" s="6"/>
      <c r="Y2250" s="6"/>
      <c r="Z2250" s="6"/>
    </row>
    <row r="2251" spans="1:26" s="88" customFormat="1" ht="12.75" customHeight="1" x14ac:dyDescent="0.35">
      <c r="A2251" s="72" t="s">
        <v>1108</v>
      </c>
      <c r="B2251" s="73"/>
      <c r="C2251" s="73"/>
      <c r="D2251" s="73"/>
      <c r="E2251" s="73"/>
      <c r="F2251" s="685"/>
      <c r="G2251" s="685"/>
      <c r="H2251" s="685"/>
      <c r="I2251" s="685"/>
      <c r="J2251" s="685"/>
      <c r="K2251" s="685"/>
      <c r="L2251" s="685"/>
      <c r="M2251" s="675"/>
      <c r="N2251" s="685"/>
      <c r="O2251" s="685"/>
      <c r="P2251" s="73"/>
      <c r="Q2251" s="73"/>
      <c r="R2251" s="73"/>
      <c r="S2251" s="73"/>
      <c r="T2251" s="73"/>
      <c r="U2251" s="73"/>
      <c r="V2251" s="73"/>
      <c r="W2251" s="73"/>
      <c r="X2251" s="73"/>
      <c r="Y2251" s="73"/>
      <c r="Z2251" s="73"/>
    </row>
    <row r="2253" spans="1:26" x14ac:dyDescent="0.25">
      <c r="A2253" s="593" t="s">
        <v>14</v>
      </c>
      <c r="B2253" s="596" t="s">
        <v>623</v>
      </c>
      <c r="C2253" s="597" t="s">
        <v>15</v>
      </c>
      <c r="D2253" s="595"/>
      <c r="E2253" s="595"/>
      <c r="F2253" s="1002"/>
      <c r="G2253" s="1002"/>
      <c r="H2253" s="1002"/>
    </row>
    <row r="2254" spans="1:26" x14ac:dyDescent="0.25">
      <c r="A2254" s="598" t="s">
        <v>16</v>
      </c>
      <c r="B2254" s="599"/>
      <c r="C2254" s="639">
        <v>2017</v>
      </c>
      <c r="D2254" s="626">
        <v>2018</v>
      </c>
      <c r="E2254" s="626">
        <v>2019</v>
      </c>
      <c r="F2254" s="1004">
        <v>2020</v>
      </c>
      <c r="G2254" s="1035">
        <v>2021</v>
      </c>
      <c r="H2254" s="1035">
        <v>2022</v>
      </c>
      <c r="I2254" s="1035">
        <v>2023</v>
      </c>
      <c r="J2254" s="1035">
        <v>2024</v>
      </c>
      <c r="K2254" s="640">
        <v>2025</v>
      </c>
      <c r="L2254" s="640">
        <v>2026</v>
      </c>
    </row>
    <row r="2255" spans="1:26" x14ac:dyDescent="0.25">
      <c r="A2255" s="598" t="s">
        <v>17</v>
      </c>
      <c r="B2255" s="599"/>
      <c r="C2255" s="603">
        <v>3907</v>
      </c>
      <c r="D2255" s="603">
        <v>3907</v>
      </c>
      <c r="E2255" s="605">
        <v>3907</v>
      </c>
      <c r="F2255" s="1036">
        <v>3907</v>
      </c>
      <c r="G2255" s="1037">
        <v>3907</v>
      </c>
      <c r="H2255" s="1037">
        <v>3907</v>
      </c>
      <c r="I2255" s="1037">
        <v>3907</v>
      </c>
      <c r="J2255" s="1037">
        <v>3907</v>
      </c>
      <c r="K2255" s="637">
        <v>3907</v>
      </c>
      <c r="L2255" s="637">
        <v>3907</v>
      </c>
    </row>
    <row r="2256" spans="1:26" x14ac:dyDescent="0.25">
      <c r="A2256" s="598" t="s">
        <v>18</v>
      </c>
      <c r="B2256" s="599"/>
      <c r="C2256" s="603">
        <v>4468.05</v>
      </c>
      <c r="D2256" s="603">
        <v>4493.05</v>
      </c>
      <c r="E2256" s="605">
        <v>4493.05</v>
      </c>
      <c r="F2256" s="1036">
        <v>4493.05</v>
      </c>
      <c r="G2256" s="1037">
        <v>4493.05</v>
      </c>
      <c r="H2256" s="1037">
        <v>4493.05</v>
      </c>
      <c r="I2256" s="1037">
        <v>4493.05</v>
      </c>
      <c r="J2256" s="1037">
        <f>J2255+I2255*0.15-200</f>
        <v>4293.05</v>
      </c>
      <c r="K2256" s="637">
        <f>K2255+(K2255*0.15)-300</f>
        <v>4193.05</v>
      </c>
      <c r="L2256" s="637">
        <f>L2255+(L2255*0.15)</f>
        <v>4493.05</v>
      </c>
    </row>
    <row r="2257" spans="1:12" x14ac:dyDescent="0.25">
      <c r="A2257" s="598" t="s">
        <v>19</v>
      </c>
      <c r="B2257" s="599"/>
      <c r="C2257" s="608"/>
      <c r="D2257" s="605"/>
      <c r="E2257" s="605"/>
      <c r="F2257" s="1036"/>
      <c r="G2257" s="1037"/>
      <c r="H2257" s="1037"/>
      <c r="I2257" s="1037"/>
      <c r="J2257" s="1037"/>
      <c r="K2257" s="637"/>
      <c r="L2257" s="637"/>
    </row>
    <row r="2258" spans="1:12" x14ac:dyDescent="0.25">
      <c r="A2258" s="598" t="s">
        <v>20</v>
      </c>
      <c r="B2258" s="599"/>
      <c r="C2258" s="641">
        <v>1404.81</v>
      </c>
      <c r="D2258" s="605">
        <v>1274.78</v>
      </c>
      <c r="E2258" s="605">
        <v>1736.49</v>
      </c>
      <c r="F2258" s="1036">
        <v>1441.75</v>
      </c>
      <c r="G2258" s="1037">
        <v>1231.69</v>
      </c>
      <c r="H2258" s="1037">
        <v>1339.32</v>
      </c>
      <c r="I2258" s="1037">
        <v>1008.8</v>
      </c>
      <c r="J2258" s="1037">
        <v>890.44</v>
      </c>
      <c r="K2258" s="637">
        <v>848.06</v>
      </c>
      <c r="L2258" s="637"/>
    </row>
    <row r="2259" spans="1:12" x14ac:dyDescent="0.25">
      <c r="A2259" s="598" t="s">
        <v>21</v>
      </c>
      <c r="B2259" s="599"/>
      <c r="C2259" s="603">
        <v>3063.24</v>
      </c>
      <c r="D2259" s="605">
        <f>D2256-D2258</f>
        <v>3218.2700000000004</v>
      </c>
      <c r="E2259" s="605">
        <f>E2256-E2258</f>
        <v>2756.5600000000004</v>
      </c>
      <c r="F2259" s="1010">
        <f>F2256-F2258</f>
        <v>3051.3</v>
      </c>
      <c r="G2259" s="1037">
        <f>G2256-G2258</f>
        <v>3261.36</v>
      </c>
      <c r="H2259" s="1037">
        <f>H2256-H2258</f>
        <v>3153.7300000000005</v>
      </c>
      <c r="I2259" s="1037">
        <v>3484.25</v>
      </c>
      <c r="J2259" s="1037">
        <v>3402.61</v>
      </c>
      <c r="K2259" s="637">
        <f>K2256-K2258</f>
        <v>3344.9900000000002</v>
      </c>
      <c r="L2259" s="637"/>
    </row>
    <row r="2260" spans="1:12" x14ac:dyDescent="0.25">
      <c r="A2260" s="609" t="s">
        <v>22</v>
      </c>
      <c r="B2260" s="610"/>
      <c r="C2260" s="613">
        <v>2018</v>
      </c>
      <c r="D2260" s="611">
        <v>2019</v>
      </c>
      <c r="E2260" s="611">
        <v>2020</v>
      </c>
      <c r="F2260" s="1038">
        <v>2021</v>
      </c>
      <c r="G2260" s="1040">
        <v>2022</v>
      </c>
      <c r="H2260" s="1040">
        <v>2023</v>
      </c>
      <c r="I2260" s="1040">
        <v>2024</v>
      </c>
      <c r="J2260" s="1040">
        <v>2025</v>
      </c>
      <c r="K2260" s="642">
        <v>2026</v>
      </c>
      <c r="L2260" s="642">
        <v>2027</v>
      </c>
    </row>
    <row r="2261" spans="1:12" x14ac:dyDescent="0.25">
      <c r="A2261" s="614" t="s">
        <v>120</v>
      </c>
      <c r="B2261" s="615"/>
      <c r="C2261" s="615"/>
      <c r="D2261" s="615"/>
      <c r="E2261" s="615"/>
      <c r="F2261" s="1019"/>
      <c r="G2261" s="1019"/>
      <c r="H2261" s="1019"/>
      <c r="I2261" s="1019"/>
      <c r="J2261" s="1019"/>
      <c r="K2261" s="669"/>
      <c r="L2261" s="672"/>
    </row>
    <row r="2262" spans="1:12" x14ac:dyDescent="0.25">
      <c r="A2262" s="614" t="s">
        <v>121</v>
      </c>
      <c r="B2262" s="615"/>
      <c r="C2262" s="615"/>
      <c r="D2262" s="615"/>
      <c r="E2262" s="615"/>
      <c r="F2262" s="1019"/>
      <c r="G2262" s="1019"/>
      <c r="H2262" s="1019"/>
      <c r="I2262" s="1019"/>
      <c r="J2262" s="1019"/>
      <c r="K2262" s="669"/>
      <c r="L2262" s="672"/>
    </row>
    <row r="2263" spans="1:12" x14ac:dyDescent="0.25">
      <c r="A2263" s="617" t="s">
        <v>122</v>
      </c>
      <c r="B2263" s="595"/>
      <c r="C2263" s="595"/>
      <c r="D2263" s="595"/>
      <c r="E2263" s="595"/>
      <c r="F2263" s="1002"/>
      <c r="G2263" s="1002"/>
      <c r="H2263" s="1002"/>
      <c r="I2263" s="1002"/>
      <c r="J2263" s="1002"/>
      <c r="L2263" s="684"/>
    </row>
    <row r="2264" spans="1:12" x14ac:dyDescent="0.25">
      <c r="A2264" s="617" t="s">
        <v>123</v>
      </c>
      <c r="B2264" s="595"/>
      <c r="C2264" s="595"/>
      <c r="D2264" s="595"/>
      <c r="E2264" s="595"/>
      <c r="F2264" s="1002"/>
      <c r="G2264" s="1002"/>
      <c r="H2264" s="1002"/>
      <c r="I2264" s="1002"/>
      <c r="J2264" s="1002"/>
      <c r="L2264" s="684"/>
    </row>
    <row r="2265" spans="1:12" x14ac:dyDescent="0.25">
      <c r="A2265" s="64" t="s">
        <v>302</v>
      </c>
      <c r="B2265" s="595"/>
      <c r="C2265" s="595"/>
      <c r="D2265" s="595"/>
      <c r="E2265" s="595"/>
      <c r="F2265" s="1002"/>
      <c r="G2265" s="1002"/>
      <c r="H2265" s="1002"/>
      <c r="I2265" s="1002"/>
      <c r="J2265" s="1002"/>
      <c r="L2265" s="684"/>
    </row>
    <row r="2266" spans="1:12" x14ac:dyDescent="0.25">
      <c r="A2266" s="617" t="s">
        <v>535</v>
      </c>
      <c r="B2266" s="595"/>
      <c r="C2266" s="595"/>
      <c r="D2266" s="595"/>
      <c r="E2266" s="595"/>
      <c r="F2266" s="1002"/>
      <c r="G2266" s="1002"/>
      <c r="H2266" s="1002"/>
      <c r="I2266" s="1002"/>
      <c r="J2266" s="1002"/>
      <c r="L2266" s="684"/>
    </row>
    <row r="2267" spans="1:12" x14ac:dyDescent="0.25">
      <c r="A2267" s="617" t="s">
        <v>667</v>
      </c>
      <c r="B2267" s="595"/>
      <c r="C2267" s="595"/>
      <c r="D2267" s="595"/>
      <c r="E2267" s="595"/>
      <c r="F2267" s="1002"/>
      <c r="G2267" s="1002"/>
      <c r="H2267" s="1002"/>
      <c r="I2267" s="1002"/>
      <c r="J2267" s="1002"/>
      <c r="L2267" s="684"/>
    </row>
    <row r="2268" spans="1:12" x14ac:dyDescent="0.25">
      <c r="A2268" s="617" t="s">
        <v>865</v>
      </c>
      <c r="B2268" s="595"/>
      <c r="C2268" s="595"/>
      <c r="D2268" s="595"/>
      <c r="E2268" s="595"/>
      <c r="F2268" s="1002"/>
      <c r="G2268" s="1002"/>
      <c r="H2268" s="1002"/>
      <c r="I2268" s="1002"/>
      <c r="J2268" s="1002"/>
      <c r="L2268" s="684"/>
    </row>
    <row r="2269" spans="1:12" x14ac:dyDescent="0.25">
      <c r="A2269" s="617" t="s">
        <v>1012</v>
      </c>
      <c r="B2269" s="595"/>
      <c r="C2269" s="595"/>
      <c r="D2269" s="595"/>
      <c r="E2269" s="595"/>
      <c r="F2269" s="1002"/>
      <c r="G2269" s="1002"/>
      <c r="H2269" s="1002"/>
      <c r="I2269" s="1002"/>
      <c r="J2269" s="1002"/>
      <c r="L2269" s="684"/>
    </row>
    <row r="2270" spans="1:12" x14ac:dyDescent="0.25">
      <c r="A2270" s="617" t="s">
        <v>1192</v>
      </c>
      <c r="B2270" s="595"/>
      <c r="C2270" s="595"/>
      <c r="D2270" s="595"/>
      <c r="E2270" s="595"/>
      <c r="F2270" s="1002"/>
      <c r="G2270" s="1002"/>
      <c r="H2270" s="1002"/>
      <c r="I2270" s="1002"/>
      <c r="J2270" s="1002"/>
      <c r="L2270" s="684"/>
    </row>
    <row r="2271" spans="1:12" x14ac:dyDescent="0.25">
      <c r="A2271" s="631" t="s">
        <v>1357</v>
      </c>
      <c r="B2271" s="618"/>
      <c r="C2271" s="618"/>
      <c r="D2271" s="618"/>
      <c r="E2271" s="618"/>
      <c r="F2271" s="1021"/>
      <c r="G2271" s="1021"/>
      <c r="H2271" s="1021"/>
      <c r="I2271" s="1021"/>
      <c r="J2271" s="1021"/>
      <c r="K2271" s="685"/>
      <c r="L2271" s="675"/>
    </row>
    <row r="2273" spans="1:12" x14ac:dyDescent="0.25">
      <c r="A2273" s="593" t="s">
        <v>14</v>
      </c>
      <c r="B2273" s="596" t="s">
        <v>641</v>
      </c>
      <c r="C2273" s="597" t="s">
        <v>15</v>
      </c>
      <c r="D2273" s="595"/>
      <c r="E2273" s="595"/>
      <c r="F2273" s="1002"/>
      <c r="G2273" s="1002"/>
      <c r="H2273" s="1002"/>
    </row>
    <row r="2274" spans="1:12" x14ac:dyDescent="0.25">
      <c r="A2274" s="598" t="s">
        <v>16</v>
      </c>
      <c r="B2274" s="599"/>
      <c r="C2274" s="643">
        <v>2017</v>
      </c>
      <c r="D2274" s="644">
        <v>2018</v>
      </c>
      <c r="E2274" s="644">
        <v>2019</v>
      </c>
      <c r="F2274" s="1041">
        <v>2020</v>
      </c>
      <c r="G2274" s="1035">
        <v>2021</v>
      </c>
      <c r="H2274" s="1035">
        <v>2022</v>
      </c>
      <c r="I2274" s="1035">
        <v>2023</v>
      </c>
      <c r="J2274" s="1035">
        <v>2024</v>
      </c>
      <c r="K2274" s="640">
        <v>2025</v>
      </c>
      <c r="L2274" s="640">
        <v>2026</v>
      </c>
    </row>
    <row r="2275" spans="1:12" x14ac:dyDescent="0.25">
      <c r="A2275" s="598" t="s">
        <v>17</v>
      </c>
      <c r="B2275" s="598"/>
      <c r="C2275" s="645">
        <v>100</v>
      </c>
      <c r="D2275" s="645">
        <v>100</v>
      </c>
      <c r="E2275" s="636">
        <v>100</v>
      </c>
      <c r="F2275" s="1037">
        <v>100</v>
      </c>
      <c r="G2275" s="1037">
        <v>100</v>
      </c>
      <c r="H2275" s="1037">
        <v>100</v>
      </c>
      <c r="I2275" s="1037">
        <v>100</v>
      </c>
      <c r="J2275" s="1037">
        <v>100</v>
      </c>
      <c r="K2275" s="637">
        <v>100</v>
      </c>
      <c r="L2275" s="637">
        <v>100</v>
      </c>
    </row>
    <row r="2276" spans="1:12" x14ac:dyDescent="0.25">
      <c r="A2276" s="598" t="s">
        <v>18</v>
      </c>
      <c r="B2276" s="598"/>
      <c r="C2276" s="645">
        <v>99.94</v>
      </c>
      <c r="D2276" s="645">
        <v>99.94</v>
      </c>
      <c r="E2276" s="636">
        <v>99.94</v>
      </c>
      <c r="F2276" s="1037">
        <v>99.94</v>
      </c>
      <c r="G2276" s="1037">
        <v>99.94</v>
      </c>
      <c r="H2276" s="1037">
        <f>H2275-50-25-24.94+G2279</f>
        <v>100</v>
      </c>
      <c r="I2276" s="1037">
        <f>I2275-50-25-25+H2279</f>
        <v>100</v>
      </c>
      <c r="J2276" s="1037">
        <f>J2275-50-25-25+I2279</f>
        <v>100</v>
      </c>
      <c r="K2276" s="637">
        <f>K2275-50-25-25+I2279</f>
        <v>100</v>
      </c>
      <c r="L2276" s="637">
        <f>L2275-50-25-25+J2279</f>
        <v>100</v>
      </c>
    </row>
    <row r="2277" spans="1:12" x14ac:dyDescent="0.25">
      <c r="A2277" s="598" t="s">
        <v>19</v>
      </c>
      <c r="B2277" s="598"/>
      <c r="C2277" s="636"/>
      <c r="D2277" s="636"/>
      <c r="E2277" s="636"/>
      <c r="F2277" s="1037"/>
      <c r="G2277" s="1037"/>
      <c r="H2277" s="1037"/>
      <c r="I2277" s="1037"/>
      <c r="J2277" s="1037"/>
      <c r="K2277" s="637"/>
      <c r="L2277" s="637"/>
    </row>
    <row r="2278" spans="1:12" x14ac:dyDescent="0.25">
      <c r="A2278" s="598" t="s">
        <v>20</v>
      </c>
      <c r="B2278" s="598"/>
      <c r="C2278" s="645">
        <v>0</v>
      </c>
      <c r="D2278" s="645">
        <v>0</v>
      </c>
      <c r="E2278" s="645">
        <v>0</v>
      </c>
      <c r="F2278" s="1037">
        <v>0</v>
      </c>
      <c r="G2278" s="1037">
        <v>0</v>
      </c>
      <c r="H2278" s="1037">
        <v>0</v>
      </c>
      <c r="I2278" s="1037">
        <v>0</v>
      </c>
      <c r="J2278" s="637">
        <v>0</v>
      </c>
      <c r="K2278" s="637">
        <v>0</v>
      </c>
      <c r="L2278" s="637"/>
    </row>
    <row r="2279" spans="1:12" x14ac:dyDescent="0.25">
      <c r="A2279" s="598" t="s">
        <v>21</v>
      </c>
      <c r="B2279" s="599"/>
      <c r="C2279" s="646">
        <v>99.94</v>
      </c>
      <c r="D2279" s="646">
        <v>99.94</v>
      </c>
      <c r="E2279" s="646">
        <v>99.94</v>
      </c>
      <c r="F2279" s="1014">
        <v>99.94</v>
      </c>
      <c r="G2279" s="1037">
        <v>99.94</v>
      </c>
      <c r="H2279" s="1037">
        <f>H2275-H2278</f>
        <v>100</v>
      </c>
      <c r="I2279" s="1037">
        <v>100</v>
      </c>
      <c r="J2279" s="637">
        <v>100</v>
      </c>
      <c r="K2279" s="637">
        <f>K2276-K2278</f>
        <v>100</v>
      </c>
      <c r="L2279" s="637"/>
    </row>
    <row r="2280" spans="1:12" x14ac:dyDescent="0.25">
      <c r="A2280" s="609" t="s">
        <v>22</v>
      </c>
      <c r="B2280" s="610"/>
      <c r="C2280" s="613">
        <v>2018</v>
      </c>
      <c r="D2280" s="611">
        <v>2019</v>
      </c>
      <c r="E2280" s="611">
        <v>2020</v>
      </c>
      <c r="F2280" s="1038">
        <v>2021</v>
      </c>
      <c r="G2280" s="1040">
        <v>2022</v>
      </c>
      <c r="H2280" s="1040">
        <v>2023</v>
      </c>
      <c r="I2280" s="1040">
        <v>2024</v>
      </c>
      <c r="J2280" s="1040">
        <v>2025</v>
      </c>
      <c r="K2280" s="642">
        <v>2026</v>
      </c>
      <c r="L2280" s="642">
        <v>2027</v>
      </c>
    </row>
    <row r="2281" spans="1:12" x14ac:dyDescent="0.25">
      <c r="A2281" s="614" t="s">
        <v>124</v>
      </c>
      <c r="B2281" s="615"/>
      <c r="C2281" s="615"/>
      <c r="D2281" s="615"/>
      <c r="E2281" s="615"/>
      <c r="F2281" s="1019"/>
      <c r="G2281" s="1019"/>
      <c r="H2281" s="1019"/>
      <c r="I2281" s="1019"/>
      <c r="J2281" s="1019"/>
      <c r="K2281" s="669"/>
      <c r="L2281" s="672"/>
    </row>
    <row r="2282" spans="1:12" x14ac:dyDescent="0.25">
      <c r="A2282" s="617" t="s">
        <v>125</v>
      </c>
      <c r="B2282" s="595"/>
      <c r="C2282" s="595"/>
      <c r="D2282" s="595"/>
      <c r="E2282" s="595"/>
      <c r="F2282" s="1002"/>
      <c r="G2282" s="1002"/>
      <c r="H2282" s="1002"/>
      <c r="I2282" s="1002"/>
      <c r="J2282" s="1002"/>
      <c r="L2282" s="684"/>
    </row>
    <row r="2283" spans="1:12" x14ac:dyDescent="0.25">
      <c r="A2283" s="617" t="s">
        <v>126</v>
      </c>
      <c r="B2283" s="595"/>
      <c r="C2283" s="595"/>
      <c r="D2283" s="595"/>
      <c r="E2283" s="595"/>
      <c r="F2283" s="1002"/>
      <c r="G2283" s="1002"/>
      <c r="H2283" s="1002"/>
      <c r="I2283" s="1002"/>
      <c r="J2283" s="1002"/>
      <c r="L2283" s="684"/>
    </row>
    <row r="2284" spans="1:12" x14ac:dyDescent="0.25">
      <c r="A2284" s="617" t="s">
        <v>127</v>
      </c>
      <c r="B2284" s="595"/>
      <c r="C2284" s="595"/>
      <c r="D2284" s="595"/>
      <c r="E2284" s="595"/>
      <c r="F2284" s="1002"/>
      <c r="G2284" s="1002"/>
      <c r="H2284" s="1002"/>
      <c r="I2284" s="1002"/>
      <c r="J2284" s="1002"/>
      <c r="L2284" s="684"/>
    </row>
    <row r="2285" spans="1:12" x14ac:dyDescent="0.25">
      <c r="A2285" s="617" t="s">
        <v>303</v>
      </c>
      <c r="B2285" s="595"/>
      <c r="C2285" s="595"/>
      <c r="D2285" s="595"/>
      <c r="E2285" s="595"/>
      <c r="F2285" s="1002"/>
      <c r="G2285" s="1002"/>
      <c r="H2285" s="1002"/>
      <c r="I2285" s="1002"/>
      <c r="J2285" s="1002"/>
      <c r="L2285" s="684"/>
    </row>
    <row r="2286" spans="1:12" x14ac:dyDescent="0.25">
      <c r="A2286" s="617" t="s">
        <v>536</v>
      </c>
      <c r="B2286" s="595"/>
      <c r="C2286" s="595"/>
      <c r="D2286" s="595"/>
      <c r="E2286" s="595"/>
      <c r="F2286" s="1002"/>
      <c r="G2286" s="1002"/>
      <c r="H2286" s="1002"/>
      <c r="I2286" s="1002"/>
      <c r="J2286" s="1002"/>
      <c r="L2286" s="684"/>
    </row>
    <row r="2287" spans="1:12" x14ac:dyDescent="0.25">
      <c r="A2287" s="617" t="s">
        <v>577</v>
      </c>
      <c r="B2287" s="595"/>
      <c r="C2287" s="595"/>
      <c r="D2287" s="595"/>
      <c r="E2287" s="595"/>
      <c r="F2287" s="1002"/>
      <c r="G2287" s="1002"/>
      <c r="H2287" s="1002"/>
      <c r="I2287" s="1002"/>
      <c r="J2287" s="1002"/>
      <c r="L2287" s="684"/>
    </row>
    <row r="2288" spans="1:12" x14ac:dyDescent="0.25">
      <c r="A2288" s="617" t="s">
        <v>866</v>
      </c>
      <c r="B2288" s="595"/>
      <c r="C2288" s="595"/>
      <c r="D2288" s="595"/>
      <c r="E2288" s="595"/>
      <c r="F2288" s="1002"/>
      <c r="G2288" s="1002"/>
      <c r="H2288" s="1002"/>
      <c r="I2288" s="1002"/>
      <c r="J2288" s="1002"/>
      <c r="L2288" s="684"/>
    </row>
    <row r="2289" spans="1:13" x14ac:dyDescent="0.25">
      <c r="A2289" s="617" t="s">
        <v>1013</v>
      </c>
      <c r="B2289" s="595"/>
      <c r="C2289" s="595"/>
      <c r="D2289" s="595"/>
      <c r="E2289" s="595"/>
      <c r="F2289" s="1002"/>
      <c r="G2289" s="1002"/>
      <c r="H2289" s="1002"/>
      <c r="I2289" s="1002"/>
      <c r="J2289" s="1002"/>
      <c r="L2289" s="684"/>
    </row>
    <row r="2290" spans="1:13" x14ac:dyDescent="0.25">
      <c r="A2290" s="617" t="s">
        <v>1193</v>
      </c>
      <c r="B2290" s="595"/>
      <c r="C2290" s="595"/>
      <c r="D2290" s="595"/>
      <c r="E2290" s="595"/>
      <c r="F2290" s="1002"/>
      <c r="G2290" s="1002"/>
      <c r="H2290" s="1002"/>
      <c r="I2290" s="1002"/>
      <c r="J2290" s="1002"/>
      <c r="L2290" s="684"/>
    </row>
    <row r="2291" spans="1:13" x14ac:dyDescent="0.25">
      <c r="A2291" s="69" t="s">
        <v>1359</v>
      </c>
      <c r="B2291" s="618"/>
      <c r="C2291" s="618"/>
      <c r="D2291" s="618"/>
      <c r="E2291" s="618"/>
      <c r="F2291" s="1021"/>
      <c r="G2291" s="1021"/>
      <c r="H2291" s="1021"/>
      <c r="I2291" s="1021"/>
      <c r="J2291" s="1021"/>
      <c r="K2291" s="685"/>
      <c r="L2291" s="675"/>
    </row>
    <row r="2293" spans="1:13" x14ac:dyDescent="0.25">
      <c r="A2293" s="593" t="s">
        <v>14</v>
      </c>
      <c r="B2293" s="596" t="s">
        <v>645</v>
      </c>
      <c r="C2293" s="597" t="s">
        <v>15</v>
      </c>
      <c r="D2293" s="595"/>
      <c r="E2293" s="595"/>
      <c r="F2293" s="1002"/>
    </row>
    <row r="2294" spans="1:13" x14ac:dyDescent="0.25">
      <c r="A2294" s="598" t="s">
        <v>16</v>
      </c>
      <c r="B2294" s="599"/>
      <c r="C2294" s="600">
        <v>2016</v>
      </c>
      <c r="D2294" s="602">
        <v>2017</v>
      </c>
      <c r="E2294" s="626">
        <v>2018</v>
      </c>
      <c r="F2294" s="1004">
        <v>2019</v>
      </c>
      <c r="G2294" s="770">
        <v>2020</v>
      </c>
      <c r="H2294" s="770">
        <v>2021</v>
      </c>
      <c r="I2294" s="770">
        <v>2022</v>
      </c>
      <c r="J2294" s="770">
        <v>2023</v>
      </c>
      <c r="K2294" s="770">
        <v>2024</v>
      </c>
      <c r="L2294" s="640">
        <v>2025</v>
      </c>
      <c r="M2294" s="640">
        <v>2026</v>
      </c>
    </row>
    <row r="2295" spans="1:13" x14ac:dyDescent="0.25">
      <c r="A2295" s="598" t="s">
        <v>17</v>
      </c>
      <c r="B2295" s="599"/>
      <c r="C2295" s="647">
        <v>1083.79</v>
      </c>
      <c r="D2295" s="647">
        <v>1083.79</v>
      </c>
      <c r="E2295" s="599">
        <v>1272.8599999999999</v>
      </c>
      <c r="F2295" s="1043">
        <v>1272.8599999999999</v>
      </c>
      <c r="G2295" s="46">
        <v>1272.8599999999999</v>
      </c>
      <c r="H2295" s="46">
        <v>1272.8599999999999</v>
      </c>
      <c r="I2295" s="47">
        <v>1341.14</v>
      </c>
      <c r="J2295" s="46">
        <v>1341.14</v>
      </c>
      <c r="K2295" s="46">
        <v>1341.14</v>
      </c>
      <c r="L2295" s="649">
        <v>1341.14</v>
      </c>
      <c r="M2295" s="649">
        <v>1572.48</v>
      </c>
    </row>
    <row r="2296" spans="1:13" x14ac:dyDescent="0.25">
      <c r="A2296" s="598" t="s">
        <v>18</v>
      </c>
      <c r="B2296" s="599"/>
      <c r="C2296" s="647">
        <v>1192.17</v>
      </c>
      <c r="D2296" s="647">
        <v>1192.17</v>
      </c>
      <c r="E2296" s="599">
        <v>1381.24</v>
      </c>
      <c r="F2296" s="1043">
        <v>1400.15</v>
      </c>
      <c r="G2296" s="46">
        <v>1400.15</v>
      </c>
      <c r="H2296" s="46">
        <v>1400.15</v>
      </c>
      <c r="I2296" s="47">
        <f>I2295+0.1*H2295</f>
        <v>1468.4260000000002</v>
      </c>
      <c r="J2296" s="47">
        <f>J2295+I2299</f>
        <v>1447.6760000000002</v>
      </c>
      <c r="K2296" s="47">
        <f>K2295+0.1*J2295</f>
        <v>1475.2540000000001</v>
      </c>
      <c r="L2296" s="637">
        <v>1199.96</v>
      </c>
      <c r="M2296" s="637">
        <f>1572.48+L2299</f>
        <v>1647.3500000000001</v>
      </c>
    </row>
    <row r="2297" spans="1:13" x14ac:dyDescent="0.25">
      <c r="A2297" s="598" t="s">
        <v>19</v>
      </c>
      <c r="B2297" s="599"/>
      <c r="C2297" s="599"/>
      <c r="D2297" s="648"/>
      <c r="E2297" s="599"/>
      <c r="F2297" s="1043"/>
      <c r="G2297" s="46"/>
      <c r="H2297" s="46"/>
      <c r="I2297" s="47"/>
      <c r="J2297" s="46"/>
      <c r="K2297" s="46"/>
      <c r="L2297" s="649"/>
      <c r="M2297" s="649"/>
    </row>
    <row r="2298" spans="1:13" x14ac:dyDescent="0.25">
      <c r="A2298" s="598" t="s">
        <v>20</v>
      </c>
      <c r="B2298" s="599"/>
      <c r="C2298" s="647">
        <v>1025.0999999999999</v>
      </c>
      <c r="D2298" s="648">
        <v>996.8</v>
      </c>
      <c r="E2298" s="599">
        <v>1028.26</v>
      </c>
      <c r="F2298" s="1043">
        <v>1190.78</v>
      </c>
      <c r="G2298" s="46">
        <v>1184.99</v>
      </c>
      <c r="H2298" s="46">
        <v>1205.69</v>
      </c>
      <c r="I2298" s="47">
        <v>1361.89</v>
      </c>
      <c r="J2298" s="46">
        <v>1311.3</v>
      </c>
      <c r="K2298" s="46">
        <v>1616.43</v>
      </c>
      <c r="L2298" s="649">
        <v>1125.0899999999999</v>
      </c>
      <c r="M2298" s="649"/>
    </row>
    <row r="2299" spans="1:13" x14ac:dyDescent="0.25">
      <c r="A2299" s="598" t="s">
        <v>21</v>
      </c>
      <c r="B2299" s="599"/>
      <c r="C2299" s="647">
        <f t="shared" ref="C2299:I2299" si="105">C2296-C2298</f>
        <v>167.07000000000016</v>
      </c>
      <c r="D2299" s="647">
        <f t="shared" si="105"/>
        <v>195.37000000000012</v>
      </c>
      <c r="E2299" s="647">
        <f t="shared" si="105"/>
        <v>352.98</v>
      </c>
      <c r="F2299" s="1042">
        <f t="shared" si="105"/>
        <v>209.37000000000012</v>
      </c>
      <c r="G2299" s="1042">
        <f t="shared" si="105"/>
        <v>215.16000000000008</v>
      </c>
      <c r="H2299" s="46">
        <f t="shared" si="105"/>
        <v>194.46000000000004</v>
      </c>
      <c r="I2299" s="47">
        <f t="shared" si="105"/>
        <v>106.53600000000006</v>
      </c>
      <c r="J2299" s="47">
        <v>136.3760000000002</v>
      </c>
      <c r="K2299" s="46">
        <v>-141.18</v>
      </c>
      <c r="L2299" s="47">
        <f>L2296-L2298</f>
        <v>74.870000000000118</v>
      </c>
      <c r="M2299" s="649"/>
    </row>
    <row r="2300" spans="1:13" x14ac:dyDescent="0.25">
      <c r="A2300" s="609" t="s">
        <v>22</v>
      </c>
      <c r="B2300" s="610"/>
      <c r="C2300" s="611">
        <v>2017</v>
      </c>
      <c r="D2300" s="638">
        <v>2018</v>
      </c>
      <c r="E2300" s="611">
        <v>2019</v>
      </c>
      <c r="F2300" s="1038">
        <v>2020</v>
      </c>
      <c r="G2300" s="257">
        <v>2021</v>
      </c>
      <c r="H2300" s="257">
        <v>2022</v>
      </c>
      <c r="I2300" s="257">
        <v>2023</v>
      </c>
      <c r="J2300" s="257">
        <v>2024</v>
      </c>
      <c r="K2300" s="257">
        <v>2025</v>
      </c>
      <c r="L2300" s="642">
        <v>2026</v>
      </c>
      <c r="M2300" s="642">
        <v>2027</v>
      </c>
    </row>
    <row r="2301" spans="1:13" x14ac:dyDescent="0.25">
      <c r="A2301" s="614" t="s">
        <v>538</v>
      </c>
      <c r="B2301" s="615"/>
      <c r="C2301" s="616"/>
      <c r="D2301" s="616"/>
      <c r="E2301" s="616"/>
      <c r="F2301" s="1020"/>
      <c r="G2301" s="784"/>
      <c r="H2301" s="784"/>
      <c r="I2301" s="784"/>
      <c r="J2301" s="784"/>
      <c r="K2301" s="784"/>
      <c r="L2301" s="669"/>
      <c r="M2301" s="672"/>
    </row>
    <row r="2302" spans="1:13" x14ac:dyDescent="0.25">
      <c r="A2302" s="614" t="s">
        <v>128</v>
      </c>
      <c r="B2302" s="615"/>
      <c r="C2302" s="615"/>
      <c r="D2302" s="615"/>
      <c r="E2302" s="615"/>
      <c r="F2302" s="1019"/>
      <c r="G2302" s="669"/>
      <c r="H2302" s="669"/>
      <c r="I2302" s="669"/>
      <c r="J2302" s="669"/>
      <c r="K2302" s="669"/>
      <c r="L2302" s="669"/>
      <c r="M2302" s="672"/>
    </row>
    <row r="2303" spans="1:13" x14ac:dyDescent="0.25">
      <c r="A2303" s="617" t="s">
        <v>129</v>
      </c>
      <c r="B2303" s="595"/>
      <c r="C2303" s="595"/>
      <c r="D2303" s="595"/>
      <c r="E2303" s="595"/>
      <c r="F2303" s="1002"/>
      <c r="M2303" s="684"/>
    </row>
    <row r="2304" spans="1:13" x14ac:dyDescent="0.25">
      <c r="A2304" s="617" t="s">
        <v>130</v>
      </c>
      <c r="B2304" s="595"/>
      <c r="C2304" s="595"/>
      <c r="D2304" s="595"/>
      <c r="E2304" s="595"/>
      <c r="F2304" s="1002"/>
      <c r="M2304" s="684"/>
    </row>
    <row r="2305" spans="1:26 2515:2515" x14ac:dyDescent="0.25">
      <c r="A2305" s="617" t="s">
        <v>131</v>
      </c>
      <c r="B2305" s="595"/>
      <c r="C2305" s="595"/>
      <c r="D2305" s="595"/>
      <c r="E2305" s="595"/>
      <c r="F2305" s="1002"/>
      <c r="M2305" s="684"/>
    </row>
    <row r="2306" spans="1:26 2515:2515" x14ac:dyDescent="0.25">
      <c r="A2306" s="617" t="s">
        <v>304</v>
      </c>
      <c r="B2306" s="595"/>
      <c r="C2306" s="595"/>
      <c r="D2306" s="595"/>
      <c r="E2306" s="595"/>
      <c r="F2306" s="1002"/>
      <c r="M2306" s="684"/>
    </row>
    <row r="2307" spans="1:26 2515:2515" x14ac:dyDescent="0.25">
      <c r="A2307" s="617" t="s">
        <v>537</v>
      </c>
      <c r="B2307" s="595"/>
      <c r="C2307" s="595"/>
      <c r="D2307" s="595"/>
      <c r="E2307" s="595"/>
      <c r="F2307" s="1002"/>
      <c r="M2307" s="684"/>
    </row>
    <row r="2308" spans="1:26 2515:2515" x14ac:dyDescent="0.25">
      <c r="A2308" s="617" t="s">
        <v>668</v>
      </c>
      <c r="B2308" s="595"/>
      <c r="C2308" s="595"/>
      <c r="D2308" s="595"/>
      <c r="E2308" s="595"/>
      <c r="F2308" s="1002"/>
      <c r="M2308" s="684"/>
      <c r="CRS2308" s="206"/>
    </row>
    <row r="2309" spans="1:26 2515:2515" x14ac:dyDescent="0.25">
      <c r="A2309" s="617" t="s">
        <v>867</v>
      </c>
      <c r="B2309" s="595"/>
      <c r="C2309" s="595"/>
      <c r="D2309" s="595"/>
      <c r="E2309" s="595"/>
      <c r="F2309" s="1002"/>
      <c r="M2309" s="684"/>
    </row>
    <row r="2310" spans="1:26 2515:2515" s="75" customFormat="1" ht="12.75" customHeight="1" x14ac:dyDescent="0.35">
      <c r="A2310" s="64" t="s">
        <v>1014</v>
      </c>
      <c r="B2310" s="6"/>
      <c r="C2310" s="6"/>
      <c r="D2310" s="6"/>
      <c r="E2310" s="6"/>
      <c r="F2310" s="68"/>
      <c r="G2310" s="68"/>
      <c r="H2310" s="68"/>
      <c r="I2310" s="68"/>
      <c r="J2310" s="68"/>
      <c r="K2310" s="68"/>
      <c r="L2310" s="68"/>
      <c r="M2310" s="684"/>
      <c r="N2310" s="68"/>
      <c r="O2310" s="68"/>
      <c r="P2310" s="6"/>
      <c r="Q2310" s="6"/>
      <c r="R2310" s="6"/>
      <c r="S2310" s="6"/>
      <c r="T2310" s="6"/>
      <c r="U2310" s="6"/>
      <c r="V2310" s="6"/>
      <c r="W2310" s="6"/>
      <c r="X2310" s="6"/>
      <c r="Y2310" s="6"/>
      <c r="Z2310" s="6"/>
    </row>
    <row r="2311" spans="1:26 2515:2515" s="394" customFormat="1" ht="12.75" customHeight="1" x14ac:dyDescent="0.35">
      <c r="A2311" s="64" t="s">
        <v>1194</v>
      </c>
      <c r="B2311" s="65"/>
      <c r="C2311" s="65"/>
      <c r="D2311" s="65"/>
      <c r="E2311" s="65"/>
      <c r="F2311" s="68"/>
      <c r="G2311" s="68"/>
      <c r="H2311" s="68"/>
      <c r="I2311" s="68"/>
      <c r="J2311" s="68"/>
      <c r="K2311" s="68"/>
      <c r="L2311" s="68"/>
      <c r="M2311" s="684"/>
      <c r="N2311" s="68"/>
      <c r="O2311" s="68"/>
      <c r="P2311" s="65"/>
      <c r="Q2311" s="65"/>
      <c r="R2311" s="65"/>
      <c r="S2311" s="65"/>
      <c r="T2311" s="65"/>
      <c r="U2311" s="65"/>
      <c r="V2311" s="65"/>
      <c r="W2311" s="65"/>
      <c r="X2311" s="65"/>
      <c r="Y2311" s="65"/>
      <c r="Z2311" s="65"/>
    </row>
    <row r="2312" spans="1:26 2515:2515" s="394" customFormat="1" ht="12.75" customHeight="1" x14ac:dyDescent="0.35">
      <c r="A2312" s="206" t="s">
        <v>1358</v>
      </c>
      <c r="B2312" s="65"/>
      <c r="C2312" s="65"/>
      <c r="D2312" s="65"/>
      <c r="E2312" s="65"/>
      <c r="F2312" s="68"/>
      <c r="G2312" s="68"/>
      <c r="H2312" s="68"/>
      <c r="I2312" s="68"/>
      <c r="J2312" s="68"/>
      <c r="K2312" s="68"/>
      <c r="L2312" s="68"/>
      <c r="M2312" s="684"/>
      <c r="N2312" s="68"/>
      <c r="O2312" s="68"/>
      <c r="P2312" s="65"/>
      <c r="Q2312" s="65"/>
      <c r="R2312" s="65"/>
      <c r="S2312" s="65"/>
      <c r="T2312" s="65"/>
      <c r="U2312" s="65"/>
      <c r="V2312" s="65"/>
      <c r="W2312" s="65"/>
      <c r="X2312" s="65"/>
      <c r="Y2312" s="65"/>
      <c r="Z2312" s="65"/>
    </row>
    <row r="2313" spans="1:26 2515:2515" x14ac:dyDescent="0.25">
      <c r="A2313" s="64" t="s">
        <v>539</v>
      </c>
      <c r="M2313" s="684"/>
    </row>
    <row r="2314" spans="1:26 2515:2515" x14ac:dyDescent="0.25">
      <c r="A2314" s="64" t="s">
        <v>669</v>
      </c>
      <c r="M2314" s="684"/>
    </row>
    <row r="2315" spans="1:26 2515:2515" s="75" customFormat="1" ht="12.75" customHeight="1" x14ac:dyDescent="0.35">
      <c r="A2315" s="64" t="s">
        <v>1015</v>
      </c>
      <c r="B2315" s="6"/>
      <c r="C2315" s="6"/>
      <c r="D2315" s="6"/>
      <c r="E2315" s="6"/>
      <c r="F2315" s="68"/>
      <c r="G2315" s="68"/>
      <c r="H2315" s="68"/>
      <c r="I2315" s="68"/>
      <c r="J2315" s="68"/>
      <c r="K2315" s="68"/>
      <c r="L2315" s="68"/>
      <c r="M2315" s="684"/>
      <c r="N2315" s="68"/>
      <c r="O2315" s="68"/>
      <c r="P2315" s="6"/>
      <c r="Q2315" s="6"/>
      <c r="R2315" s="6"/>
      <c r="S2315" s="6"/>
      <c r="T2315" s="6"/>
      <c r="U2315" s="6"/>
      <c r="V2315" s="6"/>
      <c r="W2315" s="6"/>
      <c r="X2315" s="6"/>
      <c r="Y2315" s="6"/>
      <c r="Z2315" s="6"/>
    </row>
    <row r="2316" spans="1:26 2515:2515" x14ac:dyDescent="0.25">
      <c r="A2316" s="72" t="s">
        <v>868</v>
      </c>
      <c r="B2316" s="73"/>
      <c r="C2316" s="73"/>
      <c r="D2316" s="73"/>
      <c r="E2316" s="73"/>
      <c r="F2316" s="685"/>
      <c r="G2316" s="685"/>
      <c r="H2316" s="685"/>
      <c r="I2316" s="685"/>
      <c r="J2316" s="685"/>
      <c r="K2316" s="685"/>
      <c r="L2316" s="685"/>
      <c r="M2316" s="675"/>
    </row>
    <row r="2319" spans="1:26 2515:2515" x14ac:dyDescent="0.25">
      <c r="A2319" s="8" t="s">
        <v>24</v>
      </c>
      <c r="B2319" s="9" t="s">
        <v>540</v>
      </c>
    </row>
    <row r="2320" spans="1:26 2515:2515" x14ac:dyDescent="0.25">
      <c r="A2320" s="207" t="s">
        <v>14</v>
      </c>
      <c r="B2320" s="57" t="s">
        <v>624</v>
      </c>
      <c r="C2320" s="534" t="s">
        <v>26</v>
      </c>
    </row>
    <row r="2321" spans="1:12" x14ac:dyDescent="0.25">
      <c r="A2321" s="229" t="s">
        <v>27</v>
      </c>
      <c r="B2321" s="333">
        <v>2016</v>
      </c>
      <c r="C2321" s="210">
        <v>2017</v>
      </c>
      <c r="D2321" s="535">
        <v>2018</v>
      </c>
      <c r="E2321" s="210">
        <v>2019</v>
      </c>
      <c r="F2321" s="770">
        <v>2020</v>
      </c>
      <c r="G2321" s="770">
        <v>2021</v>
      </c>
      <c r="H2321" s="770">
        <v>2022</v>
      </c>
      <c r="I2321" s="770">
        <v>2023</v>
      </c>
      <c r="J2321" s="770">
        <v>2024</v>
      </c>
      <c r="K2321" s="770">
        <v>2025</v>
      </c>
      <c r="L2321" s="770">
        <v>2026</v>
      </c>
    </row>
    <row r="2322" spans="1:12" x14ac:dyDescent="0.25">
      <c r="A2322" s="29" t="s">
        <v>28</v>
      </c>
      <c r="B2322" s="97">
        <v>250</v>
      </c>
      <c r="C2322" s="97">
        <v>250</v>
      </c>
      <c r="D2322" s="97">
        <v>300</v>
      </c>
      <c r="E2322" s="97">
        <v>300</v>
      </c>
      <c r="F2322" s="47">
        <v>300</v>
      </c>
      <c r="G2322" s="47">
        <v>337.5</v>
      </c>
      <c r="H2322" s="47">
        <v>337.5</v>
      </c>
      <c r="I2322" s="47">
        <v>337.5</v>
      </c>
      <c r="J2322" s="47">
        <v>421.9</v>
      </c>
      <c r="K2322" s="47">
        <v>421.9</v>
      </c>
      <c r="L2322" s="47">
        <v>421.9</v>
      </c>
    </row>
    <row r="2323" spans="1:12" x14ac:dyDescent="0.25">
      <c r="A2323" s="29" t="s">
        <v>29</v>
      </c>
      <c r="B2323" s="97">
        <v>-415.21000000000004</v>
      </c>
      <c r="C2323" s="97">
        <f>B2326+C2322+60+150+114</f>
        <v>-128.19000000000005</v>
      </c>
      <c r="D2323" s="97">
        <f>C2326+D2322</f>
        <v>-129.54000000000008</v>
      </c>
      <c r="E2323" s="97">
        <f>E2322+D2326</f>
        <v>5.0099999999999341</v>
      </c>
      <c r="F2323" s="708">
        <f>E2326+F2322</f>
        <v>84.089999999999947</v>
      </c>
      <c r="G2323" s="708">
        <f>G2322+F2326</f>
        <v>175.66999999999996</v>
      </c>
      <c r="H2323" s="708">
        <f>H2322+G2326</f>
        <v>214.65699999999998</v>
      </c>
      <c r="I2323" s="708">
        <f>I2322+H2326</f>
        <v>234.81599999999997</v>
      </c>
      <c r="J2323" s="708">
        <f>J2322+I2326</f>
        <v>443.82599999999996</v>
      </c>
      <c r="K2323" s="708">
        <f>K2322+0.25*J2322</f>
        <v>527.375</v>
      </c>
      <c r="L2323" s="708">
        <f>L2322+0.25*K2322</f>
        <v>527.375</v>
      </c>
    </row>
    <row r="2324" spans="1:12" x14ac:dyDescent="0.25">
      <c r="A2324" s="29" t="s">
        <v>30</v>
      </c>
      <c r="B2324" s="554"/>
      <c r="C2324" s="650" t="s">
        <v>543</v>
      </c>
      <c r="D2324" s="554" t="s">
        <v>544</v>
      </c>
      <c r="E2324" s="554" t="s">
        <v>545</v>
      </c>
      <c r="F2324" s="981" t="s">
        <v>548</v>
      </c>
      <c r="G2324" s="981" t="s">
        <v>550</v>
      </c>
      <c r="H2324" s="981" t="s">
        <v>692</v>
      </c>
      <c r="I2324" s="981" t="s">
        <v>848</v>
      </c>
      <c r="J2324" s="981" t="s">
        <v>1007</v>
      </c>
      <c r="K2324" s="981" t="s">
        <v>1106</v>
      </c>
      <c r="L2324" s="981" t="s">
        <v>1255</v>
      </c>
    </row>
    <row r="2325" spans="1:12" x14ac:dyDescent="0.25">
      <c r="A2325" s="29" t="s">
        <v>31</v>
      </c>
      <c r="B2325" s="97">
        <v>286.98</v>
      </c>
      <c r="C2325" s="97">
        <v>301.35000000000002</v>
      </c>
      <c r="D2325" s="97">
        <v>165.45</v>
      </c>
      <c r="E2325" s="97">
        <v>220.92</v>
      </c>
      <c r="F2325" s="47">
        <v>245.92</v>
      </c>
      <c r="G2325" s="47">
        <v>298.51299999999998</v>
      </c>
      <c r="H2325" s="47">
        <v>317.34100000000001</v>
      </c>
      <c r="I2325" s="47">
        <v>212.89</v>
      </c>
      <c r="J2325" s="46">
        <v>179.49600000000001</v>
      </c>
      <c r="K2325" s="46">
        <v>85.218999999999994</v>
      </c>
      <c r="L2325" s="46"/>
    </row>
    <row r="2326" spans="1:12" x14ac:dyDescent="0.25">
      <c r="A2326" s="29" t="s">
        <v>32</v>
      </c>
      <c r="B2326" s="97">
        <f t="shared" ref="B2326:K2326" si="106">B2323-B2325</f>
        <v>-702.19</v>
      </c>
      <c r="C2326" s="97">
        <f t="shared" si="106"/>
        <v>-429.54000000000008</v>
      </c>
      <c r="D2326" s="97">
        <f t="shared" si="106"/>
        <v>-294.99000000000007</v>
      </c>
      <c r="E2326" s="97">
        <f t="shared" si="106"/>
        <v>-215.91000000000005</v>
      </c>
      <c r="F2326" s="708">
        <f t="shared" si="106"/>
        <v>-161.83000000000004</v>
      </c>
      <c r="G2326" s="47">
        <f t="shared" si="106"/>
        <v>-122.84300000000002</v>
      </c>
      <c r="H2326" s="47">
        <f t="shared" si="106"/>
        <v>-102.68400000000003</v>
      </c>
      <c r="I2326" s="47">
        <f t="shared" si="106"/>
        <v>21.925999999999988</v>
      </c>
      <c r="J2326" s="47">
        <f t="shared" si="106"/>
        <v>264.32999999999993</v>
      </c>
      <c r="K2326" s="47">
        <f t="shared" si="106"/>
        <v>442.15600000000001</v>
      </c>
      <c r="L2326" s="46"/>
    </row>
    <row r="2327" spans="1:12" x14ac:dyDescent="0.25">
      <c r="A2327" s="36" t="s">
        <v>33</v>
      </c>
      <c r="B2327" s="237">
        <v>2018</v>
      </c>
      <c r="C2327" s="237">
        <v>2018</v>
      </c>
      <c r="D2327" s="237">
        <v>2019</v>
      </c>
      <c r="E2327" s="237">
        <v>2020</v>
      </c>
      <c r="F2327" s="498">
        <v>2021</v>
      </c>
      <c r="G2327" s="498">
        <v>2022</v>
      </c>
      <c r="H2327" s="498">
        <v>2023</v>
      </c>
      <c r="I2327" s="498">
        <v>2024</v>
      </c>
      <c r="J2327" s="498">
        <v>2025</v>
      </c>
      <c r="K2327" s="498">
        <v>2026</v>
      </c>
      <c r="L2327" s="498">
        <v>2027</v>
      </c>
    </row>
    <row r="2328" spans="1:12" x14ac:dyDescent="0.25">
      <c r="A2328" s="36" t="s">
        <v>542</v>
      </c>
      <c r="B2328" s="238"/>
      <c r="C2328" s="238"/>
      <c r="D2328" s="238"/>
      <c r="E2328" s="238"/>
      <c r="F2328" s="784"/>
      <c r="G2328" s="669"/>
      <c r="H2328" s="669"/>
      <c r="I2328" s="669"/>
      <c r="J2328" s="669"/>
      <c r="K2328" s="669"/>
      <c r="L2328" s="672"/>
    </row>
    <row r="2329" spans="1:12" x14ac:dyDescent="0.25">
      <c r="A2329" s="64" t="s">
        <v>546</v>
      </c>
      <c r="B2329" s="500"/>
      <c r="C2329" s="500"/>
      <c r="D2329" s="500"/>
      <c r="E2329" s="500"/>
      <c r="F2329" s="938"/>
      <c r="L2329" s="684"/>
    </row>
    <row r="2330" spans="1:12" x14ac:dyDescent="0.25">
      <c r="A2330" s="64" t="s">
        <v>547</v>
      </c>
      <c r="B2330" s="500"/>
      <c r="C2330" s="500"/>
      <c r="D2330" s="500"/>
      <c r="E2330" s="500"/>
      <c r="F2330" s="938"/>
      <c r="L2330" s="684"/>
    </row>
    <row r="2331" spans="1:12" x14ac:dyDescent="0.25">
      <c r="A2331" s="64" t="s">
        <v>549</v>
      </c>
      <c r="B2331" s="500"/>
      <c r="C2331" s="500"/>
      <c r="D2331" s="500"/>
      <c r="E2331" s="500"/>
      <c r="F2331" s="938"/>
      <c r="L2331" s="684"/>
    </row>
    <row r="2332" spans="1:12" x14ac:dyDescent="0.25">
      <c r="A2332" s="64" t="s">
        <v>551</v>
      </c>
      <c r="B2332" s="500"/>
      <c r="C2332" s="500"/>
      <c r="D2332" s="500"/>
      <c r="E2332" s="500"/>
      <c r="F2332" s="938"/>
      <c r="L2332" s="684"/>
    </row>
    <row r="2333" spans="1:12" x14ac:dyDescent="0.25">
      <c r="A2333" s="64" t="s">
        <v>693</v>
      </c>
      <c r="B2333" s="500"/>
      <c r="C2333" s="500"/>
      <c r="D2333" s="500"/>
      <c r="E2333" s="500"/>
      <c r="F2333" s="938"/>
      <c r="L2333" s="684"/>
    </row>
    <row r="2334" spans="1:12" x14ac:dyDescent="0.25">
      <c r="A2334" s="64" t="s">
        <v>849</v>
      </c>
      <c r="B2334" s="500"/>
      <c r="C2334" s="500"/>
      <c r="D2334" s="500"/>
      <c r="E2334" s="500"/>
      <c r="F2334" s="938"/>
      <c r="L2334" s="684"/>
    </row>
    <row r="2335" spans="1:12" x14ac:dyDescent="0.25">
      <c r="A2335" s="64" t="s">
        <v>1008</v>
      </c>
      <c r="B2335" s="500"/>
      <c r="C2335" s="500"/>
      <c r="D2335" s="500"/>
      <c r="E2335" s="500"/>
      <c r="F2335" s="938"/>
      <c r="L2335" s="684"/>
    </row>
    <row r="2336" spans="1:12" x14ac:dyDescent="0.25">
      <c r="A2336" s="64" t="s">
        <v>1109</v>
      </c>
      <c r="B2336" s="500"/>
      <c r="C2336" s="500"/>
      <c r="D2336" s="500"/>
      <c r="E2336" s="500"/>
      <c r="F2336" s="938"/>
      <c r="L2336" s="684"/>
    </row>
    <row r="2337" spans="1:12" x14ac:dyDescent="0.25">
      <c r="A2337" s="206" t="s">
        <v>1292</v>
      </c>
      <c r="B2337" s="500"/>
      <c r="C2337" s="500"/>
      <c r="D2337" s="500"/>
      <c r="E2337" s="500"/>
      <c r="F2337" s="938"/>
      <c r="L2337" s="684"/>
    </row>
    <row r="2338" spans="1:12" x14ac:dyDescent="0.25">
      <c r="A2338" s="72" t="s">
        <v>541</v>
      </c>
      <c r="B2338" s="555"/>
      <c r="C2338" s="555"/>
      <c r="D2338" s="555"/>
      <c r="E2338" s="555"/>
      <c r="F2338" s="982"/>
      <c r="G2338" s="685"/>
      <c r="H2338" s="685"/>
      <c r="I2338" s="685"/>
      <c r="J2338" s="685"/>
      <c r="K2338" s="685"/>
      <c r="L2338" s="675"/>
    </row>
    <row r="2339" spans="1:12" x14ac:dyDescent="0.25">
      <c r="A2339" s="5"/>
      <c r="B2339" s="5"/>
    </row>
    <row r="2340" spans="1:12" x14ac:dyDescent="0.25">
      <c r="A2340" s="8" t="s">
        <v>14</v>
      </c>
      <c r="B2340" s="9" t="s">
        <v>623</v>
      </c>
      <c r="C2340" s="534" t="s">
        <v>26</v>
      </c>
    </row>
    <row r="2341" spans="1:12" x14ac:dyDescent="0.25">
      <c r="A2341" s="229" t="s">
        <v>27</v>
      </c>
      <c r="B2341" s="210">
        <v>2016</v>
      </c>
      <c r="C2341" s="210">
        <v>2017</v>
      </c>
      <c r="D2341" s="535">
        <v>2018</v>
      </c>
      <c r="E2341" s="210">
        <v>2019</v>
      </c>
      <c r="F2341" s="770">
        <v>2020</v>
      </c>
      <c r="G2341" s="770">
        <v>2021</v>
      </c>
      <c r="H2341" s="770">
        <v>2022</v>
      </c>
      <c r="I2341" s="770">
        <v>2023</v>
      </c>
      <c r="J2341" s="770">
        <v>2024</v>
      </c>
      <c r="K2341" s="770">
        <v>2025</v>
      </c>
      <c r="L2341" s="770">
        <v>2026</v>
      </c>
    </row>
    <row r="2342" spans="1:12" x14ac:dyDescent="0.25">
      <c r="A2342" s="29" t="s">
        <v>28</v>
      </c>
      <c r="B2342" s="97">
        <v>85</v>
      </c>
      <c r="C2342" s="97">
        <v>85</v>
      </c>
      <c r="D2342" s="97">
        <v>85</v>
      </c>
      <c r="E2342" s="97">
        <v>85</v>
      </c>
      <c r="F2342" s="47">
        <v>85</v>
      </c>
      <c r="G2342" s="47">
        <v>85</v>
      </c>
      <c r="H2342" s="47">
        <v>85</v>
      </c>
      <c r="I2342" s="47">
        <v>85</v>
      </c>
      <c r="J2342" s="47">
        <v>85</v>
      </c>
      <c r="K2342" s="47">
        <v>85</v>
      </c>
      <c r="L2342" s="47">
        <v>85</v>
      </c>
    </row>
    <row r="2343" spans="1:12" x14ac:dyDescent="0.25">
      <c r="A2343" s="29" t="s">
        <v>29</v>
      </c>
      <c r="B2343" s="97">
        <f>B2342*1.5</f>
        <v>127.5</v>
      </c>
      <c r="C2343" s="97">
        <f>C2342+0.5*B2342-12.75</f>
        <v>114.75</v>
      </c>
      <c r="D2343" s="97">
        <f>D2342+0.4*B2342-12.75</f>
        <v>106.25</v>
      </c>
      <c r="E2343" s="97">
        <f t="shared" ref="E2343:L2343" si="107">E2342+0.4*C2342</f>
        <v>119</v>
      </c>
      <c r="F2343" s="708">
        <f t="shared" si="107"/>
        <v>119</v>
      </c>
      <c r="G2343" s="708">
        <f t="shared" si="107"/>
        <v>119</v>
      </c>
      <c r="H2343" s="708">
        <f t="shared" si="107"/>
        <v>119</v>
      </c>
      <c r="I2343" s="708">
        <f t="shared" si="107"/>
        <v>119</v>
      </c>
      <c r="J2343" s="708">
        <f t="shared" si="107"/>
        <v>119</v>
      </c>
      <c r="K2343" s="708">
        <f t="shared" si="107"/>
        <v>119</v>
      </c>
      <c r="L2343" s="708">
        <f t="shared" si="107"/>
        <v>119</v>
      </c>
    </row>
    <row r="2344" spans="1:12" x14ac:dyDescent="0.25">
      <c r="A2344" s="29" t="s">
        <v>30</v>
      </c>
      <c r="B2344" s="303" t="s">
        <v>552</v>
      </c>
      <c r="C2344" s="303" t="s">
        <v>555</v>
      </c>
      <c r="D2344" s="303" t="s">
        <v>556</v>
      </c>
      <c r="E2344" s="303" t="s">
        <v>557</v>
      </c>
      <c r="F2344" s="826" t="s">
        <v>557</v>
      </c>
      <c r="G2344" s="826" t="s">
        <v>557</v>
      </c>
      <c r="H2344" s="826" t="s">
        <v>557</v>
      </c>
      <c r="I2344" s="826" t="s">
        <v>557</v>
      </c>
      <c r="J2344" s="826" t="s">
        <v>557</v>
      </c>
      <c r="K2344" s="826" t="s">
        <v>557</v>
      </c>
      <c r="L2344" s="826" t="s">
        <v>557</v>
      </c>
    </row>
    <row r="2345" spans="1:12" ht="13" x14ac:dyDescent="0.3">
      <c r="A2345" s="29" t="s">
        <v>31</v>
      </c>
      <c r="B2345" s="97">
        <v>52.75</v>
      </c>
      <c r="C2345" s="97">
        <v>52.26</v>
      </c>
      <c r="D2345" s="97">
        <v>30.79</v>
      </c>
      <c r="E2345" s="97">
        <v>31.39</v>
      </c>
      <c r="F2345" s="47">
        <v>14.36</v>
      </c>
      <c r="G2345" s="47">
        <v>13.391</v>
      </c>
      <c r="H2345" s="47">
        <v>16.809999999999999</v>
      </c>
      <c r="I2345" s="47">
        <v>31.181000000000001</v>
      </c>
      <c r="J2345" s="47">
        <v>38.901000000000003</v>
      </c>
      <c r="K2345" s="812">
        <v>6.8810000000000002</v>
      </c>
      <c r="L2345" s="735"/>
    </row>
    <row r="2346" spans="1:12" ht="13" x14ac:dyDescent="0.3">
      <c r="A2346" s="29" t="s">
        <v>32</v>
      </c>
      <c r="B2346" s="97">
        <f t="shared" ref="B2346:K2346" si="108">B2343-B2345</f>
        <v>74.75</v>
      </c>
      <c r="C2346" s="97">
        <f t="shared" si="108"/>
        <v>62.49</v>
      </c>
      <c r="D2346" s="97">
        <f t="shared" si="108"/>
        <v>75.460000000000008</v>
      </c>
      <c r="E2346" s="97">
        <f t="shared" si="108"/>
        <v>87.61</v>
      </c>
      <c r="F2346" s="708">
        <f t="shared" si="108"/>
        <v>104.64</v>
      </c>
      <c r="G2346" s="47">
        <f t="shared" si="108"/>
        <v>105.60899999999999</v>
      </c>
      <c r="H2346" s="47">
        <f t="shared" si="108"/>
        <v>102.19</v>
      </c>
      <c r="I2346" s="47">
        <f t="shared" si="108"/>
        <v>87.819000000000003</v>
      </c>
      <c r="J2346" s="47">
        <f t="shared" si="108"/>
        <v>80.09899999999999</v>
      </c>
      <c r="K2346" s="47">
        <f t="shared" si="108"/>
        <v>112.119</v>
      </c>
      <c r="L2346" s="736"/>
    </row>
    <row r="2347" spans="1:12" ht="13" x14ac:dyDescent="0.3">
      <c r="A2347" s="36" t="s">
        <v>33</v>
      </c>
      <c r="B2347" s="237">
        <v>2018</v>
      </c>
      <c r="C2347" s="237">
        <v>2019</v>
      </c>
      <c r="D2347" s="537">
        <v>2020</v>
      </c>
      <c r="E2347" s="237">
        <v>2021</v>
      </c>
      <c r="F2347" s="498">
        <v>2022</v>
      </c>
      <c r="G2347" s="498">
        <v>2023</v>
      </c>
      <c r="H2347" s="498">
        <v>2024</v>
      </c>
      <c r="I2347" s="498">
        <v>2025</v>
      </c>
      <c r="J2347" s="498">
        <v>2025</v>
      </c>
      <c r="K2347" s="1044">
        <v>2027</v>
      </c>
      <c r="L2347" s="1044">
        <v>2028</v>
      </c>
    </row>
    <row r="2348" spans="1:12" ht="13.4" customHeight="1" x14ac:dyDescent="0.25">
      <c r="A2348" s="36" t="s">
        <v>502</v>
      </c>
      <c r="B2348" s="376"/>
      <c r="C2348" s="376"/>
      <c r="D2348" s="376"/>
      <c r="E2348" s="376"/>
      <c r="F2348" s="881"/>
      <c r="G2348" s="881"/>
      <c r="H2348" s="881"/>
      <c r="I2348" s="881"/>
      <c r="J2348" s="881"/>
      <c r="K2348" s="669"/>
      <c r="L2348" s="672"/>
    </row>
    <row r="2349" spans="1:12" x14ac:dyDescent="0.25">
      <c r="A2349" s="219" t="s">
        <v>503</v>
      </c>
      <c r="B2349" s="246"/>
      <c r="C2349" s="246"/>
      <c r="D2349" s="246"/>
      <c r="E2349" s="246"/>
      <c r="F2349" s="377"/>
      <c r="G2349" s="377"/>
      <c r="H2349" s="377"/>
      <c r="I2349" s="377"/>
      <c r="J2349" s="377"/>
      <c r="L2349" s="684"/>
    </row>
    <row r="2350" spans="1:12" x14ac:dyDescent="0.25">
      <c r="A2350" s="64" t="s">
        <v>553</v>
      </c>
      <c r="L2350" s="684"/>
    </row>
    <row r="2351" spans="1:12" x14ac:dyDescent="0.25">
      <c r="A2351" s="72" t="s">
        <v>554</v>
      </c>
      <c r="B2351" s="73"/>
      <c r="C2351" s="73"/>
      <c r="D2351" s="73"/>
      <c r="E2351" s="73"/>
      <c r="F2351" s="685"/>
      <c r="G2351" s="685"/>
      <c r="H2351" s="685"/>
      <c r="I2351" s="685"/>
      <c r="J2351" s="685"/>
      <c r="K2351" s="685"/>
      <c r="L2351" s="675"/>
    </row>
    <row r="2353" spans="1:12" x14ac:dyDescent="0.25">
      <c r="A2353" s="8" t="s">
        <v>14</v>
      </c>
      <c r="B2353" s="9" t="s">
        <v>74</v>
      </c>
      <c r="C2353" s="534" t="s">
        <v>26</v>
      </c>
    </row>
    <row r="2354" spans="1:12" x14ac:dyDescent="0.25">
      <c r="A2354" s="229" t="s">
        <v>27</v>
      </c>
      <c r="B2354" s="210">
        <v>2016</v>
      </c>
      <c r="C2354" s="210">
        <v>2017</v>
      </c>
      <c r="D2354" s="535">
        <v>2018</v>
      </c>
      <c r="E2354" s="210">
        <v>2019</v>
      </c>
      <c r="F2354" s="770">
        <v>2020</v>
      </c>
      <c r="G2354" s="770">
        <v>2021</v>
      </c>
      <c r="H2354" s="770">
        <v>2022</v>
      </c>
      <c r="I2354" s="770">
        <v>2023</v>
      </c>
      <c r="J2354" s="770">
        <v>2024</v>
      </c>
      <c r="K2354" s="770">
        <v>2025</v>
      </c>
      <c r="L2354" s="770">
        <v>2026</v>
      </c>
    </row>
    <row r="2355" spans="1:12" x14ac:dyDescent="0.25">
      <c r="A2355" s="29" t="s">
        <v>28</v>
      </c>
      <c r="B2355" s="97">
        <v>100</v>
      </c>
      <c r="C2355" s="97">
        <v>100</v>
      </c>
      <c r="D2355" s="97">
        <v>100</v>
      </c>
      <c r="E2355" s="97">
        <v>100</v>
      </c>
      <c r="F2355" s="47">
        <v>84.1</v>
      </c>
      <c r="G2355" s="47">
        <v>84.1</v>
      </c>
      <c r="H2355" s="47">
        <v>84.1</v>
      </c>
      <c r="I2355" s="47">
        <v>84.1</v>
      </c>
      <c r="J2355" s="47">
        <v>84.1</v>
      </c>
      <c r="K2355" s="47">
        <v>84.1</v>
      </c>
      <c r="L2355" s="47">
        <v>84.1</v>
      </c>
    </row>
    <row r="2356" spans="1:12" x14ac:dyDescent="0.25">
      <c r="A2356" s="29" t="s">
        <v>29</v>
      </c>
      <c r="B2356" s="97">
        <f>B2355*1.1</f>
        <v>110.00000000000001</v>
      </c>
      <c r="C2356" s="97">
        <f>C2355*1.1-30</f>
        <v>80.000000000000014</v>
      </c>
      <c r="D2356" s="97">
        <f>D2355+C2359+0.1*B2355</f>
        <v>92.590000000000018</v>
      </c>
      <c r="E2356" s="97">
        <v>100</v>
      </c>
      <c r="F2356" s="708">
        <f>F2355+0.1*D2355</f>
        <v>94.1</v>
      </c>
      <c r="G2356" s="708">
        <f>G2355+0.1*E2355</f>
        <v>94.1</v>
      </c>
      <c r="H2356" s="708"/>
      <c r="I2356" s="708"/>
      <c r="J2356" s="708">
        <f>J2355+I2359</f>
        <v>82.440999999999988</v>
      </c>
      <c r="K2356" s="708">
        <f>K2355+1.25*J2359</f>
        <v>60.978749999999977</v>
      </c>
      <c r="L2356" s="708">
        <f>L2355</f>
        <v>84.1</v>
      </c>
    </row>
    <row r="2357" spans="1:12" x14ac:dyDescent="0.25">
      <c r="A2357" s="29" t="s">
        <v>30</v>
      </c>
      <c r="B2357" s="303" t="s">
        <v>559</v>
      </c>
      <c r="C2357" s="303" t="s">
        <v>560</v>
      </c>
      <c r="D2357" s="651" t="s">
        <v>543</v>
      </c>
      <c r="E2357" s="303"/>
      <c r="F2357" s="826" t="s">
        <v>562</v>
      </c>
      <c r="G2357" s="826" t="s">
        <v>562</v>
      </c>
      <c r="H2357" s="826"/>
      <c r="I2357" s="826"/>
      <c r="J2357" s="826"/>
      <c r="K2357" s="826" t="s">
        <v>400</v>
      </c>
      <c r="L2357" s="826" t="s">
        <v>401</v>
      </c>
    </row>
    <row r="2358" spans="1:12" x14ac:dyDescent="0.25">
      <c r="A2358" s="29" t="s">
        <v>31</v>
      </c>
      <c r="B2358" s="97">
        <v>82.51</v>
      </c>
      <c r="C2358" s="97">
        <v>97.41</v>
      </c>
      <c r="D2358" s="97">
        <v>61.54</v>
      </c>
      <c r="E2358" s="97">
        <v>60.49</v>
      </c>
      <c r="F2358" s="47">
        <v>42.46</v>
      </c>
      <c r="G2358" s="47">
        <v>42.97</v>
      </c>
      <c r="H2358" s="47">
        <v>71.760000000000005</v>
      </c>
      <c r="I2358" s="47">
        <v>85.759</v>
      </c>
      <c r="J2358" s="47">
        <v>100.938</v>
      </c>
      <c r="K2358" s="47">
        <v>26.68</v>
      </c>
      <c r="L2358" s="47"/>
    </row>
    <row r="2359" spans="1:12" x14ac:dyDescent="0.25">
      <c r="A2359" s="29" t="s">
        <v>32</v>
      </c>
      <c r="B2359" s="97">
        <f t="shared" ref="B2359:G2359" si="109">B2356-B2358</f>
        <v>27.490000000000009</v>
      </c>
      <c r="C2359" s="97">
        <f t="shared" si="109"/>
        <v>-17.409999999999982</v>
      </c>
      <c r="D2359" s="97">
        <f t="shared" si="109"/>
        <v>31.050000000000018</v>
      </c>
      <c r="E2359" s="97">
        <f t="shared" si="109"/>
        <v>39.51</v>
      </c>
      <c r="F2359" s="708">
        <f t="shared" si="109"/>
        <v>51.639999999999993</v>
      </c>
      <c r="G2359" s="47">
        <f t="shared" si="109"/>
        <v>51.129999999999995</v>
      </c>
      <c r="H2359" s="47">
        <f>H2355-H2358</f>
        <v>12.339999999999989</v>
      </c>
      <c r="I2359" s="47">
        <f>I2355-I2358</f>
        <v>-1.659000000000006</v>
      </c>
      <c r="J2359" s="47">
        <f>J2356-J2358</f>
        <v>-18.497000000000014</v>
      </c>
      <c r="K2359" s="47">
        <f>K2356-K2358</f>
        <v>34.298749999999977</v>
      </c>
      <c r="L2359" s="47"/>
    </row>
    <row r="2360" spans="1:12" x14ac:dyDescent="0.25">
      <c r="A2360" s="34" t="s">
        <v>33</v>
      </c>
      <c r="B2360" s="215">
        <v>2018</v>
      </c>
      <c r="C2360" s="215">
        <v>2018</v>
      </c>
      <c r="D2360" s="536">
        <v>2020</v>
      </c>
      <c r="E2360" s="215">
        <v>2021</v>
      </c>
      <c r="F2360" s="257"/>
      <c r="G2360" s="257"/>
      <c r="H2360" s="257"/>
      <c r="I2360" s="257">
        <v>2024</v>
      </c>
      <c r="J2360" s="257">
        <v>2025</v>
      </c>
      <c r="K2360" s="257">
        <v>2026</v>
      </c>
      <c r="L2360" s="257">
        <v>2027</v>
      </c>
    </row>
    <row r="2361" spans="1:12" x14ac:dyDescent="0.25">
      <c r="A2361" s="36" t="s">
        <v>558</v>
      </c>
      <c r="B2361" s="376"/>
      <c r="C2361" s="376"/>
      <c r="D2361" s="376"/>
      <c r="E2361" s="376"/>
      <c r="F2361" s="881"/>
      <c r="G2361" s="881"/>
      <c r="H2361" s="881"/>
      <c r="I2361" s="881"/>
      <c r="J2361" s="881"/>
      <c r="K2361" s="669"/>
      <c r="L2361" s="672"/>
    </row>
    <row r="2362" spans="1:12" x14ac:dyDescent="0.25">
      <c r="A2362" s="64" t="s">
        <v>563</v>
      </c>
      <c r="B2362" s="7"/>
      <c r="C2362" s="7"/>
      <c r="D2362" s="7"/>
      <c r="E2362" s="7"/>
      <c r="F2362" s="378"/>
      <c r="G2362" s="378"/>
      <c r="H2362" s="378"/>
      <c r="I2362" s="378"/>
      <c r="J2362" s="378"/>
      <c r="L2362" s="684"/>
    </row>
    <row r="2363" spans="1:12" x14ac:dyDescent="0.25">
      <c r="A2363" s="64" t="s">
        <v>561</v>
      </c>
      <c r="B2363" s="7"/>
      <c r="C2363" s="7"/>
      <c r="D2363" s="7"/>
      <c r="E2363" s="7"/>
      <c r="F2363" s="378"/>
      <c r="G2363" s="378"/>
      <c r="H2363" s="378"/>
      <c r="I2363" s="378"/>
      <c r="J2363" s="378"/>
      <c r="L2363" s="684"/>
    </row>
    <row r="2364" spans="1:12" x14ac:dyDescent="0.25">
      <c r="A2364" s="72" t="s">
        <v>1197</v>
      </c>
      <c r="B2364" s="73"/>
      <c r="C2364" s="73"/>
      <c r="D2364" s="73"/>
      <c r="E2364" s="73"/>
      <c r="F2364" s="685"/>
      <c r="G2364" s="685"/>
      <c r="H2364" s="685"/>
      <c r="I2364" s="685"/>
      <c r="J2364" s="685"/>
      <c r="K2364" s="685"/>
      <c r="L2364" s="675"/>
    </row>
    <row r="2366" spans="1:12" x14ac:dyDescent="0.25">
      <c r="A2366" s="8" t="s">
        <v>14</v>
      </c>
      <c r="B2366" s="9" t="s">
        <v>79</v>
      </c>
      <c r="C2366" s="534" t="s">
        <v>26</v>
      </c>
    </row>
    <row r="2367" spans="1:12" x14ac:dyDescent="0.25">
      <c r="A2367" s="229" t="s">
        <v>27</v>
      </c>
      <c r="B2367" s="210">
        <v>2016</v>
      </c>
      <c r="C2367" s="210">
        <v>2017</v>
      </c>
      <c r="D2367" s="535">
        <v>2018</v>
      </c>
      <c r="E2367" s="210">
        <v>2019</v>
      </c>
      <c r="F2367" s="770">
        <v>2020</v>
      </c>
      <c r="G2367" s="770">
        <v>2021</v>
      </c>
      <c r="H2367" s="770">
        <v>2022</v>
      </c>
      <c r="I2367" s="770">
        <v>2023</v>
      </c>
      <c r="J2367" s="770">
        <v>2024</v>
      </c>
      <c r="K2367" s="770">
        <v>2025</v>
      </c>
      <c r="L2367" s="770">
        <v>2026</v>
      </c>
    </row>
    <row r="2368" spans="1:12" x14ac:dyDescent="0.25">
      <c r="A2368" s="29" t="s">
        <v>28</v>
      </c>
      <c r="B2368" s="97">
        <v>50</v>
      </c>
      <c r="C2368" s="97">
        <v>50</v>
      </c>
      <c r="D2368" s="97">
        <v>50</v>
      </c>
      <c r="E2368" s="97">
        <v>50</v>
      </c>
      <c r="F2368" s="708">
        <v>50</v>
      </c>
      <c r="G2368" s="708">
        <v>50</v>
      </c>
      <c r="H2368" s="708">
        <v>50</v>
      </c>
      <c r="I2368" s="708">
        <v>50</v>
      </c>
      <c r="J2368" s="708">
        <v>50</v>
      </c>
      <c r="K2368" s="47">
        <v>50</v>
      </c>
      <c r="L2368" s="47">
        <v>50</v>
      </c>
    </row>
    <row r="2369" spans="1:15" x14ac:dyDescent="0.25">
      <c r="A2369" s="29" t="s">
        <v>29</v>
      </c>
      <c r="B2369" s="97"/>
      <c r="C2369" s="97">
        <f>C2368+B2372</f>
        <v>-57.97999999999999</v>
      </c>
      <c r="D2369" s="97">
        <f>D2368+C2372</f>
        <v>-158.07</v>
      </c>
      <c r="E2369" s="97">
        <f>D2372+E2368</f>
        <v>-175.964</v>
      </c>
      <c r="F2369" s="708">
        <f>E2372+F2368</f>
        <v>-177.393</v>
      </c>
      <c r="G2369" s="708">
        <f>F2372+G2368</f>
        <v>-162.78800000000001</v>
      </c>
      <c r="H2369" s="708">
        <f>G2372*1.25+H2368</f>
        <v>-193.19875000000002</v>
      </c>
      <c r="I2369" s="708">
        <f>H2372*1.25+I2368</f>
        <v>-245.52468750000003</v>
      </c>
      <c r="J2369" s="708">
        <f>I2372*1.25+J2368</f>
        <v>-318.318359375</v>
      </c>
      <c r="K2369" s="708">
        <f>K2368+1.25*J2372</f>
        <v>-400.58919921875003</v>
      </c>
      <c r="L2369" s="708">
        <f>L2368+1.25*K2372</f>
        <v>-475.40399902343756</v>
      </c>
    </row>
    <row r="2370" spans="1:15" x14ac:dyDescent="0.25">
      <c r="A2370" s="29" t="s">
        <v>30</v>
      </c>
      <c r="B2370" s="303"/>
      <c r="C2370" s="554" t="s">
        <v>543</v>
      </c>
      <c r="D2370" s="554" t="s">
        <v>544</v>
      </c>
      <c r="E2370" s="554" t="s">
        <v>545</v>
      </c>
      <c r="F2370" s="981" t="s">
        <v>548</v>
      </c>
      <c r="G2370" s="981" t="s">
        <v>550</v>
      </c>
      <c r="H2370" s="981" t="s">
        <v>692</v>
      </c>
      <c r="I2370" s="981" t="s">
        <v>848</v>
      </c>
      <c r="J2370" s="981" t="s">
        <v>1007</v>
      </c>
      <c r="K2370" s="981" t="s">
        <v>1106</v>
      </c>
      <c r="L2370" s="981" t="s">
        <v>1255</v>
      </c>
    </row>
    <row r="2371" spans="1:15" x14ac:dyDescent="0.25">
      <c r="A2371" s="29" t="s">
        <v>31</v>
      </c>
      <c r="B2371" s="97">
        <v>157.97999999999999</v>
      </c>
      <c r="C2371" s="97">
        <v>150.09</v>
      </c>
      <c r="D2371" s="97">
        <v>67.894000000000005</v>
      </c>
      <c r="E2371" s="97">
        <v>51.429000000000002</v>
      </c>
      <c r="F2371" s="47">
        <v>35.395000000000003</v>
      </c>
      <c r="G2371" s="47">
        <v>31.771000000000001</v>
      </c>
      <c r="H2371" s="47">
        <v>43.220999999999997</v>
      </c>
      <c r="I2371" s="47">
        <v>49.13</v>
      </c>
      <c r="J2371" s="47">
        <v>42.152999999999999</v>
      </c>
      <c r="K2371" s="47">
        <v>19.734000000000002</v>
      </c>
      <c r="L2371" s="47"/>
    </row>
    <row r="2372" spans="1:15" x14ac:dyDescent="0.25">
      <c r="A2372" s="29" t="s">
        <v>32</v>
      </c>
      <c r="B2372" s="97">
        <f>B2368-B2371</f>
        <v>-107.97999999999999</v>
      </c>
      <c r="C2372" s="97">
        <f t="shared" ref="C2372:K2372" si="110">C2369-C2371</f>
        <v>-208.07</v>
      </c>
      <c r="D2372" s="97">
        <f t="shared" si="110"/>
        <v>-225.964</v>
      </c>
      <c r="E2372" s="97">
        <f t="shared" si="110"/>
        <v>-227.393</v>
      </c>
      <c r="F2372" s="708">
        <f t="shared" si="110"/>
        <v>-212.78800000000001</v>
      </c>
      <c r="G2372" s="708">
        <f t="shared" si="110"/>
        <v>-194.55900000000003</v>
      </c>
      <c r="H2372" s="708">
        <f t="shared" si="110"/>
        <v>-236.41975000000002</v>
      </c>
      <c r="I2372" s="708">
        <f t="shared" si="110"/>
        <v>-294.65468750000002</v>
      </c>
      <c r="J2372" s="708">
        <f t="shared" si="110"/>
        <v>-360.47135937500002</v>
      </c>
      <c r="K2372" s="708">
        <f t="shared" si="110"/>
        <v>-420.32319921875001</v>
      </c>
      <c r="L2372" s="47"/>
    </row>
    <row r="2373" spans="1:15" x14ac:dyDescent="0.25">
      <c r="A2373" s="34" t="s">
        <v>33</v>
      </c>
      <c r="B2373" s="215">
        <v>2017</v>
      </c>
      <c r="C2373" s="215">
        <v>2018</v>
      </c>
      <c r="D2373" s="215">
        <v>2019</v>
      </c>
      <c r="E2373" s="215">
        <v>2020</v>
      </c>
      <c r="F2373" s="257">
        <v>2021</v>
      </c>
      <c r="G2373" s="257">
        <v>2022</v>
      </c>
      <c r="H2373" s="257">
        <v>2023</v>
      </c>
      <c r="I2373" s="257">
        <v>2024</v>
      </c>
      <c r="J2373" s="257">
        <v>2025</v>
      </c>
      <c r="K2373" s="257">
        <v>2026</v>
      </c>
      <c r="L2373" s="257">
        <v>2027</v>
      </c>
    </row>
    <row r="2374" spans="1:15" x14ac:dyDescent="0.25">
      <c r="A2374" s="62" t="s">
        <v>694</v>
      </c>
      <c r="B2374" s="652"/>
      <c r="C2374" s="652"/>
      <c r="D2374" s="652"/>
      <c r="E2374" s="652"/>
      <c r="F2374" s="1045"/>
      <c r="G2374" s="1045"/>
      <c r="H2374" s="1045"/>
      <c r="I2374" s="1045"/>
      <c r="J2374" s="1045"/>
      <c r="K2374" s="683"/>
    </row>
    <row r="2375" spans="1:15" x14ac:dyDescent="0.25">
      <c r="A2375" s="64" t="s">
        <v>546</v>
      </c>
      <c r="B2375" s="7"/>
      <c r="C2375" s="7"/>
      <c r="D2375" s="7"/>
      <c r="E2375" s="7"/>
      <c r="F2375" s="378"/>
      <c r="G2375" s="378"/>
      <c r="H2375" s="378"/>
      <c r="I2375" s="378"/>
      <c r="J2375" s="378"/>
      <c r="K2375" s="684"/>
    </row>
    <row r="2376" spans="1:15" x14ac:dyDescent="0.25">
      <c r="A2376" s="64" t="s">
        <v>547</v>
      </c>
      <c r="K2376" s="684"/>
    </row>
    <row r="2377" spans="1:15" x14ac:dyDescent="0.25">
      <c r="A2377" s="64" t="s">
        <v>549</v>
      </c>
      <c r="K2377" s="684"/>
    </row>
    <row r="2378" spans="1:15" x14ac:dyDescent="0.25">
      <c r="A2378" s="64" t="s">
        <v>551</v>
      </c>
      <c r="K2378" s="684"/>
    </row>
    <row r="2379" spans="1:15" x14ac:dyDescent="0.25">
      <c r="A2379" s="64" t="s">
        <v>900</v>
      </c>
      <c r="K2379" s="684"/>
    </row>
    <row r="2380" spans="1:15" x14ac:dyDescent="0.25">
      <c r="A2380" s="64" t="s">
        <v>901</v>
      </c>
      <c r="K2380" s="684"/>
    </row>
    <row r="2381" spans="1:15" x14ac:dyDescent="0.25">
      <c r="A2381" s="64" t="s">
        <v>1009</v>
      </c>
      <c r="K2381" s="684"/>
    </row>
    <row r="2382" spans="1:15" x14ac:dyDescent="0.25">
      <c r="A2382" s="64" t="s">
        <v>1115</v>
      </c>
      <c r="K2382" s="684"/>
    </row>
    <row r="2383" spans="1:15" s="73" customFormat="1" x14ac:dyDescent="0.25">
      <c r="A2383" s="69"/>
      <c r="F2383" s="685"/>
      <c r="G2383" s="685"/>
      <c r="H2383" s="685"/>
      <c r="I2383" s="685"/>
      <c r="J2383" s="685"/>
      <c r="K2383" s="675"/>
      <c r="L2383" s="685"/>
      <c r="M2383" s="685"/>
      <c r="N2383" s="685"/>
      <c r="O2383" s="685"/>
    </row>
  </sheetData>
  <mergeCells count="59">
    <mergeCell ref="A288:N288"/>
    <mergeCell ref="A1765:K1765"/>
    <mergeCell ref="A1766:K1766"/>
    <mergeCell ref="A1697:E1697"/>
    <mergeCell ref="A1708:E1708"/>
    <mergeCell ref="A1537:G1537"/>
    <mergeCell ref="A1760:K1760"/>
    <mergeCell ref="A1761:K1761"/>
    <mergeCell ref="A1762:K1762"/>
    <mergeCell ref="A1763:K1763"/>
    <mergeCell ref="A1764:K1764"/>
    <mergeCell ref="A529:F529"/>
    <mergeCell ref="A547:F547"/>
    <mergeCell ref="B528:M528"/>
    <mergeCell ref="A364:O364"/>
    <mergeCell ref="A810:E810"/>
    <mergeCell ref="A26:E26"/>
    <mergeCell ref="A287:F287"/>
    <mergeCell ref="A218:G218"/>
    <mergeCell ref="A39:D39"/>
    <mergeCell ref="C144:K144"/>
    <mergeCell ref="A126:F126"/>
    <mergeCell ref="A127:F127"/>
    <mergeCell ref="A235:G235"/>
    <mergeCell ref="A248:G248"/>
    <mergeCell ref="A237:G237"/>
    <mergeCell ref="A40:D40"/>
    <mergeCell ref="E122:L122"/>
    <mergeCell ref="C163:L163"/>
    <mergeCell ref="A277:N277"/>
    <mergeCell ref="A2087:G2087"/>
    <mergeCell ref="A972:G972"/>
    <mergeCell ref="A1816:G1816"/>
    <mergeCell ref="A1538:G1538"/>
    <mergeCell ref="A1539:G1539"/>
    <mergeCell ref="A1790:D1790"/>
    <mergeCell ref="A973:G973"/>
    <mergeCell ref="A1130:N1130"/>
    <mergeCell ref="C1478:J1478"/>
    <mergeCell ref="A1540:G1540"/>
    <mergeCell ref="A978:G978"/>
    <mergeCell ref="A974:G974"/>
    <mergeCell ref="A1525:M1525"/>
    <mergeCell ref="A405:D405"/>
    <mergeCell ref="A406:D406"/>
    <mergeCell ref="A971:G971"/>
    <mergeCell ref="A966:F966"/>
    <mergeCell ref="A861:L861"/>
    <mergeCell ref="A968:F968"/>
    <mergeCell ref="A970:G970"/>
    <mergeCell ref="A969:F969"/>
    <mergeCell ref="A876:J876"/>
    <mergeCell ref="A758:H758"/>
    <mergeCell ref="A417:M417"/>
    <mergeCell ref="A509:G509"/>
    <mergeCell ref="A641:F641"/>
    <mergeCell ref="A569:F569"/>
    <mergeCell ref="A626:F626"/>
    <mergeCell ref="A515:G515"/>
  </mergeCells>
  <phoneticPr fontId="10" type="noConversion"/>
  <pageMargins left="0.7" right="0.7" top="0.75" bottom="0.75" header="0.3" footer="0.3"/>
  <pageSetup paperSize="9" scale="10" orientation="landscape" r:id="rId1"/>
  <ignoredErrors>
    <ignoredError sqref="F1673 K1141 E2323:F2323 H181 I523 J1974 K673" formula="1"/>
    <ignoredError sqref="H2061 I833:K833 I868:J868 H900 H849 H2041 C882 I849:J849 E882" unlockedFormula="1"/>
    <ignoredError sqref="C1784 H2370 E766:F76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Adjustement data</vt:lpstr>
      <vt:lpstr>'Adjustement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Ochoa</dc:creator>
  <cp:lastModifiedBy>Valerie Samedy</cp:lastModifiedBy>
  <cp:lastPrinted>2021-10-08T09:47:24Z</cp:lastPrinted>
  <dcterms:created xsi:type="dcterms:W3CDTF">2018-06-01T11:58:01Z</dcterms:created>
  <dcterms:modified xsi:type="dcterms:W3CDTF">2026-10-28T08:02:22Z</dcterms:modified>
</cp:coreProperties>
</file>