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africawks20\documents$\PRESUPUESTOS Y CÁLCULO DE CONTRIBUCIONES\PRESUPUESTOS\PRESUPUESTO 2026-2027\Nueva carpeta (2)\"/>
    </mc:Choice>
  </mc:AlternateContent>
  <xr:revisionPtr revIDLastSave="0" documentId="13_ncr:1_{29F91554-2C54-48FB-8B8C-6DCC8EA5C84F}" xr6:coauthVersionLast="47" xr6:coauthVersionMax="47" xr10:uidLastSave="{00000000-0000-0000-0000-000000000000}"/>
  <bookViews>
    <workbookView xWindow="-108" yWindow="-108" windowWidth="30936" windowHeight="16776" tabRatio="726" xr2:uid="{00000000-000D-0000-FFFF-FFFF00000000}"/>
  </bookViews>
  <sheets>
    <sheet name="TABLA 1 BUDGET-PRESUPUESTO" sheetId="5" r:id="rId1"/>
    <sheet name="TABLA 2" sheetId="1" r:id="rId2"/>
    <sheet name="TABLA 3" sheetId="2" r:id="rId3"/>
    <sheet name="TABLA 4" sheetId="3" r:id="rId4"/>
    <sheet name="TABLA 5" sheetId="9" r:id="rId5"/>
    <sheet name="TABLA 6" sheetId="10" r:id="rId6"/>
    <sheet name="TABLA 7" sheetId="4" r:id="rId7"/>
    <sheet name="Anex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9" l="1"/>
  <c r="J2" i="2"/>
  <c r="B12" i="5"/>
  <c r="F10" i="5"/>
  <c r="C7" i="5" l="1"/>
  <c r="E7" i="5"/>
  <c r="G23" i="9" l="1"/>
  <c r="L10" i="9"/>
  <c r="L11" i="9"/>
  <c r="L12" i="9"/>
  <c r="L13" i="9"/>
  <c r="L14" i="9"/>
  <c r="L15" i="9"/>
  <c r="L16" i="9"/>
  <c r="L17" i="9"/>
  <c r="L18" i="9"/>
  <c r="L19" i="9"/>
  <c r="L20" i="9"/>
  <c r="L21" i="9"/>
  <c r="L22" i="9"/>
  <c r="L23" i="9"/>
  <c r="L24" i="9"/>
  <c r="L25" i="9"/>
  <c r="L26" i="9"/>
  <c r="L27" i="9"/>
  <c r="C10" i="9"/>
  <c r="C11" i="9"/>
  <c r="C12" i="9"/>
  <c r="C13" i="9"/>
  <c r="C14" i="9"/>
  <c r="C15" i="9"/>
  <c r="C16" i="9"/>
  <c r="C17" i="9"/>
  <c r="C18" i="9"/>
  <c r="C19" i="9"/>
  <c r="C20" i="9"/>
  <c r="C21" i="9"/>
  <c r="C22" i="9"/>
  <c r="C23" i="9"/>
  <c r="C24" i="9"/>
  <c r="C25" i="9"/>
  <c r="C26" i="9"/>
  <c r="C27" i="9"/>
  <c r="B10" i="9"/>
  <c r="B11" i="9"/>
  <c r="B12" i="9"/>
  <c r="B13" i="9"/>
  <c r="B14" i="9"/>
  <c r="B15" i="9"/>
  <c r="B16" i="9"/>
  <c r="B17" i="9"/>
  <c r="B18" i="9"/>
  <c r="B19" i="9"/>
  <c r="B20" i="9"/>
  <c r="B21" i="9"/>
  <c r="B22" i="9"/>
  <c r="B23" i="9"/>
  <c r="B24" i="9"/>
  <c r="B25" i="9"/>
  <c r="B26" i="9"/>
  <c r="B27" i="9"/>
  <c r="G18" i="2"/>
  <c r="C10" i="2"/>
  <c r="C11" i="2"/>
  <c r="C12" i="2"/>
  <c r="C13" i="2"/>
  <c r="C14" i="2"/>
  <c r="C15" i="2"/>
  <c r="C16" i="2"/>
  <c r="C17" i="2"/>
  <c r="C18" i="2"/>
  <c r="C19" i="2"/>
  <c r="C20" i="2"/>
  <c r="C21" i="2"/>
  <c r="C22" i="2"/>
  <c r="C23" i="2"/>
  <c r="C24" i="2"/>
  <c r="C25" i="2"/>
  <c r="C26" i="2"/>
  <c r="C27" i="2"/>
  <c r="C9" i="2"/>
  <c r="L10" i="2"/>
  <c r="L11" i="2"/>
  <c r="L12" i="2"/>
  <c r="L13" i="2"/>
  <c r="L14" i="2"/>
  <c r="L15" i="2"/>
  <c r="L16" i="2"/>
  <c r="L17" i="2"/>
  <c r="L18" i="2"/>
  <c r="L19" i="2"/>
  <c r="L20" i="2"/>
  <c r="L21" i="2"/>
  <c r="L22" i="2"/>
  <c r="L23" i="2"/>
  <c r="L24" i="2"/>
  <c r="L25" i="2"/>
  <c r="L26" i="2"/>
  <c r="L27" i="2"/>
  <c r="L9" i="2"/>
  <c r="B10" i="2"/>
  <c r="B11" i="2"/>
  <c r="B12" i="2"/>
  <c r="B13" i="2"/>
  <c r="B14" i="2"/>
  <c r="B15" i="2"/>
  <c r="B16" i="2"/>
  <c r="B17" i="2"/>
  <c r="B18" i="2"/>
  <c r="B19" i="2"/>
  <c r="B20" i="2"/>
  <c r="B21" i="2"/>
  <c r="B22" i="2"/>
  <c r="B23" i="2"/>
  <c r="B24" i="2"/>
  <c r="B25" i="2"/>
  <c r="B26" i="2"/>
  <c r="B27" i="2"/>
  <c r="B9" i="2"/>
  <c r="G21" i="9" l="1"/>
  <c r="G18" i="9"/>
  <c r="G22" i="9"/>
  <c r="G20" i="9"/>
  <c r="G19" i="9"/>
  <c r="G17" i="9"/>
  <c r="G16" i="9"/>
  <c r="G15" i="9"/>
  <c r="G14" i="9"/>
  <c r="G13" i="9"/>
  <c r="G27" i="9"/>
  <c r="G12" i="9"/>
  <c r="G26" i="9"/>
  <c r="G25" i="9"/>
  <c r="G11" i="9"/>
  <c r="G24" i="9"/>
  <c r="G10" i="9"/>
  <c r="G17" i="2"/>
  <c r="G15" i="2"/>
  <c r="G14" i="2"/>
  <c r="G13" i="2"/>
  <c r="G12" i="2"/>
  <c r="G16" i="2"/>
  <c r="G26" i="2"/>
  <c r="G27" i="2"/>
  <c r="G25" i="2"/>
  <c r="G11" i="2"/>
  <c r="G24" i="2"/>
  <c r="G10" i="2"/>
  <c r="G23" i="2"/>
  <c r="G22" i="2"/>
  <c r="G21" i="2"/>
  <c r="G20" i="2"/>
  <c r="G19" i="2"/>
  <c r="I7" i="1"/>
  <c r="I8" i="1"/>
  <c r="F10" i="9" s="1"/>
  <c r="I12" i="1"/>
  <c r="F14" i="9" s="1"/>
  <c r="I16" i="1"/>
  <c r="F18" i="9" s="1"/>
  <c r="I20" i="1"/>
  <c r="F22" i="9" s="1"/>
  <c r="I21" i="1"/>
  <c r="F23" i="9" s="1"/>
  <c r="I22" i="1"/>
  <c r="F24" i="2" s="1"/>
  <c r="F24" i="1"/>
  <c r="P9" i="4"/>
  <c r="K9" i="4"/>
  <c r="F9" i="4"/>
  <c r="F18" i="2" l="1"/>
  <c r="F22" i="2"/>
  <c r="F24" i="9"/>
  <c r="F23" i="2"/>
  <c r="F14" i="2"/>
  <c r="F10" i="2"/>
  <c r="C10" i="5" l="1"/>
  <c r="F12" i="10"/>
  <c r="L12" i="10" s="1"/>
  <c r="E12" i="10"/>
  <c r="F11" i="10"/>
  <c r="E11" i="10"/>
  <c r="F10" i="10"/>
  <c r="E10" i="10"/>
  <c r="F9" i="10"/>
  <c r="E9" i="10"/>
  <c r="L9" i="9"/>
  <c r="C9" i="9"/>
  <c r="B9" i="9"/>
  <c r="F9" i="5"/>
  <c r="D12" i="5"/>
  <c r="M13" i="3" s="1"/>
  <c r="J18" i="9" l="1"/>
  <c r="J14" i="9"/>
  <c r="J22" i="9"/>
  <c r="E13" i="10"/>
  <c r="F13" i="10"/>
  <c r="G9" i="9"/>
  <c r="G9" i="2"/>
  <c r="C12" i="5" l="1"/>
  <c r="F12" i="5" l="1"/>
  <c r="M13" i="10" s="1"/>
  <c r="E12" i="5" l="1"/>
  <c r="F10" i="3"/>
  <c r="F11" i="3"/>
  <c r="F12" i="3"/>
  <c r="L12" i="3" s="1"/>
  <c r="F9" i="3"/>
  <c r="E10" i="3"/>
  <c r="E11" i="3"/>
  <c r="E12" i="3"/>
  <c r="E9" i="3"/>
  <c r="F9" i="9"/>
  <c r="G7" i="1" l="1"/>
  <c r="G23" i="1"/>
  <c r="G19" i="1"/>
  <c r="G10" i="1"/>
  <c r="G15" i="1"/>
  <c r="G25" i="1"/>
  <c r="G13" i="1"/>
  <c r="G14" i="1"/>
  <c r="G24" i="1"/>
  <c r="G9" i="1"/>
  <c r="G22" i="1"/>
  <c r="G11" i="1"/>
  <c r="I23" i="1"/>
  <c r="I19" i="1"/>
  <c r="I24" i="1"/>
  <c r="I10" i="1"/>
  <c r="I25" i="1"/>
  <c r="I14" i="1"/>
  <c r="I13" i="1"/>
  <c r="I15" i="1"/>
  <c r="G12" i="1"/>
  <c r="G20" i="1"/>
  <c r="G16" i="1"/>
  <c r="I17" i="1"/>
  <c r="I18" i="1"/>
  <c r="G18" i="1"/>
  <c r="G21" i="1"/>
  <c r="G17" i="1"/>
  <c r="I9" i="1"/>
  <c r="I11" i="1"/>
  <c r="J18" i="2"/>
  <c r="J22" i="2"/>
  <c r="J14" i="2"/>
  <c r="E9" i="9"/>
  <c r="F7" i="4"/>
  <c r="F21" i="9" l="1"/>
  <c r="F21" i="2"/>
  <c r="F25" i="2"/>
  <c r="F25" i="9"/>
  <c r="E11" i="9"/>
  <c r="E11" i="2"/>
  <c r="E22" i="9"/>
  <c r="E22" i="2"/>
  <c r="E19" i="2"/>
  <c r="E19" i="9"/>
  <c r="F19" i="9"/>
  <c r="F19" i="2"/>
  <c r="E17" i="9"/>
  <c r="E17" i="2"/>
  <c r="F20" i="2"/>
  <c r="F20" i="9"/>
  <c r="E12" i="9"/>
  <c r="E12" i="2"/>
  <c r="F12" i="9"/>
  <c r="F12" i="2"/>
  <c r="E20" i="2"/>
  <c r="E20" i="9"/>
  <c r="E16" i="2"/>
  <c r="E16" i="9"/>
  <c r="E21" i="9"/>
  <c r="E21" i="2"/>
  <c r="E23" i="2"/>
  <c r="E23" i="9"/>
  <c r="E24" i="2"/>
  <c r="E24" i="9"/>
  <c r="E18" i="9"/>
  <c r="E18" i="2"/>
  <c r="E27" i="9"/>
  <c r="E27" i="2"/>
  <c r="E14" i="2"/>
  <c r="E14" i="9"/>
  <c r="F17" i="9"/>
  <c r="F17" i="2"/>
  <c r="F13" i="2"/>
  <c r="F13" i="9"/>
  <c r="E25" i="2"/>
  <c r="E25" i="9"/>
  <c r="F26" i="2"/>
  <c r="F26" i="9"/>
  <c r="E13" i="9"/>
  <c r="E13" i="2"/>
  <c r="E26" i="9"/>
  <c r="E26" i="2"/>
  <c r="E15" i="9"/>
  <c r="E15" i="2"/>
  <c r="F15" i="2"/>
  <c r="F15" i="9"/>
  <c r="F16" i="9"/>
  <c r="F16" i="2"/>
  <c r="F11" i="9"/>
  <c r="F11" i="2"/>
  <c r="F27" i="9"/>
  <c r="F27" i="2"/>
  <c r="P8" i="4"/>
  <c r="P10" i="4"/>
  <c r="P11" i="4"/>
  <c r="P12" i="4"/>
  <c r="P13" i="4"/>
  <c r="P14" i="4"/>
  <c r="P15" i="4"/>
  <c r="P16" i="4"/>
  <c r="P17" i="4"/>
  <c r="P18" i="4"/>
  <c r="P19" i="4"/>
  <c r="P20" i="4"/>
  <c r="P21" i="4"/>
  <c r="P22" i="4"/>
  <c r="P23" i="4"/>
  <c r="P24" i="4"/>
  <c r="P25" i="4"/>
  <c r="P7" i="4"/>
  <c r="K8" i="4"/>
  <c r="K10" i="4"/>
  <c r="K11" i="4"/>
  <c r="K12" i="4"/>
  <c r="K13" i="4"/>
  <c r="K14" i="4"/>
  <c r="K15" i="4"/>
  <c r="K16" i="4"/>
  <c r="K17" i="4"/>
  <c r="K18" i="4"/>
  <c r="K19" i="4"/>
  <c r="K20" i="4"/>
  <c r="K21" i="4"/>
  <c r="K22" i="4"/>
  <c r="K23" i="4"/>
  <c r="K24" i="4"/>
  <c r="K25" i="4"/>
  <c r="K7" i="4"/>
  <c r="N26" i="4"/>
  <c r="L26" i="4"/>
  <c r="I26" i="4"/>
  <c r="G26" i="4"/>
  <c r="D26" i="4"/>
  <c r="B26" i="4"/>
  <c r="F8" i="4"/>
  <c r="F10" i="4"/>
  <c r="F11" i="4"/>
  <c r="F12" i="4"/>
  <c r="F13" i="4"/>
  <c r="F14" i="4"/>
  <c r="F15" i="4"/>
  <c r="F16" i="4"/>
  <c r="F17" i="4"/>
  <c r="F18" i="4"/>
  <c r="F19" i="4"/>
  <c r="F20" i="4"/>
  <c r="F21" i="4"/>
  <c r="F22" i="4"/>
  <c r="F23" i="4"/>
  <c r="F24" i="4"/>
  <c r="F25" i="4"/>
  <c r="D10" i="10" l="1"/>
  <c r="D9" i="10"/>
  <c r="D11" i="10"/>
  <c r="K26" i="4"/>
  <c r="P26" i="4"/>
  <c r="F26" i="4"/>
  <c r="D12" i="10" l="1"/>
  <c r="D13" i="10" s="1"/>
  <c r="D11" i="3"/>
  <c r="D10" i="3"/>
  <c r="D9" i="3"/>
  <c r="D12" i="3"/>
  <c r="E16" i="1" l="1"/>
  <c r="E20" i="1"/>
  <c r="E12" i="1"/>
  <c r="E9" i="1"/>
  <c r="E11" i="1"/>
  <c r="E22" i="1"/>
  <c r="E17" i="1"/>
  <c r="E18" i="1"/>
  <c r="E21" i="1"/>
  <c r="E19" i="1"/>
  <c r="E10" i="1"/>
  <c r="E24" i="1"/>
  <c r="E7" i="1"/>
  <c r="D9" i="9" s="1"/>
  <c r="E23" i="1"/>
  <c r="E13" i="1"/>
  <c r="E14" i="1"/>
  <c r="E15" i="1"/>
  <c r="E25" i="1"/>
  <c r="E8" i="1"/>
  <c r="Q8" i="4"/>
  <c r="Q10" i="4"/>
  <c r="Q11" i="4"/>
  <c r="Q23" i="4"/>
  <c r="Q12" i="4"/>
  <c r="Q13" i="4"/>
  <c r="Q14" i="4"/>
  <c r="Q15" i="4"/>
  <c r="Q16" i="4"/>
  <c r="Q17" i="4"/>
  <c r="Q18" i="4"/>
  <c r="Q19" i="4"/>
  <c r="Q20" i="4"/>
  <c r="Q21" i="4"/>
  <c r="Q22" i="4"/>
  <c r="Q24" i="4"/>
  <c r="Q25" i="4"/>
  <c r="Q7" i="4"/>
  <c r="A8" i="4"/>
  <c r="A10" i="4"/>
  <c r="A11" i="4"/>
  <c r="A23" i="4"/>
  <c r="A12" i="4"/>
  <c r="A13" i="4"/>
  <c r="A14" i="4"/>
  <c r="A15" i="4"/>
  <c r="A16" i="4"/>
  <c r="A17" i="4"/>
  <c r="A18" i="4"/>
  <c r="A19" i="4"/>
  <c r="A20" i="4"/>
  <c r="A21" i="4"/>
  <c r="A22" i="4"/>
  <c r="A24" i="4"/>
  <c r="A25" i="4"/>
  <c r="A7" i="4"/>
  <c r="D12" i="2" l="1"/>
  <c r="D12" i="9"/>
  <c r="D19" i="2"/>
  <c r="D19" i="9"/>
  <c r="D10" i="9"/>
  <c r="D10" i="2"/>
  <c r="D24" i="2"/>
  <c r="D24" i="9"/>
  <c r="D21" i="9"/>
  <c r="D21" i="2"/>
  <c r="D13" i="9"/>
  <c r="D13" i="2"/>
  <c r="D26" i="2"/>
  <c r="D26" i="9"/>
  <c r="D11" i="2"/>
  <c r="D11" i="9"/>
  <c r="D20" i="9"/>
  <c r="D20" i="2"/>
  <c r="D17" i="2"/>
  <c r="D17" i="9"/>
  <c r="D14" i="2"/>
  <c r="D14" i="9"/>
  <c r="D22" i="9"/>
  <c r="D22" i="2"/>
  <c r="D25" i="9"/>
  <c r="D25" i="2"/>
  <c r="D23" i="9"/>
  <c r="D23" i="2"/>
  <c r="D27" i="2"/>
  <c r="D27" i="9"/>
  <c r="D16" i="9"/>
  <c r="D16" i="2"/>
  <c r="D15" i="2"/>
  <c r="D15" i="9"/>
  <c r="D18" i="9"/>
  <c r="D18" i="2"/>
  <c r="F9" i="2"/>
  <c r="C10" i="10" l="1"/>
  <c r="H10" i="10" s="1"/>
  <c r="I12" i="10"/>
  <c r="I9" i="10"/>
  <c r="L9" i="10" s="1"/>
  <c r="C12" i="10"/>
  <c r="H12" i="10" s="1"/>
  <c r="M12" i="10" s="1"/>
  <c r="C9" i="10"/>
  <c r="I11" i="10"/>
  <c r="C11" i="10"/>
  <c r="H11" i="10" s="1"/>
  <c r="M11" i="10" s="1"/>
  <c r="I10" i="10"/>
  <c r="I12" i="3"/>
  <c r="I9" i="3"/>
  <c r="I11" i="3"/>
  <c r="C9" i="3"/>
  <c r="C12" i="3"/>
  <c r="C10" i="3"/>
  <c r="H10" i="3" s="1"/>
  <c r="C11" i="3"/>
  <c r="L11" i="10" l="1"/>
  <c r="C13" i="10"/>
  <c r="K12" i="10"/>
  <c r="J12" i="10"/>
  <c r="I13" i="10"/>
  <c r="H9" i="10"/>
  <c r="M10" i="10"/>
  <c r="L10" i="10" s="1"/>
  <c r="G8" i="1"/>
  <c r="E9" i="2"/>
  <c r="D9" i="2"/>
  <c r="D13" i="3"/>
  <c r="F13" i="3"/>
  <c r="H11" i="3"/>
  <c r="H12" i="3"/>
  <c r="M10" i="3"/>
  <c r="C13" i="3"/>
  <c r="E10" i="2" l="1"/>
  <c r="E10" i="9"/>
  <c r="J19" i="9"/>
  <c r="J20" i="9"/>
  <c r="J10" i="9"/>
  <c r="J23" i="9"/>
  <c r="J11" i="9"/>
  <c r="J24" i="9"/>
  <c r="J13" i="9"/>
  <c r="H18" i="9"/>
  <c r="H14" i="9"/>
  <c r="H22" i="9"/>
  <c r="I14" i="9"/>
  <c r="I18" i="9"/>
  <c r="I22" i="9"/>
  <c r="K11" i="10"/>
  <c r="J11" i="10"/>
  <c r="K10" i="10"/>
  <c r="J10" i="10"/>
  <c r="H13" i="10"/>
  <c r="M9" i="10"/>
  <c r="M12" i="3"/>
  <c r="H9" i="3"/>
  <c r="M11" i="3"/>
  <c r="L11" i="3" s="1"/>
  <c r="E13" i="3"/>
  <c r="K22" i="9" l="1"/>
  <c r="J21" i="9"/>
  <c r="J26" i="9"/>
  <c r="J25" i="9"/>
  <c r="J16" i="9"/>
  <c r="J27" i="9"/>
  <c r="J15" i="9"/>
  <c r="J12" i="9"/>
  <c r="J17" i="9"/>
  <c r="K18" i="9"/>
  <c r="K14" i="9"/>
  <c r="H24" i="9"/>
  <c r="H11" i="9"/>
  <c r="H13" i="9"/>
  <c r="I13" i="9"/>
  <c r="I24" i="9"/>
  <c r="I11" i="9"/>
  <c r="H10" i="9"/>
  <c r="H23" i="9"/>
  <c r="H20" i="9"/>
  <c r="H19" i="9"/>
  <c r="I10" i="9"/>
  <c r="I19" i="9"/>
  <c r="I20" i="9"/>
  <c r="I23" i="9"/>
  <c r="J19" i="2"/>
  <c r="J20" i="2"/>
  <c r="J10" i="2"/>
  <c r="J23" i="2"/>
  <c r="J9" i="9"/>
  <c r="J9" i="10"/>
  <c r="K9" i="10"/>
  <c r="L13" i="10"/>
  <c r="M9" i="3"/>
  <c r="L9" i="3" s="1"/>
  <c r="J12" i="3"/>
  <c r="K12" i="3"/>
  <c r="J11" i="3"/>
  <c r="K11" i="3"/>
  <c r="H13" i="3"/>
  <c r="K13" i="9" l="1"/>
  <c r="I15" i="9"/>
  <c r="I16" i="9"/>
  <c r="I21" i="9"/>
  <c r="I25" i="9"/>
  <c r="I12" i="9"/>
  <c r="I17" i="9"/>
  <c r="I26" i="9"/>
  <c r="I27" i="9"/>
  <c r="K24" i="9"/>
  <c r="K19" i="9"/>
  <c r="K11" i="9"/>
  <c r="H25" i="9"/>
  <c r="H26" i="9"/>
  <c r="H12" i="9"/>
  <c r="H27" i="9"/>
  <c r="H16" i="9"/>
  <c r="H21" i="9"/>
  <c r="H17" i="9"/>
  <c r="H15" i="9"/>
  <c r="K20" i="9"/>
  <c r="K23" i="9"/>
  <c r="K10" i="9"/>
  <c r="I14" i="2"/>
  <c r="I18" i="2"/>
  <c r="I22" i="2"/>
  <c r="H14" i="2"/>
  <c r="H18" i="2"/>
  <c r="H22" i="2"/>
  <c r="I23" i="2"/>
  <c r="I19" i="2"/>
  <c r="I20" i="2"/>
  <c r="I10" i="2"/>
  <c r="J16" i="2"/>
  <c r="J21" i="2"/>
  <c r="J17" i="2"/>
  <c r="J25" i="2"/>
  <c r="J26" i="2"/>
  <c r="J12" i="2"/>
  <c r="J27" i="2"/>
  <c r="J15" i="2"/>
  <c r="H10" i="2"/>
  <c r="H23" i="2"/>
  <c r="H19" i="2"/>
  <c r="H20" i="2"/>
  <c r="K13" i="10"/>
  <c r="I9" i="9"/>
  <c r="J13" i="10"/>
  <c r="H9" i="9"/>
  <c r="I10" i="3"/>
  <c r="I13" i="3" s="1"/>
  <c r="J9" i="2"/>
  <c r="J9" i="3"/>
  <c r="K9" i="3"/>
  <c r="K25" i="9" l="1"/>
  <c r="K21" i="9"/>
  <c r="K18" i="2"/>
  <c r="K19" i="2"/>
  <c r="K22" i="2"/>
  <c r="K23" i="2"/>
  <c r="K14" i="2"/>
  <c r="K12" i="9"/>
  <c r="K27" i="9"/>
  <c r="K26" i="9"/>
  <c r="K15" i="9"/>
  <c r="K17" i="9"/>
  <c r="K16" i="9"/>
  <c r="K20" i="2"/>
  <c r="I26" i="2"/>
  <c r="I15" i="2"/>
  <c r="I16" i="2"/>
  <c r="I17" i="2"/>
  <c r="I27" i="2"/>
  <c r="I21" i="2"/>
  <c r="I25" i="2"/>
  <c r="I12" i="2"/>
  <c r="K10" i="2"/>
  <c r="H9" i="2"/>
  <c r="H25" i="2"/>
  <c r="H26" i="2"/>
  <c r="H12" i="2"/>
  <c r="H27" i="2"/>
  <c r="H21" i="2"/>
  <c r="H15" i="2"/>
  <c r="H16" i="2"/>
  <c r="H17" i="2"/>
  <c r="L10" i="3"/>
  <c r="I9" i="2"/>
  <c r="K9" i="9"/>
  <c r="K25" i="2" l="1"/>
  <c r="K12" i="2"/>
  <c r="K16" i="2"/>
  <c r="K26" i="2"/>
  <c r="J24" i="2"/>
  <c r="J11" i="2"/>
  <c r="J13" i="2"/>
  <c r="K17" i="2"/>
  <c r="K21" i="2"/>
  <c r="K9" i="2"/>
  <c r="K15" i="2"/>
  <c r="K27" i="2"/>
  <c r="J10" i="3"/>
  <c r="K10" i="3"/>
  <c r="L13" i="3"/>
  <c r="H24" i="2" l="1"/>
  <c r="H11" i="2"/>
  <c r="H13" i="2"/>
  <c r="I13" i="2"/>
  <c r="I24" i="2"/>
  <c r="I11" i="2"/>
  <c r="J13" i="3"/>
  <c r="K13" i="3"/>
  <c r="K13" i="2" l="1"/>
  <c r="K11" i="2"/>
  <c r="K24" i="2"/>
</calcChain>
</file>

<file path=xl/sharedStrings.xml><?xml version="1.0" encoding="utf-8"?>
<sst xmlns="http://schemas.openxmlformats.org/spreadsheetml/2006/main" count="520" uniqueCount="267">
  <si>
    <t>Total</t>
  </si>
  <si>
    <t>Grupos</t>
  </si>
  <si>
    <t>% de cada</t>
  </si>
  <si>
    <t>Parte</t>
  </si>
  <si>
    <t>% del</t>
  </si>
  <si>
    <t>A</t>
  </si>
  <si>
    <t xml:space="preserve">Total </t>
  </si>
  <si>
    <t>B</t>
  </si>
  <si>
    <t>D</t>
  </si>
  <si>
    <t>C</t>
  </si>
  <si>
    <t>TOTAL</t>
  </si>
  <si>
    <t>---</t>
  </si>
  <si>
    <t>Algérie</t>
  </si>
  <si>
    <t>Canada</t>
  </si>
  <si>
    <t>China, People's Rep. of</t>
  </si>
  <si>
    <t>Korea, Rep. of</t>
  </si>
  <si>
    <t>United States</t>
  </si>
  <si>
    <t>Iceland</t>
  </si>
  <si>
    <t>Japan</t>
  </si>
  <si>
    <t>Maroc</t>
  </si>
  <si>
    <t>Mexico</t>
  </si>
  <si>
    <t>Tunisie</t>
  </si>
  <si>
    <t>Norway</t>
  </si>
  <si>
    <t>Libya</t>
  </si>
  <si>
    <t>Parties</t>
  </si>
  <si>
    <t>Partes</t>
  </si>
  <si>
    <t>a</t>
  </si>
  <si>
    <t>b</t>
  </si>
  <si>
    <t>c</t>
  </si>
  <si>
    <t>d</t>
  </si>
  <si>
    <t>e</t>
  </si>
  <si>
    <t>f</t>
  </si>
  <si>
    <t>g</t>
  </si>
  <si>
    <t>h</t>
  </si>
  <si>
    <t>i</t>
  </si>
  <si>
    <t>Contracting Parties</t>
  </si>
  <si>
    <t>Parties contractantes</t>
  </si>
  <si>
    <t>Contracting</t>
  </si>
  <si>
    <t>Party</t>
  </si>
  <si>
    <t>Partie</t>
  </si>
  <si>
    <t>Contractante</t>
  </si>
  <si>
    <t>Groupes</t>
  </si>
  <si>
    <t>% de chaque</t>
  </si>
  <si>
    <t>% du</t>
  </si>
  <si>
    <t>Groups</t>
  </si>
  <si>
    <t>% of each</t>
  </si>
  <si>
    <t>% of the</t>
  </si>
  <si>
    <t>Exchange rate: / Taux de change: / Cambio: 1  €=</t>
  </si>
  <si>
    <t>Syrian Arab Republic</t>
  </si>
  <si>
    <t>Egypt</t>
  </si>
  <si>
    <t>Table 2 / Tableau 2 / Tabla 2</t>
  </si>
  <si>
    <t>Albania</t>
  </si>
  <si>
    <t>Table 2</t>
  </si>
  <si>
    <t xml:space="preserve">Tableau 2 </t>
  </si>
  <si>
    <t>Tabla 2</t>
  </si>
  <si>
    <t>Total contribution</t>
  </si>
  <si>
    <t>Contribution totale</t>
  </si>
  <si>
    <t>Contribución total</t>
  </si>
  <si>
    <t>Number of Contracting Parties per Group (Table 2)</t>
  </si>
  <si>
    <t>Nombre de Parties contractantes par Groupe (Tableau 2)</t>
  </si>
  <si>
    <t>Porcentaje del presupuesto financiado por cada miembro de cada Grupo según lo acordado en el Protocolo de Madrid</t>
  </si>
  <si>
    <t>Porcentaje del presupuesto financiado por cada Grupo</t>
  </si>
  <si>
    <t>ANNEX: Legends / ANNEXE: Légendes / ANEXO: Leyendas</t>
  </si>
  <si>
    <t xml:space="preserve">Group A: Members with developed market economy, as defined by the United Nations Conference on Trade and Development (UNCTAD) / Group B: Members whose GNP per capita exceeds US$ 4,000 and whose combined catches and canning of tuna exceeds 5,000 t / Group C: Members whose GNP per capita exceeds US$ 4,000 or whose combined catches and canning of tuna exceeds 5,000 t / Group D: Members whose GNP per capita does not exceed US$ 4,000, and whose combined catches and canning of tuna does not exceed 5,000 t                                                                                                                                                       </t>
  </si>
  <si>
    <t>Groupe A: Membres avec économie de marché développée, selon la définition de la Conférence des Nations unies sur le Commerce et le Développement (UNCTAD) / Groupe B: Membres avec un PNB par habitant dépassant 4.000$ USD et des captures et une production de conserve de thonidés combinées dépassant 5.000 t / Groupe C: Membres avec un PNB par habitant dépassant 4.000$ USD ou des captures et une production de conserve de thonidés combinées dépassant 5.000 t / Groupe D: Membres dont le PNB par habitant ne dépasse pas 4.000$ USD, et dont les captures et la production de conserve de thonidés combinées ne dépassent pas 5.000 t</t>
  </si>
  <si>
    <t>Grupo A: Miembros con economía de mercado desarrollada, según definición de la Conferencia de las Naciones Unidas para el Comercio y Desarrollo (UNCTAD) / Grupo B: Miembros con PNB per cápita superior a 4.000$ USA y capturas y conservas combinadas de túnidos que excedan de las 5.000 t / Grupo C: Miembros con PNB per cápita superior a 4.000$ USA o capturas y conservas combinadas de túnidos que excedan de las 5.000 t / Grupo D: Miembros cuyo PNB per cápita no sea superior a 4.000 $ USA, y cuyas capturas y conservas combinadas de túnidos no excedan de las 5.000 t</t>
  </si>
  <si>
    <t>Union Européenne</t>
  </si>
  <si>
    <t>Partes contratantes</t>
  </si>
  <si>
    <t>contratante</t>
  </si>
  <si>
    <r>
      <t>Groups</t>
    </r>
    <r>
      <rPr>
        <b/>
        <vertAlign val="superscript"/>
        <sz val="9"/>
        <rFont val="Cambria"/>
        <family val="1"/>
        <scheme val="major"/>
      </rPr>
      <t>a</t>
    </r>
  </si>
  <si>
    <r>
      <t>Groupes</t>
    </r>
    <r>
      <rPr>
        <b/>
        <vertAlign val="superscript"/>
        <sz val="9"/>
        <rFont val="Cambria"/>
        <family val="1"/>
        <scheme val="major"/>
      </rPr>
      <t>a</t>
    </r>
  </si>
  <si>
    <r>
      <t>Grupos</t>
    </r>
    <r>
      <rPr>
        <b/>
        <vertAlign val="superscript"/>
        <sz val="9"/>
        <rFont val="Cambria"/>
        <family val="1"/>
        <scheme val="major"/>
      </rPr>
      <t>a</t>
    </r>
  </si>
  <si>
    <r>
      <t>Group</t>
    </r>
    <r>
      <rPr>
        <b/>
        <vertAlign val="superscript"/>
        <sz val="9"/>
        <rFont val="Cambria"/>
        <family val="1"/>
        <scheme val="major"/>
      </rPr>
      <t>a</t>
    </r>
  </si>
  <si>
    <r>
      <t>Groupe</t>
    </r>
    <r>
      <rPr>
        <b/>
        <vertAlign val="superscript"/>
        <sz val="9"/>
        <rFont val="Cambria"/>
        <family val="1"/>
        <scheme val="major"/>
      </rPr>
      <t>a</t>
    </r>
  </si>
  <si>
    <r>
      <t>Grupo</t>
    </r>
    <r>
      <rPr>
        <b/>
        <vertAlign val="superscript"/>
        <sz val="9"/>
        <rFont val="Cambria"/>
        <family val="1"/>
        <scheme val="major"/>
      </rPr>
      <t>a</t>
    </r>
  </si>
  <si>
    <r>
      <t>Parties</t>
    </r>
    <r>
      <rPr>
        <b/>
        <vertAlign val="superscript"/>
        <sz val="9"/>
        <rFont val="Cambria"/>
        <family val="1"/>
        <scheme val="major"/>
      </rPr>
      <t>a</t>
    </r>
  </si>
  <si>
    <r>
      <t>fees</t>
    </r>
    <r>
      <rPr>
        <b/>
        <vertAlign val="superscript"/>
        <sz val="9"/>
        <rFont val="Cambria"/>
        <family val="1"/>
        <scheme val="major"/>
      </rPr>
      <t>i</t>
    </r>
  </si>
  <si>
    <r>
      <t>Partes</t>
    </r>
    <r>
      <rPr>
        <b/>
        <vertAlign val="superscript"/>
        <sz val="9"/>
        <rFont val="Cambria"/>
        <family val="1"/>
        <scheme val="major"/>
      </rPr>
      <t>a</t>
    </r>
  </si>
  <si>
    <t xml:space="preserve">East </t>
  </si>
  <si>
    <t xml:space="preserve">Este </t>
  </si>
  <si>
    <t>Est</t>
  </si>
  <si>
    <t xml:space="preserve">West </t>
  </si>
  <si>
    <t>Ouest</t>
  </si>
  <si>
    <t>Oeste</t>
  </si>
  <si>
    <r>
      <t>Catch</t>
    </r>
    <r>
      <rPr>
        <b/>
        <vertAlign val="superscript"/>
        <sz val="9"/>
        <rFont val="Cambria"/>
        <family val="1"/>
        <scheme val="major"/>
      </rPr>
      <t>b</t>
    </r>
  </si>
  <si>
    <r>
      <t>No. of Trade</t>
    </r>
    <r>
      <rPr>
        <b/>
        <vertAlign val="superscript"/>
        <sz val="9"/>
        <rFont val="Cambria"/>
        <family val="1"/>
        <scheme val="major"/>
      </rPr>
      <t xml:space="preserve">c </t>
    </r>
  </si>
  <si>
    <r>
      <t>Import weight</t>
    </r>
    <r>
      <rPr>
        <b/>
        <vertAlign val="superscript"/>
        <sz val="9"/>
        <rFont val="Cambria"/>
        <family val="1"/>
        <scheme val="major"/>
      </rPr>
      <t>d</t>
    </r>
  </si>
  <si>
    <t>% Average</t>
  </si>
  <si>
    <t xml:space="preserve">No. of </t>
  </si>
  <si>
    <r>
      <t>Trade</t>
    </r>
    <r>
      <rPr>
        <b/>
        <vertAlign val="superscript"/>
        <sz val="9"/>
        <rFont val="Cambria"/>
        <family val="1"/>
        <scheme val="major"/>
      </rPr>
      <t xml:space="preserve">c </t>
    </r>
  </si>
  <si>
    <t xml:space="preserve">% No. of </t>
  </si>
  <si>
    <t xml:space="preserve">Import </t>
  </si>
  <si>
    <r>
      <t>weight</t>
    </r>
    <r>
      <rPr>
        <b/>
        <vertAlign val="superscript"/>
        <sz val="9"/>
        <rFont val="Cambria"/>
        <family val="1"/>
        <scheme val="major"/>
      </rPr>
      <t>d</t>
    </r>
  </si>
  <si>
    <t xml:space="preserve">%Import </t>
  </si>
  <si>
    <t>Average</t>
  </si>
  <si>
    <r>
      <t>% Average Catch</t>
    </r>
    <r>
      <rPr>
        <b/>
        <vertAlign val="superscript"/>
        <sz val="9"/>
        <rFont val="Cambria"/>
        <family val="1"/>
        <scheme val="major"/>
      </rPr>
      <t>b</t>
    </r>
  </si>
  <si>
    <r>
      <t>% No. of Trade</t>
    </r>
    <r>
      <rPr>
        <b/>
        <vertAlign val="superscript"/>
        <sz val="9"/>
        <rFont val="Cambria"/>
        <family val="1"/>
        <scheme val="major"/>
      </rPr>
      <t xml:space="preserve">c </t>
    </r>
  </si>
  <si>
    <r>
      <t>% Import weight</t>
    </r>
    <r>
      <rPr>
        <b/>
        <vertAlign val="superscript"/>
        <sz val="9"/>
        <rFont val="Cambria"/>
        <family val="1"/>
        <scheme val="major"/>
      </rPr>
      <t>d</t>
    </r>
  </si>
  <si>
    <t>Basic</t>
  </si>
  <si>
    <t>(Euros)</t>
  </si>
  <si>
    <t>Fondo Sistema eBCD</t>
  </si>
  <si>
    <t>Porcentaje del número de operaciones comerciales de la Parte contratante en el sistema eBCD dentro del grupo del que forma parte</t>
  </si>
  <si>
    <t>Porcentaje del volumen total de atún rojo del Atlántico de la Parte contratante importado, tal y como se registra en el sistema eBCD dentro del grupo del que forma parte</t>
  </si>
  <si>
    <t>Cuota básica (700 $USD)</t>
  </si>
  <si>
    <r>
      <t>fee</t>
    </r>
    <r>
      <rPr>
        <b/>
        <vertAlign val="superscript"/>
        <sz val="9"/>
        <rFont val="Cambria"/>
        <family val="1"/>
        <scheme val="major"/>
      </rPr>
      <t>e</t>
    </r>
  </si>
  <si>
    <r>
      <t>Catch</t>
    </r>
    <r>
      <rPr>
        <b/>
        <vertAlign val="superscript"/>
        <sz val="9"/>
        <rFont val="Cambria"/>
        <family val="1"/>
        <scheme val="major"/>
      </rPr>
      <t>f</t>
    </r>
  </si>
  <si>
    <r>
      <t>Trade</t>
    </r>
    <r>
      <rPr>
        <b/>
        <vertAlign val="superscript"/>
        <sz val="9"/>
        <rFont val="Cambria"/>
        <family val="1"/>
        <scheme val="major"/>
      </rPr>
      <t>g</t>
    </r>
  </si>
  <si>
    <r>
      <t>weight</t>
    </r>
    <r>
      <rPr>
        <b/>
        <vertAlign val="superscript"/>
        <sz val="9"/>
        <rFont val="Cambria"/>
        <family val="1"/>
        <scheme val="major"/>
      </rPr>
      <t>h</t>
    </r>
  </si>
  <si>
    <t>Cuota en proporción al peso vivo de atún rojo de la Parte contratante</t>
  </si>
  <si>
    <t>Cuota en proporción al volumen de atún rojo del Atlántico de la Parte contratante importado, tal y como se registra en el Sistema eBCD</t>
  </si>
  <si>
    <r>
      <t>Party</t>
    </r>
    <r>
      <rPr>
        <b/>
        <vertAlign val="superscript"/>
        <sz val="9"/>
        <rFont val="Cambria"/>
        <family val="1"/>
        <scheme val="major"/>
      </rPr>
      <t>e</t>
    </r>
  </si>
  <si>
    <r>
      <t>Budget</t>
    </r>
    <r>
      <rPr>
        <b/>
        <vertAlign val="superscript"/>
        <sz val="9"/>
        <rFont val="Cambria"/>
        <family val="1"/>
        <scheme val="major"/>
      </rPr>
      <t>f</t>
    </r>
  </si>
  <si>
    <r>
      <t>Basic Fees</t>
    </r>
    <r>
      <rPr>
        <b/>
        <vertAlign val="superscript"/>
        <sz val="9"/>
        <rFont val="Cambria"/>
        <family val="1"/>
        <scheme val="major"/>
      </rPr>
      <t xml:space="preserve">g </t>
    </r>
  </si>
  <si>
    <r>
      <t>Average Catch</t>
    </r>
    <r>
      <rPr>
        <b/>
        <vertAlign val="superscript"/>
        <sz val="9"/>
        <rFont val="Cambria"/>
        <family val="1"/>
        <scheme val="major"/>
      </rPr>
      <t>h</t>
    </r>
  </si>
  <si>
    <r>
      <t>No. of Trade</t>
    </r>
    <r>
      <rPr>
        <b/>
        <vertAlign val="superscript"/>
        <sz val="9"/>
        <rFont val="Cambria"/>
        <family val="1"/>
        <scheme val="major"/>
      </rPr>
      <t xml:space="preserve">i </t>
    </r>
  </si>
  <si>
    <r>
      <t>Import weight</t>
    </r>
    <r>
      <rPr>
        <b/>
        <vertAlign val="superscript"/>
        <sz val="9"/>
        <rFont val="Cambria"/>
        <family val="1"/>
        <scheme val="major"/>
      </rPr>
      <t>j</t>
    </r>
  </si>
  <si>
    <r>
      <t>Total fees</t>
    </r>
    <r>
      <rPr>
        <b/>
        <vertAlign val="superscript"/>
        <sz val="9"/>
        <rFont val="Cambria"/>
        <family val="1"/>
        <scheme val="major"/>
      </rPr>
      <t>k</t>
    </r>
  </si>
  <si>
    <t>Numero total de captura de atún rojo por Grupo</t>
  </si>
  <si>
    <t>Numero total de operaciones comerciales por Grupo en el sistema eBCD</t>
  </si>
  <si>
    <t>Cuotas: 30% correpondiente al volumen de atún rojo importado (0% si no hay datos de comercio e importación)</t>
  </si>
  <si>
    <t>j</t>
  </si>
  <si>
    <t>k</t>
  </si>
  <si>
    <t>Cuotas básicas dentro de cada Grupo</t>
  </si>
  <si>
    <t>Volume total de thon rouge de l’Atlantique de la Partie contractante importé, tel qu’enregistré dans le système eBCD (Les données pertinentes relatives au commerce et à l’importation provenant du système eBCD devront correspondre à la même période utilisée pour déterminer les données de prise et de mise en conserve pertinentes conformément au paragraphe 1(b)(ii).)</t>
  </si>
  <si>
    <r>
      <t>a), b), c), d)</t>
    </r>
    <r>
      <rPr>
        <sz val="9"/>
        <rFont val="Cambria"/>
        <family val="1"/>
        <scheme val="major"/>
      </rPr>
      <t xml:space="preserve">: See the legends in the </t>
    </r>
    <r>
      <rPr>
        <b/>
        <sz val="9"/>
        <rFont val="Cambria"/>
        <family val="1"/>
        <scheme val="major"/>
      </rPr>
      <t>Annex</t>
    </r>
    <r>
      <rPr>
        <sz val="9"/>
        <rFont val="Cambria"/>
        <family val="1"/>
        <scheme val="major"/>
      </rPr>
      <t xml:space="preserve"> / Voir les légendes à l'</t>
    </r>
    <r>
      <rPr>
        <b/>
        <sz val="9"/>
        <rFont val="Cambria"/>
        <family val="1"/>
        <scheme val="major"/>
      </rPr>
      <t>Annexe</t>
    </r>
    <r>
      <rPr>
        <sz val="9"/>
        <rFont val="Cambria"/>
        <family val="1"/>
        <scheme val="major"/>
      </rPr>
      <t xml:space="preserve"> / Ver las leyendas en el </t>
    </r>
    <r>
      <rPr>
        <b/>
        <sz val="9"/>
        <rFont val="Cambria"/>
        <family val="1"/>
        <scheme val="major"/>
      </rPr>
      <t>Anexo</t>
    </r>
  </si>
  <si>
    <r>
      <t>a), b), c), d), e), f), g), h), i):</t>
    </r>
    <r>
      <rPr>
        <sz val="8"/>
        <rFont val="Cambria"/>
        <family val="1"/>
        <scheme val="major"/>
      </rPr>
      <t xml:space="preserve"> See the legends in the </t>
    </r>
    <r>
      <rPr>
        <b/>
        <sz val="8"/>
        <rFont val="Cambria"/>
        <family val="1"/>
        <scheme val="major"/>
      </rPr>
      <t>Annex</t>
    </r>
    <r>
      <rPr>
        <sz val="8"/>
        <rFont val="Cambria"/>
        <family val="1"/>
        <scheme val="major"/>
      </rPr>
      <t xml:space="preserve"> / Voir les légendes à l'</t>
    </r>
    <r>
      <rPr>
        <b/>
        <sz val="8"/>
        <rFont val="Cambria"/>
        <family val="1"/>
        <scheme val="major"/>
      </rPr>
      <t>Annexe</t>
    </r>
    <r>
      <rPr>
        <sz val="8"/>
        <rFont val="Cambria"/>
        <family val="1"/>
        <scheme val="major"/>
      </rPr>
      <t xml:space="preserve"> / Ver las leyendas en el </t>
    </r>
    <r>
      <rPr>
        <b/>
        <sz val="8"/>
        <rFont val="Cambria"/>
        <family val="1"/>
        <scheme val="major"/>
      </rPr>
      <t>Anexo</t>
    </r>
  </si>
  <si>
    <r>
      <t>a), b), c), d), e), f), g), h), i), j), k)</t>
    </r>
    <r>
      <rPr>
        <sz val="9"/>
        <rFont val="Cambria"/>
        <family val="1"/>
        <scheme val="major"/>
      </rPr>
      <t xml:space="preserve">: See the legends in the </t>
    </r>
    <r>
      <rPr>
        <b/>
        <sz val="9"/>
        <rFont val="Cambria"/>
        <family val="1"/>
        <scheme val="major"/>
      </rPr>
      <t>Annex</t>
    </r>
    <r>
      <rPr>
        <sz val="9"/>
        <rFont val="Cambria"/>
        <family val="1"/>
        <scheme val="major"/>
      </rPr>
      <t xml:space="preserve"> / Voir les légendes à l'</t>
    </r>
    <r>
      <rPr>
        <b/>
        <sz val="9"/>
        <rFont val="Cambria"/>
        <family val="1"/>
        <scheme val="major"/>
      </rPr>
      <t>Annexe</t>
    </r>
    <r>
      <rPr>
        <sz val="9"/>
        <rFont val="Cambria"/>
        <family val="1"/>
        <scheme val="major"/>
      </rPr>
      <t xml:space="preserve"> / Ver las leyendas en el </t>
    </r>
    <r>
      <rPr>
        <b/>
        <sz val="9"/>
        <rFont val="Cambria"/>
        <family val="1"/>
        <scheme val="major"/>
      </rPr>
      <t>Anexo</t>
    </r>
  </si>
  <si>
    <t>Porcentaje de captura de atún rojo del Atlántico de la Parte contatante dentro del grupo del que forma parte</t>
  </si>
  <si>
    <t>Cuotas: 30% correspondiente al peso en vivo total de la captura de atún rojo (43% si no hay datos de comercio e importación)</t>
  </si>
  <si>
    <t>Cuotas: 40% correspondiente al número total de operaciones comerciales (57% si no hay datos de comercio e importación)</t>
  </si>
  <si>
    <r>
      <t>% Captura media</t>
    </r>
    <r>
      <rPr>
        <b/>
        <vertAlign val="superscript"/>
        <sz val="9"/>
        <rFont val="Cambria"/>
        <family val="1"/>
        <scheme val="major"/>
      </rPr>
      <t>b</t>
    </r>
  </si>
  <si>
    <r>
      <t>Nº operaciones comerciales</t>
    </r>
    <r>
      <rPr>
        <b/>
        <vertAlign val="superscript"/>
        <sz val="9"/>
        <rFont val="Cambria"/>
        <family val="1"/>
        <scheme val="major"/>
      </rPr>
      <t>c</t>
    </r>
  </si>
  <si>
    <r>
      <t>% Nº operaciones comerciales</t>
    </r>
    <r>
      <rPr>
        <b/>
        <vertAlign val="superscript"/>
        <sz val="9"/>
        <rFont val="Cambria"/>
        <family val="1"/>
        <scheme val="major"/>
      </rPr>
      <t>c</t>
    </r>
  </si>
  <si>
    <r>
      <t>Peso importado</t>
    </r>
    <r>
      <rPr>
        <b/>
        <vertAlign val="superscript"/>
        <sz val="9"/>
        <rFont val="Cambria"/>
        <family val="1"/>
        <scheme val="major"/>
      </rPr>
      <t>d</t>
    </r>
  </si>
  <si>
    <r>
      <t>% Peso importado</t>
    </r>
    <r>
      <rPr>
        <b/>
        <vertAlign val="superscript"/>
        <sz val="9"/>
        <rFont val="Cambria"/>
        <family val="1"/>
        <scheme val="major"/>
      </rPr>
      <t>d</t>
    </r>
  </si>
  <si>
    <t>Volumen total de atún rojo del Atlántico por Grupo importado, tal y como se registra en el sistema eBCD</t>
  </si>
  <si>
    <r>
      <t>media</t>
    </r>
    <r>
      <rPr>
        <b/>
        <vertAlign val="superscript"/>
        <sz val="9"/>
        <rFont val="Cambria"/>
        <family val="1"/>
        <scheme val="major"/>
      </rPr>
      <t>b</t>
    </r>
  </si>
  <si>
    <t>% Nº operaciones</t>
  </si>
  <si>
    <r>
      <t>comerciales</t>
    </r>
    <r>
      <rPr>
        <b/>
        <vertAlign val="superscript"/>
        <sz val="9"/>
        <rFont val="Cambria"/>
        <family val="1"/>
        <scheme val="major"/>
      </rPr>
      <t>c</t>
    </r>
  </si>
  <si>
    <t>% Peso</t>
  </si>
  <si>
    <r>
      <t>importado</t>
    </r>
    <r>
      <rPr>
        <b/>
        <vertAlign val="superscript"/>
        <sz val="9"/>
        <rFont val="Cambria"/>
        <family val="1"/>
        <scheme val="major"/>
      </rPr>
      <t>d</t>
    </r>
  </si>
  <si>
    <r>
      <t>básica</t>
    </r>
    <r>
      <rPr>
        <b/>
        <vertAlign val="superscript"/>
        <sz val="9"/>
        <rFont val="Cambria"/>
        <family val="1"/>
        <scheme val="major"/>
      </rPr>
      <t>e</t>
    </r>
  </si>
  <si>
    <t>Captura</t>
  </si>
  <si>
    <r>
      <t>media</t>
    </r>
    <r>
      <rPr>
        <b/>
        <vertAlign val="superscript"/>
        <sz val="9"/>
        <rFont val="Cambria"/>
        <family val="1"/>
        <scheme val="major"/>
      </rPr>
      <t>f</t>
    </r>
  </si>
  <si>
    <t>Nº operaciones</t>
  </si>
  <si>
    <r>
      <t>comerciales</t>
    </r>
    <r>
      <rPr>
        <b/>
        <vertAlign val="superscript"/>
        <sz val="9"/>
        <rFont val="Cambria"/>
        <family val="1"/>
        <scheme val="major"/>
      </rPr>
      <t>g</t>
    </r>
  </si>
  <si>
    <t>Peso</t>
  </si>
  <si>
    <r>
      <t>importado</t>
    </r>
    <r>
      <rPr>
        <b/>
        <vertAlign val="superscript"/>
        <sz val="9"/>
        <rFont val="Cambria"/>
        <family val="1"/>
        <scheme val="major"/>
      </rPr>
      <t>h</t>
    </r>
  </si>
  <si>
    <t>Cuota</t>
  </si>
  <si>
    <t>% Captura</t>
  </si>
  <si>
    <r>
      <t>Captura media</t>
    </r>
    <r>
      <rPr>
        <b/>
        <vertAlign val="superscript"/>
        <sz val="9"/>
        <rFont val="Cambria"/>
        <family val="1"/>
        <scheme val="major"/>
      </rPr>
      <t>h</t>
    </r>
  </si>
  <si>
    <r>
      <t>comerciales (€)</t>
    </r>
    <r>
      <rPr>
        <b/>
        <vertAlign val="superscript"/>
        <sz val="9"/>
        <rFont val="Cambria"/>
        <family val="1"/>
        <scheme val="major"/>
      </rPr>
      <t>i</t>
    </r>
  </si>
  <si>
    <r>
      <t>Peso importado</t>
    </r>
    <r>
      <rPr>
        <b/>
        <vertAlign val="superscript"/>
        <sz val="9"/>
        <rFont val="Cambria"/>
        <family val="1"/>
        <scheme val="major"/>
      </rPr>
      <t>j</t>
    </r>
  </si>
  <si>
    <r>
      <t>cuotas</t>
    </r>
    <r>
      <rPr>
        <b/>
        <vertAlign val="superscript"/>
        <sz val="9"/>
        <rFont val="Cambria"/>
        <family val="1"/>
        <scheme val="major"/>
      </rPr>
      <t>i</t>
    </r>
  </si>
  <si>
    <t>Número de Partes contratantes por Grupo (Tabla 2)</t>
  </si>
  <si>
    <t>Volumen total de atún rojo del Atlántico de la Parte contratante importado, tal y como se registre en el sistema eBCD (los datos pertinentes de comercio y de importación del sistema eBCD reflejarán el mismo periodo temporal utilizado para determinar los datos de captura y enlatado pertinentes, con arreglo al párrafo 1 (b) (ii))</t>
  </si>
  <si>
    <r>
      <t>Nº opérations commerciales</t>
    </r>
    <r>
      <rPr>
        <b/>
        <vertAlign val="superscript"/>
        <sz val="9"/>
        <rFont val="Cambria"/>
        <family val="1"/>
        <scheme val="major"/>
      </rPr>
      <t>c</t>
    </r>
  </si>
  <si>
    <r>
      <t>% Nº opérations commerciales</t>
    </r>
    <r>
      <rPr>
        <b/>
        <vertAlign val="superscript"/>
        <sz val="9"/>
        <rFont val="Cambria"/>
        <family val="1"/>
        <scheme val="major"/>
      </rPr>
      <t>c</t>
    </r>
  </si>
  <si>
    <r>
      <t>Poids importé</t>
    </r>
    <r>
      <rPr>
        <b/>
        <vertAlign val="superscript"/>
        <sz val="9"/>
        <rFont val="Cambria"/>
        <family val="1"/>
        <scheme val="major"/>
      </rPr>
      <t>d</t>
    </r>
  </si>
  <si>
    <r>
      <t>% Poids importé</t>
    </r>
    <r>
      <rPr>
        <b/>
        <vertAlign val="superscript"/>
        <sz val="9"/>
        <rFont val="Cambria"/>
        <family val="1"/>
        <scheme val="major"/>
      </rPr>
      <t>d</t>
    </r>
  </si>
  <si>
    <r>
      <t>% capture moyenne</t>
    </r>
    <r>
      <rPr>
        <b/>
        <vertAlign val="superscript"/>
        <sz val="9"/>
        <rFont val="Cambria"/>
        <family val="1"/>
        <scheme val="major"/>
      </rPr>
      <t xml:space="preserve"> b</t>
    </r>
  </si>
  <si>
    <t>% Nº opérations</t>
  </si>
  <si>
    <r>
      <t>commerciales</t>
    </r>
    <r>
      <rPr>
        <b/>
        <vertAlign val="superscript"/>
        <sz val="9"/>
        <rFont val="Cambria"/>
        <family val="1"/>
        <scheme val="major"/>
      </rPr>
      <t>c</t>
    </r>
  </si>
  <si>
    <t>% Poids</t>
  </si>
  <si>
    <r>
      <t>importé</t>
    </r>
    <r>
      <rPr>
        <b/>
        <vertAlign val="superscript"/>
        <sz val="9"/>
        <rFont val="Cambria"/>
        <family val="1"/>
        <scheme val="major"/>
      </rPr>
      <t>d</t>
    </r>
  </si>
  <si>
    <t>Cotisation</t>
  </si>
  <si>
    <r>
      <t>de base</t>
    </r>
    <r>
      <rPr>
        <b/>
        <vertAlign val="superscript"/>
        <sz val="9"/>
        <rFont val="Cambria"/>
        <family val="1"/>
        <scheme val="major"/>
      </rPr>
      <t>e</t>
    </r>
  </si>
  <si>
    <t>Capture</t>
  </si>
  <si>
    <r>
      <t>moyenne</t>
    </r>
    <r>
      <rPr>
        <b/>
        <vertAlign val="superscript"/>
        <sz val="9"/>
        <rFont val="Cambria"/>
        <family val="1"/>
        <scheme val="major"/>
      </rPr>
      <t>f</t>
    </r>
  </si>
  <si>
    <t>Nº opérations</t>
  </si>
  <si>
    <r>
      <t>commerciales</t>
    </r>
    <r>
      <rPr>
        <b/>
        <vertAlign val="superscript"/>
        <sz val="9"/>
        <rFont val="Cambria"/>
        <family val="1"/>
        <scheme val="major"/>
      </rPr>
      <t>g</t>
    </r>
  </si>
  <si>
    <t>Poids</t>
  </si>
  <si>
    <r>
      <t>importé</t>
    </r>
    <r>
      <rPr>
        <b/>
        <vertAlign val="superscript"/>
        <sz val="9"/>
        <rFont val="Cambria"/>
        <family val="1"/>
        <scheme val="major"/>
      </rPr>
      <t>h</t>
    </r>
  </si>
  <si>
    <r>
      <t>moyenne</t>
    </r>
    <r>
      <rPr>
        <b/>
        <vertAlign val="superscript"/>
        <sz val="9"/>
        <rFont val="Cambria"/>
        <family val="1"/>
        <scheme val="major"/>
      </rPr>
      <t>b</t>
    </r>
  </si>
  <si>
    <r>
      <t xml:space="preserve">Capture moyenne </t>
    </r>
    <r>
      <rPr>
        <b/>
        <vertAlign val="superscript"/>
        <sz val="9"/>
        <rFont val="Cambria"/>
        <family val="1"/>
        <scheme val="major"/>
      </rPr>
      <t>h</t>
    </r>
  </si>
  <si>
    <r>
      <t>commerciales  (€)</t>
    </r>
    <r>
      <rPr>
        <b/>
        <vertAlign val="superscript"/>
        <sz val="9"/>
        <rFont val="Cambria"/>
        <family val="1"/>
        <scheme val="major"/>
      </rPr>
      <t>i</t>
    </r>
  </si>
  <si>
    <r>
      <t>Poids importé</t>
    </r>
    <r>
      <rPr>
        <b/>
        <vertAlign val="superscript"/>
        <sz val="9"/>
        <rFont val="Cambria"/>
        <family val="1"/>
        <scheme val="major"/>
      </rPr>
      <t>j</t>
    </r>
  </si>
  <si>
    <t>Pourcentage de capture de thon rouge de l'Atlantique de la Partie contractante au sein du groupe dont elle fait partie</t>
  </si>
  <si>
    <t>Pourcentage du nombre d'opérations commerciales de la Partie contractante dans le système eBCD au sein du groupe dont elle fait partie</t>
  </si>
  <si>
    <t>Pourcentage du volume total de thon rouge de l'Atlantique de la Partie contractante importé, tel qu'il est enregistré dans le système eBCD au sein du groupe dont elle fait partie</t>
  </si>
  <si>
    <t>Cotisation de base (700 $USD)</t>
  </si>
  <si>
    <t>Cotisation proportionnelle au poids vif du thon rouge de la Partie contractante</t>
  </si>
  <si>
    <t>Cotisation proportionnelle au nombre d'opérations commerciales de la Partie contractante dans le système eBCD</t>
  </si>
  <si>
    <t>Cuota en proporción al número de operaciones comerciales de la Parte contratante en el sistema eBCD</t>
  </si>
  <si>
    <t>Cotisation proportionnelle au volume de thon rouge de l'Atlantique de la Partie contractante importé, tel qu'il est enregistré dans le système eBCD</t>
  </si>
  <si>
    <t>Volume total de capture de thon rouge par Groupe</t>
  </si>
  <si>
    <t>Nombre total d’opérations commerciales par Groupe dans le système eBCD</t>
  </si>
  <si>
    <t>Volume total  de thon rouge de l'Atlantique par Groupe importé, tel qu'il est enregistré dans le système eBCD</t>
  </si>
  <si>
    <t>Pourcentage du budget financé par chaque membre de chaque Groupe en vertu des dispositions du Protocole de Madrid</t>
  </si>
  <si>
    <t>Pourcentage du budget financé par chaque Groupe</t>
  </si>
  <si>
    <t>Cotisations de base au sein de chaque Groupe</t>
  </si>
  <si>
    <t>Cotisations: 30% correspondant au poids vif total de la capture de thon rouge (43% s'il n'y a pas de données du commerce et d'importation)</t>
  </si>
  <si>
    <t>Cotisations: 40% correspondant au nombre total d'opérations commerciales (57% s'il n'y a pas de données du commerce et d'importation)</t>
  </si>
  <si>
    <t>Cotisations: 30% correspondant au volume de thon rouge importé (0% s'il n'y a pas de données du commerce et d'importation)</t>
  </si>
  <si>
    <t>Fee in proportion to live weight of bluefin tuna for the Contracting Party</t>
  </si>
  <si>
    <t>CPC's overall volume of imported Atlantic bluefin tuna, as recorded in the eBCD system (The relevant trade and import data from the eBCD system shall reflect the same time period used to determine the relevant catch and canning data pursuant to paragraph 1(b)(ii).)</t>
  </si>
  <si>
    <t>Percentage of the CPC's Atlantic bluefin tuna catch within its Group</t>
  </si>
  <si>
    <t>Percentage of number of CPC's trades in the eBCD system within its group</t>
  </si>
  <si>
    <t>Percentage of CPC total volume of imported Atlantic bluefin tuna, as recorded in the eBCD system within its group</t>
  </si>
  <si>
    <t>Basic fee (US$700)</t>
  </si>
  <si>
    <t>Fee in proportion to the number of CPC trades in the eBCD system</t>
  </si>
  <si>
    <t>Fee in proportion to the CPC volume of imported Atlantic bluefin tuna, as recorded in the eBCD system</t>
  </si>
  <si>
    <t>Total volume of bluefin tuna catch by Group</t>
  </si>
  <si>
    <t>Total number of trades by Group in the eBCD system</t>
  </si>
  <si>
    <t>Total volume of imported Atlantic bluefin tuna by Group, as recorded in the eBCD system</t>
  </si>
  <si>
    <t>Percentage of the budget financed by each member of each Group as per the Madrid Protocol</t>
  </si>
  <si>
    <t>Percentage of the budget financed by each Group</t>
  </si>
  <si>
    <t>Basic fees within each Group</t>
  </si>
  <si>
    <t>Fees: 30% based on total live weight of bluefin tuna catch (43% if there are no trade and import data)</t>
  </si>
  <si>
    <t>Fees: 40% based on the total number of trades (57% if there are no trade and import data)</t>
  </si>
  <si>
    <t>Fees: 30% based on the volume of imported bluefin tuna (0% if there are no trade and import data)</t>
  </si>
  <si>
    <t>Support, maintenance, and functionality development of the electronic Bluefin Tuna Catch Documentation (eBCD) system/ Appui,  maintenance et développement de la fonctionnalité du système électronique de documentation des captures de thon rouge (eBCD) / Soporte, mantenimiento y desarrollo de la funcionalidad del sistema electrónico de documentación de capturas de atún rojo (eBCD)</t>
  </si>
  <si>
    <t>eBCD system fund</t>
  </si>
  <si>
    <t>%</t>
  </si>
  <si>
    <t>Salaries / Salaires / Salarios</t>
  </si>
  <si>
    <t>TOTAL BUDGET / BUDGET TOTAL / PRESUPUESTO TOTAL DE GASTOS</t>
  </si>
  <si>
    <t>Fonds système eBCD</t>
  </si>
  <si>
    <t xml:space="preserve">United Kingdom of Great Britain and Northern Ireland </t>
  </si>
  <si>
    <t>a) Other developments as required* /Autres développements, si nécessaire*/ Otros desarrollos, si es necesario*</t>
  </si>
  <si>
    <t>Developments in the web application ("Flexible" allotment): Development activities requested by the Working Group (WG) * /Développements dans l'application Web (allocation " flexible ") : Activités de développement demandées par le Groupe de travail (WG) * /Desarrollos en la aplicación web (asignación "Flexible"): actividades de Desarrollo solicitadas por el Grupo de trabajo (GT) *</t>
  </si>
  <si>
    <r>
      <t>Cotisations</t>
    </r>
    <r>
      <rPr>
        <b/>
        <vertAlign val="superscript"/>
        <sz val="9"/>
        <rFont val="Cambria"/>
        <family val="1"/>
        <scheme val="major"/>
      </rPr>
      <t>i</t>
    </r>
  </si>
  <si>
    <r>
      <t>Partie</t>
    </r>
    <r>
      <rPr>
        <b/>
        <vertAlign val="superscript"/>
        <sz val="9"/>
        <rFont val="Cambria"/>
        <family val="1"/>
        <scheme val="major"/>
      </rPr>
      <t>e</t>
    </r>
  </si>
  <si>
    <r>
      <t>Parte</t>
    </r>
    <r>
      <rPr>
        <b/>
        <vertAlign val="superscript"/>
        <sz val="9"/>
        <rFont val="Cambria"/>
        <family val="1"/>
        <scheme val="major"/>
      </rPr>
      <t>e</t>
    </r>
  </si>
  <si>
    <r>
      <t>presupuesto</t>
    </r>
    <r>
      <rPr>
        <b/>
        <vertAlign val="superscript"/>
        <sz val="9"/>
        <rFont val="Cambria"/>
        <family val="1"/>
        <scheme val="major"/>
      </rPr>
      <t>f</t>
    </r>
  </si>
  <si>
    <r>
      <t>cotisations</t>
    </r>
    <r>
      <rPr>
        <b/>
        <vertAlign val="superscript"/>
        <sz val="9"/>
        <rFont val="Cambria"/>
        <family val="1"/>
        <scheme val="major"/>
      </rPr>
      <t>k</t>
    </r>
  </si>
  <si>
    <r>
      <t>cuotas</t>
    </r>
    <r>
      <rPr>
        <b/>
        <vertAlign val="superscript"/>
        <sz val="9"/>
        <rFont val="Cambria"/>
        <family val="1"/>
        <scheme val="major"/>
      </rPr>
      <t>k</t>
    </r>
  </si>
  <si>
    <t>ANNÉE 2025</t>
  </si>
  <si>
    <t>AÑO 2025</t>
  </si>
  <si>
    <t>Table 3 and 5 / Tableau 3 et 5 / Tabla 3 y 5</t>
  </si>
  <si>
    <t xml:space="preserve">Table 4 and 6 / Tableau 4 et 6 / Tabla 4 y 6 </t>
  </si>
  <si>
    <t>Brazil</t>
  </si>
  <si>
    <t>Average catches (t) for 2021-2023</t>
  </si>
  <si>
    <t>Moyenne Captures 2021-2023 (t)</t>
  </si>
  <si>
    <t>Promedio capturas 2021-2023 (t)</t>
  </si>
  <si>
    <t>Total number of trades in the eBCD system 2021-2023</t>
  </si>
  <si>
    <t>Nombre total d’opérations commerciales de la Partie contractante enregistrés dans le système Ebcd 2021-2023</t>
  </si>
  <si>
    <t>Número total de operaciones comerciales de la Parte contratante en el sistema eBCD 2021-2023</t>
  </si>
  <si>
    <r>
      <t xml:space="preserve">Table 7. </t>
    </r>
    <r>
      <rPr>
        <sz val="10"/>
        <rFont val="Cambria"/>
        <family val="1"/>
        <scheme val="major"/>
      </rPr>
      <t xml:space="preserve">Eastern and western bluefin tuna catch figures (in t) for 2021-2023 of the members of the Commission that catch and/or trade Atlantic bluefin tuna. / </t>
    </r>
    <r>
      <rPr>
        <b/>
        <sz val="10"/>
        <rFont val="Cambria"/>
        <family val="1"/>
        <scheme val="major"/>
      </rPr>
      <t xml:space="preserve">Tableau 7. </t>
    </r>
    <r>
      <rPr>
        <sz val="10"/>
        <rFont val="Cambria"/>
        <family val="1"/>
        <scheme val="major"/>
      </rPr>
      <t xml:space="preserve">Montants de capture de thon rouge de l'Est et de l'Ouest (en t) pour 2021-2023 des membres de la Commission qui capturent et/ou commercialisent du thon rouge de l'Atlantique / </t>
    </r>
    <r>
      <rPr>
        <b/>
        <sz val="10"/>
        <rFont val="Cambria"/>
        <family val="1"/>
        <scheme val="major"/>
      </rPr>
      <t xml:space="preserve">Tabla 7. </t>
    </r>
    <r>
      <rPr>
        <sz val="10"/>
        <rFont val="Cambria"/>
        <family val="1"/>
        <scheme val="major"/>
      </rPr>
      <t>Cifras de captura de atún rojo del este y oeste (en t) de los miembros de la Comisión que capturen y/o comercialicen atún rojo del Atlántico para 2021-2023</t>
    </r>
  </si>
  <si>
    <t>Turkey</t>
  </si>
  <si>
    <r>
      <t>Average Catch</t>
    </r>
    <r>
      <rPr>
        <b/>
        <vertAlign val="superscript"/>
        <sz val="9"/>
        <rFont val="Cambria"/>
        <family val="1"/>
        <scheme val="major"/>
      </rPr>
      <t>b</t>
    </r>
    <r>
      <rPr>
        <b/>
        <sz val="9"/>
        <rFont val="Cambria"/>
        <family val="1"/>
        <scheme val="major"/>
      </rPr>
      <t xml:space="preserve"> (2016-2017)</t>
    </r>
  </si>
  <si>
    <r>
      <t>Capture moyenne</t>
    </r>
    <r>
      <rPr>
        <b/>
        <vertAlign val="superscript"/>
        <sz val="9"/>
        <rFont val="Cambria"/>
        <family val="1"/>
        <scheme val="major"/>
      </rPr>
      <t>b</t>
    </r>
    <r>
      <rPr>
        <b/>
        <sz val="9"/>
        <rFont val="Cambria"/>
        <family val="1"/>
        <scheme val="major"/>
      </rPr>
      <t xml:space="preserve"> (2016-2017)</t>
    </r>
  </si>
  <si>
    <r>
      <t>Captura media</t>
    </r>
    <r>
      <rPr>
        <b/>
        <vertAlign val="superscript"/>
        <sz val="9"/>
        <rFont val="Cambria"/>
        <family val="1"/>
        <scheme val="major"/>
      </rPr>
      <t xml:space="preserve">b </t>
    </r>
    <r>
      <rPr>
        <b/>
        <sz val="9"/>
        <rFont val="Cambria"/>
        <family val="1"/>
        <scheme val="major"/>
      </rPr>
      <t>(2016-2017)</t>
    </r>
  </si>
  <si>
    <t>ANNÉE 2026</t>
  </si>
  <si>
    <t>AÑO 2026</t>
  </si>
  <si>
    <t>ANNÉE 2027</t>
  </si>
  <si>
    <t>AÑO 2027</t>
  </si>
  <si>
    <t>* Note, these amounts may be subject to change depending on decisions taken during the 2025 Commission meeting.</t>
  </si>
  <si>
    <t>* A noter que ces montants peuvent faire l'objet de modifications en fonction des décisions prises lors de la réunion de la Commission de 2025.</t>
  </si>
  <si>
    <t>* Nota: estas cantidades podrían cambiar dependiendo de las decisiones tomadas durante la reunión de la Comisión de 2025.</t>
  </si>
  <si>
    <t>Catch figures (in t) based on Compliance Table tabled at 2024 annual meeting (COC-304-B_TABLES_2024)</t>
  </si>
  <si>
    <t>Chiffres de capture (en t) basés sur le tableau d'application présenté à la réunion annuelle de 2024 (COC-304-B_TABLES_2024)</t>
  </si>
  <si>
    <t>Cifras de captura (en t) basadas en la Tabla de cumplimiento presentada en la reunión anual de 2024 (COC-304-B_TABLES_2024)</t>
  </si>
  <si>
    <r>
      <t>Table 5.</t>
    </r>
    <r>
      <rPr>
        <sz val="10"/>
        <rFont val="Cambria"/>
        <family val="1"/>
        <scheme val="major"/>
      </rPr>
      <t xml:space="preserve"> 2027 contributions to the eBCD system for members of the Commission that catch and/or trade Atlantic bluefin tuna (Euros) / </t>
    </r>
    <r>
      <rPr>
        <b/>
        <sz val="10"/>
        <rFont val="Cambria"/>
        <family val="1"/>
        <scheme val="major"/>
      </rPr>
      <t xml:space="preserve">Tableau 5. </t>
    </r>
    <r>
      <rPr>
        <sz val="10"/>
        <rFont val="Cambria"/>
        <family val="1"/>
        <scheme val="major"/>
      </rPr>
      <t xml:space="preserve">Contributions de 2027 au Système eBCD des membres de la Commission qui capturent et/ou commercialisent du thon rouge de l'Atlantique (Euros) / </t>
    </r>
    <r>
      <rPr>
        <b/>
        <sz val="10"/>
        <rFont val="Cambria"/>
        <family val="1"/>
        <scheme val="major"/>
      </rPr>
      <t xml:space="preserve">Tabla 5. </t>
    </r>
    <r>
      <rPr>
        <sz val="10"/>
        <rFont val="Cambria"/>
        <family val="1"/>
        <scheme val="major"/>
      </rPr>
      <t>Contribuciones de 2027 al Sistema eBCD de los miembros de la Comisión que capturen y/o comercialicen atún rojo del Atlántico (euros).</t>
    </r>
  </si>
  <si>
    <r>
      <t xml:space="preserve">Table 1. </t>
    </r>
    <r>
      <rPr>
        <sz val="10"/>
        <rFont val="Cambria"/>
        <family val="1"/>
        <scheme val="major"/>
      </rPr>
      <t>2026-2027</t>
    </r>
    <r>
      <rPr>
        <b/>
        <sz val="10"/>
        <rFont val="Cambria"/>
        <family val="1"/>
        <scheme val="major"/>
      </rPr>
      <t xml:space="preserve"> </t>
    </r>
    <r>
      <rPr>
        <sz val="10"/>
        <rFont val="Cambria"/>
        <family val="1"/>
        <scheme val="major"/>
      </rPr>
      <t>eBCD system draft budget (Euros) /</t>
    </r>
    <r>
      <rPr>
        <b/>
        <sz val="10"/>
        <rFont val="Cambria"/>
        <family val="1"/>
        <scheme val="major"/>
      </rPr>
      <t xml:space="preserve"> Tableau 1.</t>
    </r>
    <r>
      <rPr>
        <sz val="10"/>
        <rFont val="Cambria"/>
        <family val="1"/>
        <scheme val="major"/>
      </rPr>
      <t xml:space="preserve"> Projet de Budget du Système eBCD 2026-2027 (Euros) / </t>
    </r>
    <r>
      <rPr>
        <b/>
        <sz val="10"/>
        <rFont val="Cambria"/>
        <family val="1"/>
        <scheme val="major"/>
      </rPr>
      <t xml:space="preserve">Tabla 1. </t>
    </r>
    <r>
      <rPr>
        <sz val="10"/>
        <rFont val="Cambria"/>
        <family val="1"/>
        <scheme val="major"/>
      </rPr>
      <t>Proyecto de Presupuesto del Sistema eBCD 2026-2027 (euros)</t>
    </r>
    <r>
      <rPr>
        <b/>
        <sz val="10"/>
        <rFont val="Cambria"/>
        <family val="1"/>
        <scheme val="major"/>
      </rPr>
      <t>.</t>
    </r>
  </si>
  <si>
    <r>
      <t xml:space="preserve">Table 2. </t>
    </r>
    <r>
      <rPr>
        <sz val="10"/>
        <rFont val="Cambria"/>
        <family val="1"/>
        <scheme val="major"/>
      </rPr>
      <t>Basic information to calculate the 2026 and 2027 contributions to the eBCD system for members of the Commission that catch and/or trade Atlantic bluefin tuna /</t>
    </r>
    <r>
      <rPr>
        <b/>
        <sz val="10"/>
        <rFont val="Cambria"/>
        <family val="1"/>
        <scheme val="major"/>
      </rPr>
      <t xml:space="preserve"> Tableau 2. </t>
    </r>
    <r>
      <rPr>
        <sz val="10"/>
        <rFont val="Cambria"/>
        <family val="1"/>
        <scheme val="major"/>
      </rPr>
      <t xml:space="preserve">Information de base pour calculer les contributions de 2026-2027 au Système eBCD des membres de la Commission qui capturent et/ou commercialisent du thon rouge de l'Atlantique / </t>
    </r>
    <r>
      <rPr>
        <b/>
        <sz val="10"/>
        <rFont val="Cambria"/>
        <family val="1"/>
        <scheme val="major"/>
      </rPr>
      <t xml:space="preserve">Tabla 2. </t>
    </r>
    <r>
      <rPr>
        <sz val="10"/>
        <rFont val="Cambria"/>
        <family val="1"/>
        <scheme val="major"/>
      </rPr>
      <t>Información básica para calcular las contribuciones de 2026 y 2027 al Sistema eBCD de los miembros de la Comisión que capturen y/o comercialicen atún rojo del Atlántico</t>
    </r>
    <r>
      <rPr>
        <b/>
        <sz val="10"/>
        <rFont val="Cambria"/>
        <family val="1"/>
        <scheme val="major"/>
      </rPr>
      <t>.</t>
    </r>
  </si>
  <si>
    <r>
      <t>Table 3.</t>
    </r>
    <r>
      <rPr>
        <sz val="10"/>
        <rFont val="Cambria"/>
        <family val="1"/>
        <scheme val="major"/>
      </rPr>
      <t xml:space="preserve"> 2026 contributions to the eBCD system for members of the Commission that catch and/or trade Atlantic bluefin tuna (Euros) / </t>
    </r>
    <r>
      <rPr>
        <b/>
        <sz val="10"/>
        <rFont val="Cambria"/>
        <family val="1"/>
        <scheme val="major"/>
      </rPr>
      <t xml:space="preserve">Tableau 3. </t>
    </r>
    <r>
      <rPr>
        <sz val="10"/>
        <rFont val="Cambria"/>
        <family val="1"/>
        <scheme val="major"/>
      </rPr>
      <t xml:space="preserve">Contributions de 2026 au Système eBCD des membres de la Commission qui capturent et/ou commercialisent du thon rouge de l'Atlantique (Euros) / </t>
    </r>
    <r>
      <rPr>
        <b/>
        <sz val="10"/>
        <rFont val="Cambria"/>
        <family val="1"/>
        <scheme val="major"/>
      </rPr>
      <t xml:space="preserve">Tabla 3. </t>
    </r>
    <r>
      <rPr>
        <sz val="10"/>
        <rFont val="Cambria"/>
        <family val="1"/>
        <scheme val="major"/>
      </rPr>
      <t>Contribuciones de 2026 al Sistema eBCD de los miembros de la Comisión que capturen y/o comercialicen atún rojo del Atlántico (euros)</t>
    </r>
    <r>
      <rPr>
        <b/>
        <sz val="10"/>
        <rFont val="Cambria"/>
        <family val="1"/>
        <scheme val="major"/>
      </rPr>
      <t>.</t>
    </r>
  </si>
  <si>
    <r>
      <t>% Capture moyenne</t>
    </r>
    <r>
      <rPr>
        <b/>
        <vertAlign val="superscript"/>
        <sz val="9"/>
        <rFont val="Cambria"/>
        <family val="1"/>
        <scheme val="major"/>
      </rPr>
      <t>b</t>
    </r>
  </si>
  <si>
    <r>
      <t xml:space="preserve">Table 4. </t>
    </r>
    <r>
      <rPr>
        <sz val="10"/>
        <rFont val="Cambria"/>
        <family val="1"/>
        <scheme val="major"/>
      </rPr>
      <t xml:space="preserve">2026 contributions to the eBCD system by Group for members of the Commission that catch and/or trade Atlantic bluefin tuna. Fees expressed in Euros / </t>
    </r>
    <r>
      <rPr>
        <b/>
        <sz val="10"/>
        <rFont val="Cambria"/>
        <family val="1"/>
        <scheme val="major"/>
      </rPr>
      <t xml:space="preserve">Tableau 4. </t>
    </r>
    <r>
      <rPr>
        <sz val="10"/>
        <rFont val="Cambria"/>
        <family val="1"/>
        <scheme val="major"/>
      </rPr>
      <t>Contributions de 2026 au Système eBCD par groupe des membres de la Commission qui capturent et/ou commercialisent du thon rouge de l'Atlantique. Cotisations exprimées en euros /</t>
    </r>
    <r>
      <rPr>
        <b/>
        <sz val="10"/>
        <rFont val="Cambria"/>
        <family val="1"/>
        <scheme val="major"/>
      </rPr>
      <t xml:space="preserve"> Tabla 4. </t>
    </r>
    <r>
      <rPr>
        <sz val="10"/>
        <rFont val="Cambria"/>
        <family val="1"/>
        <scheme val="major"/>
      </rPr>
      <t>Contribuciones de 2026 al Sistema eBCD por grupo de los miembros de la Comisión que capturen y/o comercialicen atún rojo del Atlántico (euros). Cuotas expresadas en euros.</t>
    </r>
  </si>
  <si>
    <r>
      <t>Cotisations</t>
    </r>
    <r>
      <rPr>
        <b/>
        <vertAlign val="superscript"/>
        <sz val="9"/>
        <rFont val="Cambria"/>
        <family val="1"/>
        <scheme val="major"/>
      </rPr>
      <t>g</t>
    </r>
    <r>
      <rPr>
        <b/>
        <sz val="9"/>
        <rFont val="Cambria"/>
        <family val="1"/>
        <scheme val="major"/>
      </rPr>
      <t xml:space="preserve"> de base (Euros)</t>
    </r>
  </si>
  <si>
    <r>
      <t xml:space="preserve">Table 6. </t>
    </r>
    <r>
      <rPr>
        <sz val="10"/>
        <rFont val="Cambria"/>
        <family val="1"/>
        <scheme val="major"/>
      </rPr>
      <t xml:space="preserve">2027 contributions to the eBCD system by Group for members of the Commission that catch and/or trade Atlantic bluefin tuna. Fees expressed in Euros / </t>
    </r>
    <r>
      <rPr>
        <b/>
        <sz val="10"/>
        <rFont val="Cambria"/>
        <family val="1"/>
        <scheme val="major"/>
      </rPr>
      <t xml:space="preserve">Tableau 6. </t>
    </r>
    <r>
      <rPr>
        <sz val="10"/>
        <rFont val="Cambria"/>
        <family val="1"/>
        <scheme val="major"/>
      </rPr>
      <t>Contributions de 2027 au Système eBCD par groupe des membres de la Commission qui capturent et/ou commercialisent du thon rouge de l'Atlantique. Cotisations exprimées en Euros /</t>
    </r>
    <r>
      <rPr>
        <b/>
        <sz val="10"/>
        <rFont val="Cambria"/>
        <family val="1"/>
        <scheme val="major"/>
      </rPr>
      <t xml:space="preserve"> Tabla 6. </t>
    </r>
    <r>
      <rPr>
        <sz val="10"/>
        <rFont val="Cambria"/>
        <family val="1"/>
        <scheme val="major"/>
      </rPr>
      <t xml:space="preserve">Contribuciones de 2027 al Sistema eBCD por grupo de los miembros de la Comisión que capturen y/o comercialicen atún rojo del Atlántico (Euros). Cuotas expresadas en euros. </t>
    </r>
  </si>
  <si>
    <r>
      <t>cotisations</t>
    </r>
    <r>
      <rPr>
        <b/>
        <vertAlign val="superscript"/>
        <sz val="9"/>
        <rFont val="Cambria"/>
        <family val="1"/>
        <scheme val="major"/>
      </rPr>
      <t>k</t>
    </r>
    <r>
      <rPr>
        <b/>
        <sz val="9"/>
        <rFont val="Cambria"/>
        <family val="1"/>
        <scheme val="major"/>
      </rPr>
      <t xml:space="preserve"> (euros)</t>
    </r>
  </si>
  <si>
    <r>
      <t>Cuotas</t>
    </r>
    <r>
      <rPr>
        <b/>
        <vertAlign val="superscript"/>
        <sz val="9"/>
        <rFont val="Cambria"/>
        <family val="1"/>
        <scheme val="major"/>
      </rPr>
      <t>g</t>
    </r>
    <r>
      <rPr>
        <b/>
        <sz val="9"/>
        <rFont val="Cambria"/>
        <family val="1"/>
        <scheme val="major"/>
      </rPr>
      <t xml:space="preserve"> de base (euros)</t>
    </r>
  </si>
  <si>
    <t>(euros)</t>
  </si>
  <si>
    <r>
      <t>Cuotas</t>
    </r>
    <r>
      <rPr>
        <b/>
        <vertAlign val="superscript"/>
        <sz val="9"/>
        <rFont val="Cambria"/>
        <family val="1"/>
        <scheme val="major"/>
      </rPr>
      <t xml:space="preserve">g  </t>
    </r>
    <r>
      <rPr>
        <b/>
        <sz val="9"/>
        <rFont val="Cambria"/>
        <family val="1"/>
        <scheme val="major"/>
      </rPr>
      <t>de base (euros)</t>
    </r>
  </si>
  <si>
    <r>
      <t>cuotas</t>
    </r>
    <r>
      <rPr>
        <b/>
        <vertAlign val="superscript"/>
        <sz val="9"/>
        <rFont val="Cambria"/>
        <family val="1"/>
        <scheme val="major"/>
      </rPr>
      <t>k</t>
    </r>
    <r>
      <rPr>
        <b/>
        <sz val="9"/>
        <rFont val="Cambria"/>
        <family val="1"/>
        <scheme val="major"/>
      </rPr>
      <t xml:space="preserve"> (euros)</t>
    </r>
  </si>
  <si>
    <t>Türkiye</t>
  </si>
  <si>
    <r>
      <t>US$ (</t>
    </r>
    <r>
      <rPr>
        <u/>
        <sz val="9"/>
        <rFont val="Cambria"/>
        <family val="1"/>
        <scheme val="major"/>
      </rPr>
      <t>11</t>
    </r>
    <r>
      <rPr>
        <sz val="9"/>
        <rFont val="Cambria"/>
        <family val="1"/>
        <scheme val="major"/>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</si>
</sst>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sz val="8"/>
      <name val="Arial"/>
      <family val="2"/>
    </font>
    <font>
      <b/>
      <sz val="10"/>
      <name val="Cambria"/>
      <family val="1"/>
      <scheme val="major"/>
    </font>
    <font>
      <sz val="10"/>
      <name val="Cambria"/>
      <family val="1"/>
      <scheme val="major"/>
    </font>
    <font>
      <sz val="9"/>
      <name val="Cambria"/>
      <family val="1"/>
      <scheme val="major"/>
    </font>
    <font>
      <b/>
      <sz val="9"/>
      <name val="Cambria"/>
      <family val="1"/>
      <scheme val="major"/>
    </font>
    <font>
      <i/>
      <sz val="9"/>
      <name val="Cambria"/>
      <family val="1"/>
      <scheme val="major"/>
    </font>
    <font>
      <b/>
      <vertAlign val="superscript"/>
      <sz val="9"/>
      <name val="Cambria"/>
      <family val="1"/>
      <scheme val="major"/>
    </font>
    <font>
      <sz val="8"/>
      <name val="Cambria"/>
      <family val="1"/>
      <scheme val="major"/>
    </font>
    <font>
      <b/>
      <sz val="8"/>
      <name val="Cambria"/>
      <family val="1"/>
      <scheme val="major"/>
    </font>
    <font>
      <sz val="7"/>
      <name val="Cambria"/>
      <family val="1"/>
      <scheme val="major"/>
    </font>
    <font>
      <i/>
      <sz val="7"/>
      <name val="Cambria"/>
      <family val="1"/>
      <scheme val="major"/>
    </font>
    <font>
      <u/>
      <sz val="9"/>
      <name val="Cambria"/>
      <family val="1"/>
      <scheme val="major"/>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cellStyleXfs>
  <cellXfs count="133">
    <xf numFmtId="0" fontId="0" fillId="0" borderId="0" xfId="0"/>
    <xf numFmtId="0" fontId="4" fillId="0" borderId="0" xfId="0" applyFont="1"/>
    <xf numFmtId="0" fontId="4" fillId="0" borderId="0" xfId="0" applyFont="1" applyAlignment="1">
      <alignment vertical="center"/>
    </xf>
    <xf numFmtId="0" fontId="5" fillId="0" borderId="1" xfId="0" applyFont="1" applyBorder="1" applyAlignment="1">
      <alignment vertical="center"/>
    </xf>
    <xf numFmtId="0" fontId="4" fillId="0" borderId="0" xfId="0" applyFont="1" applyAlignment="1">
      <alignment horizontal="center" vertical="center"/>
    </xf>
    <xf numFmtId="4" fontId="4" fillId="0" borderId="0" xfId="0" applyNumberFormat="1" applyFont="1"/>
    <xf numFmtId="4" fontId="5" fillId="0" borderId="1" xfId="0" applyNumberFormat="1" applyFont="1" applyBorder="1" applyAlignment="1">
      <alignment horizontal="center" vertical="center"/>
    </xf>
    <xf numFmtId="0" fontId="5" fillId="0" borderId="0" xfId="0" applyFont="1"/>
    <xf numFmtId="0" fontId="3" fillId="0" borderId="0" xfId="0" applyFont="1"/>
    <xf numFmtId="0" fontId="2" fillId="0" borderId="0" xfId="0" applyFont="1"/>
    <xf numFmtId="0" fontId="3" fillId="0" borderId="0" xfId="0" applyFont="1" applyAlignment="1">
      <alignment horizontal="center"/>
    </xf>
    <xf numFmtId="3" fontId="3" fillId="0" borderId="0" xfId="0" applyNumberFormat="1" applyFont="1"/>
    <xf numFmtId="0" fontId="3" fillId="0" borderId="1" xfId="0" applyFont="1" applyBorder="1"/>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xf numFmtId="0" fontId="4" fillId="0" borderId="0" xfId="0" applyFont="1" applyAlignment="1">
      <alignment horizontal="right" vertical="center"/>
    </xf>
    <xf numFmtId="0" fontId="4" fillId="0" borderId="0" xfId="0" applyFont="1" applyAlignment="1">
      <alignment horizontal="left" vertical="center"/>
    </xf>
    <xf numFmtId="3" fontId="4" fillId="0" borderId="0" xfId="0" applyNumberFormat="1" applyFont="1" applyAlignment="1">
      <alignment horizontal="right"/>
    </xf>
    <xf numFmtId="0" fontId="4" fillId="0" borderId="0" xfId="0" applyFont="1" applyAlignment="1">
      <alignment horizontal="right"/>
    </xf>
    <xf numFmtId="0" fontId="5" fillId="0" borderId="2" xfId="0" applyFont="1" applyBorder="1"/>
    <xf numFmtId="0" fontId="3" fillId="0" borderId="2" xfId="0" applyFont="1" applyBorder="1"/>
    <xf numFmtId="0" fontId="3" fillId="0" borderId="2" xfId="0" applyFont="1" applyBorder="1" applyAlignment="1">
      <alignment horizontal="center"/>
    </xf>
    <xf numFmtId="4" fontId="5" fillId="0" borderId="2" xfId="0" applyNumberFormat="1" applyFont="1" applyBorder="1" applyAlignment="1">
      <alignment horizontal="center" vertical="center"/>
    </xf>
    <xf numFmtId="0" fontId="8" fillId="0" borderId="0" xfId="0" applyFont="1"/>
    <xf numFmtId="0" fontId="8" fillId="0" borderId="0" xfId="0" applyFont="1" applyAlignment="1">
      <alignment horizontal="center"/>
    </xf>
    <xf numFmtId="4" fontId="8" fillId="0" borderId="0" xfId="0" applyNumberFormat="1" applyFont="1"/>
    <xf numFmtId="4" fontId="4" fillId="0" borderId="0" xfId="0" applyNumberFormat="1" applyFont="1" applyAlignment="1">
      <alignment horizontal="right"/>
    </xf>
    <xf numFmtId="4" fontId="5" fillId="0" borderId="0" xfId="0" applyNumberFormat="1" applyFont="1" applyAlignment="1">
      <alignment horizontal="center" vertical="center"/>
    </xf>
    <xf numFmtId="10" fontId="4" fillId="0" borderId="0" xfId="0" applyNumberFormat="1" applyFont="1" applyAlignment="1">
      <alignment vertical="center"/>
    </xf>
    <xf numFmtId="4" fontId="4" fillId="0" borderId="0" xfId="0" applyNumberFormat="1" applyFont="1" applyAlignment="1">
      <alignment vertical="center"/>
    </xf>
    <xf numFmtId="4" fontId="5" fillId="0" borderId="0" xfId="0" applyNumberFormat="1" applyFont="1" applyAlignment="1">
      <alignment vertical="center"/>
    </xf>
    <xf numFmtId="0" fontId="9" fillId="0" borderId="2" xfId="0" applyFont="1" applyBorder="1"/>
    <xf numFmtId="0" fontId="8" fillId="0" borderId="2" xfId="0" applyFont="1" applyBorder="1"/>
    <xf numFmtId="0" fontId="8" fillId="0" borderId="2" xfId="0" applyFont="1" applyBorder="1" applyAlignment="1">
      <alignment horizontal="center"/>
    </xf>
    <xf numFmtId="4" fontId="8" fillId="0" borderId="2" xfId="0" applyNumberFormat="1" applyFont="1" applyBorder="1"/>
    <xf numFmtId="0" fontId="5" fillId="0" borderId="0" xfId="0" applyFont="1" applyAlignment="1">
      <alignment horizontal="center" vertical="center"/>
    </xf>
    <xf numFmtId="10" fontId="4" fillId="0" borderId="0" xfId="0" quotePrefix="1" applyNumberFormat="1" applyFont="1" applyAlignment="1">
      <alignment horizontal="right" vertical="center"/>
    </xf>
    <xf numFmtId="0" fontId="4" fillId="0" borderId="1" xfId="0" applyFont="1" applyBorder="1" applyAlignment="1">
      <alignment vertical="center"/>
    </xf>
    <xf numFmtId="10" fontId="4" fillId="0" borderId="1" xfId="0" applyNumberFormat="1" applyFont="1" applyBorder="1" applyAlignment="1">
      <alignment vertical="center"/>
    </xf>
    <xf numFmtId="4" fontId="4" fillId="0" borderId="1" xfId="0"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center" vertical="center"/>
    </xf>
    <xf numFmtId="10" fontId="5" fillId="0" borderId="3" xfId="0" applyNumberFormat="1" applyFont="1" applyBorder="1" applyAlignment="1">
      <alignment vertical="center"/>
    </xf>
    <xf numFmtId="4" fontId="5" fillId="0" borderId="3" xfId="0" applyNumberFormat="1" applyFont="1" applyBorder="1" applyAlignment="1">
      <alignment vertical="center"/>
    </xf>
    <xf numFmtId="0" fontId="9" fillId="0" borderId="0" xfId="0" applyFont="1"/>
    <xf numFmtId="4" fontId="3" fillId="0" borderId="0" xfId="0" applyNumberFormat="1" applyFont="1"/>
    <xf numFmtId="4" fontId="3" fillId="0" borderId="1" xfId="0" applyNumberFormat="1" applyFont="1" applyBorder="1" applyAlignment="1">
      <alignment horizontal="right"/>
    </xf>
    <xf numFmtId="1" fontId="6" fillId="0" borderId="0" xfId="0" applyNumberFormat="1" applyFont="1" applyAlignment="1">
      <alignment vertical="center"/>
    </xf>
    <xf numFmtId="1" fontId="6" fillId="0" borderId="4" xfId="0" applyNumberFormat="1" applyFont="1" applyBorder="1" applyAlignment="1">
      <alignment vertical="center"/>
    </xf>
    <xf numFmtId="1" fontId="6" fillId="0" borderId="2" xfId="0" applyNumberFormat="1" applyFont="1" applyBorder="1" applyAlignment="1">
      <alignment vertical="center"/>
    </xf>
    <xf numFmtId="1" fontId="6" fillId="0" borderId="2" xfId="0" applyNumberFormat="1" applyFont="1" applyBorder="1" applyAlignment="1">
      <alignment horizontal="center" vertical="center"/>
    </xf>
    <xf numFmtId="1" fontId="6" fillId="0" borderId="5" xfId="0" applyNumberFormat="1" applyFont="1" applyBorder="1" applyAlignment="1">
      <alignment horizontal="center" vertical="center"/>
    </xf>
    <xf numFmtId="1" fontId="4" fillId="0" borderId="0" xfId="0" applyNumberFormat="1" applyFont="1"/>
    <xf numFmtId="0" fontId="6" fillId="0" borderId="0" xfId="0" applyFont="1" applyAlignment="1">
      <alignment horizontal="right" vertical="center"/>
    </xf>
    <xf numFmtId="3" fontId="6" fillId="0" borderId="0" xfId="0" applyNumberFormat="1" applyFont="1" applyAlignment="1">
      <alignment horizontal="right" vertical="center"/>
    </xf>
    <xf numFmtId="164" fontId="6" fillId="0" borderId="0" xfId="0" applyNumberFormat="1" applyFont="1" applyAlignment="1">
      <alignment horizontal="right" vertical="center"/>
    </xf>
    <xf numFmtId="3" fontId="6" fillId="0" borderId="7" xfId="0" applyNumberFormat="1" applyFont="1" applyBorder="1" applyAlignment="1">
      <alignment horizontal="right" vertical="center"/>
    </xf>
    <xf numFmtId="0" fontId="6" fillId="0" borderId="6" xfId="0" applyFont="1" applyBorder="1" applyAlignment="1">
      <alignment vertical="center"/>
    </xf>
    <xf numFmtId="0" fontId="6" fillId="0" borderId="1" xfId="0" applyFont="1" applyBorder="1" applyAlignment="1">
      <alignment horizontal="right" vertical="center"/>
    </xf>
    <xf numFmtId="3" fontId="6" fillId="0" borderId="1" xfId="0" applyNumberFormat="1" applyFont="1" applyBorder="1" applyAlignment="1">
      <alignment horizontal="right" vertical="center"/>
    </xf>
    <xf numFmtId="164" fontId="6" fillId="0" borderId="1" xfId="0" applyNumberFormat="1" applyFont="1" applyBorder="1" applyAlignment="1">
      <alignment horizontal="right" vertical="center"/>
    </xf>
    <xf numFmtId="3" fontId="6" fillId="0" borderId="9" xfId="0" applyNumberFormat="1" applyFont="1" applyBorder="1" applyAlignment="1">
      <alignment horizontal="right" vertical="center"/>
    </xf>
    <xf numFmtId="0" fontId="6" fillId="0" borderId="8" xfId="0" applyFont="1" applyBorder="1" applyAlignment="1">
      <alignment vertical="center"/>
    </xf>
    <xf numFmtId="3" fontId="4" fillId="0" borderId="0" xfId="0" applyNumberFormat="1" applyFont="1"/>
    <xf numFmtId="164" fontId="4" fillId="0" borderId="0" xfId="0" applyNumberFormat="1" applyFont="1"/>
    <xf numFmtId="0" fontId="4" fillId="0" borderId="3" xfId="0" applyFont="1" applyBorder="1" applyAlignment="1">
      <alignment horizontal="right" vertical="center"/>
    </xf>
    <xf numFmtId="0" fontId="4" fillId="0" borderId="3" xfId="0" applyFont="1" applyBorder="1" applyAlignment="1">
      <alignment vertical="center"/>
    </xf>
    <xf numFmtId="3" fontId="8" fillId="0" borderId="0" xfId="0" applyNumberFormat="1" applyFont="1"/>
    <xf numFmtId="0" fontId="10" fillId="0" borderId="0" xfId="0" applyFont="1"/>
    <xf numFmtId="3" fontId="10" fillId="0" borderId="0" xfId="0" applyNumberFormat="1" applyFont="1"/>
    <xf numFmtId="4" fontId="10" fillId="0" borderId="0" xfId="0" applyNumberFormat="1" applyFont="1"/>
    <xf numFmtId="0" fontId="11" fillId="0" borderId="0" xfId="0" applyFont="1"/>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horizontal="center" vertical="center"/>
    </xf>
    <xf numFmtId="0" fontId="8" fillId="0" borderId="19" xfId="0" applyFont="1" applyBorder="1" applyAlignment="1">
      <alignment vertical="center" wrapText="1"/>
    </xf>
    <xf numFmtId="0" fontId="8" fillId="0" borderId="20" xfId="0" applyFont="1" applyBorder="1" applyAlignment="1">
      <alignment vertical="center" wrapText="1"/>
    </xf>
    <xf numFmtId="0" fontId="9" fillId="0" borderId="0" xfId="0" applyFont="1" applyAlignment="1">
      <alignment vertical="center"/>
    </xf>
    <xf numFmtId="0" fontId="8" fillId="0" borderId="0" xfId="0" applyFont="1" applyAlignment="1">
      <alignment vertical="center" wrapText="1"/>
    </xf>
    <xf numFmtId="0" fontId="5" fillId="0" borderId="2" xfId="0" applyFont="1" applyBorder="1" applyAlignment="1">
      <alignment horizontal="center" vertical="center"/>
    </xf>
    <xf numFmtId="3" fontId="6" fillId="0" borderId="6" xfId="0" applyNumberFormat="1" applyFont="1" applyBorder="1" applyAlignment="1">
      <alignment horizontal="center" vertical="center"/>
    </xf>
    <xf numFmtId="3" fontId="6" fillId="0" borderId="8" xfId="0" applyNumberFormat="1" applyFont="1" applyBorder="1" applyAlignment="1">
      <alignment horizontal="center" vertical="center"/>
    </xf>
    <xf numFmtId="164" fontId="6" fillId="0" borderId="0" xfId="0" applyNumberFormat="1" applyFont="1" applyAlignment="1">
      <alignment horizontal="center" vertical="center"/>
    </xf>
    <xf numFmtId="164" fontId="6" fillId="0" borderId="1" xfId="0" applyNumberFormat="1" applyFont="1" applyBorder="1" applyAlignment="1">
      <alignment horizontal="center" vertical="center"/>
    </xf>
    <xf numFmtId="4" fontId="4" fillId="0" borderId="6" xfId="0" applyNumberFormat="1" applyFont="1" applyBorder="1" applyAlignment="1">
      <alignment horizontal="right" vertical="center"/>
    </xf>
    <xf numFmtId="4" fontId="4" fillId="0" borderId="0" xfId="0" applyNumberFormat="1" applyFont="1" applyAlignment="1">
      <alignment horizontal="left" vertical="center"/>
    </xf>
    <xf numFmtId="4" fontId="4" fillId="0" borderId="0" xfId="0" applyNumberFormat="1" applyFont="1" applyAlignment="1">
      <alignment horizontal="right" vertical="center"/>
    </xf>
    <xf numFmtId="4" fontId="4" fillId="0" borderId="7" xfId="0" applyNumberFormat="1" applyFont="1" applyBorder="1" applyAlignment="1">
      <alignment vertical="center"/>
    </xf>
    <xf numFmtId="4" fontId="4" fillId="0" borderId="6" xfId="0" applyNumberFormat="1" applyFont="1" applyBorder="1" applyAlignment="1">
      <alignment vertical="center"/>
    </xf>
    <xf numFmtId="4" fontId="4" fillId="0" borderId="10" xfId="0" applyNumberFormat="1" applyFont="1" applyBorder="1" applyAlignment="1">
      <alignment vertical="center"/>
    </xf>
    <xf numFmtId="4" fontId="4" fillId="0" borderId="3" xfId="0" applyNumberFormat="1" applyFont="1" applyBorder="1" applyAlignment="1">
      <alignment vertical="center"/>
    </xf>
    <xf numFmtId="4" fontId="4" fillId="0" borderId="11" xfId="0" applyNumberFormat="1" applyFont="1" applyBorder="1" applyAlignment="1">
      <alignment vertical="center"/>
    </xf>
    <xf numFmtId="10" fontId="4" fillId="0" borderId="0" xfId="0" applyNumberFormat="1" applyFont="1" applyAlignment="1">
      <alignment horizontal="center" vertical="center"/>
    </xf>
    <xf numFmtId="10" fontId="4" fillId="0" borderId="0" xfId="0" applyNumberFormat="1" applyFont="1" applyAlignment="1">
      <alignment horizontal="right"/>
    </xf>
    <xf numFmtId="3" fontId="4" fillId="0" borderId="0" xfId="0" applyNumberFormat="1" applyFont="1" applyAlignment="1">
      <alignment horizontal="right" vertical="center"/>
    </xf>
    <xf numFmtId="3" fontId="4" fillId="0" borderId="0" xfId="0" applyNumberFormat="1" applyFont="1" applyAlignment="1">
      <alignment vertical="center"/>
    </xf>
    <xf numFmtId="10" fontId="4" fillId="0" borderId="0" xfId="0" applyNumberFormat="1" applyFont="1" applyAlignment="1">
      <alignment horizontal="right" vertical="center"/>
    </xf>
    <xf numFmtId="10" fontId="8" fillId="0" borderId="0" xfId="0" applyNumberFormat="1" applyFont="1" applyAlignment="1">
      <alignment horizontal="center"/>
    </xf>
    <xf numFmtId="0" fontId="9" fillId="0" borderId="0" xfId="0" applyFont="1" applyAlignment="1">
      <alignment horizontal="center"/>
    </xf>
    <xf numFmtId="0" fontId="8" fillId="0" borderId="21" xfId="0" applyFont="1" applyBorder="1" applyAlignment="1">
      <alignment horizontal="center"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5" fillId="0" borderId="0" xfId="0" applyFont="1" applyAlignment="1">
      <alignment horizontal="center" vertical="center" wrapText="1"/>
    </xf>
    <xf numFmtId="4"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4" fillId="0" borderId="0" xfId="0" applyFont="1" applyAlignment="1">
      <alignment horizontal="left" vertical="center" wrapText="1" indent="2"/>
    </xf>
    <xf numFmtId="1" fontId="5" fillId="0" borderId="2"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horizontal="right"/>
    </xf>
    <xf numFmtId="10" fontId="5" fillId="0" borderId="1" xfId="0" applyNumberFormat="1" applyFont="1" applyBorder="1" applyAlignment="1">
      <alignment horizontal="right"/>
    </xf>
    <xf numFmtId="4" fontId="5" fillId="0" borderId="0" xfId="0" applyNumberFormat="1" applyFont="1" applyAlignment="1">
      <alignment horizontal="center" vertical="center" wrapText="1" shrinkToFit="1"/>
    </xf>
    <xf numFmtId="4" fontId="5" fillId="0" borderId="1" xfId="0" applyNumberFormat="1" applyFont="1" applyBorder="1" applyAlignment="1">
      <alignment horizontal="center" vertical="center" wrapText="1" shrinkToFit="1"/>
    </xf>
    <xf numFmtId="0" fontId="2" fillId="0" borderId="0" xfId="0" applyFont="1" applyAlignment="1">
      <alignment horizontal="left" wrapText="1"/>
    </xf>
    <xf numFmtId="0" fontId="2" fillId="0" borderId="0" xfId="0" applyFont="1" applyAlignment="1">
      <alignment horizontal="justify"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0" fillId="0" borderId="1" xfId="0"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showGridLines="0" tabSelected="1" zoomScale="70" zoomScaleNormal="70" workbookViewId="0">
      <selection activeCell="A22" sqref="A22"/>
    </sheetView>
  </sheetViews>
  <sheetFormatPr baseColWidth="10" defaultColWidth="11.44140625" defaultRowHeight="11.4" x14ac:dyDescent="0.2"/>
  <cols>
    <col min="1" max="1" width="84.5546875" style="1" customWidth="1"/>
    <col min="2" max="2" width="14.88671875" style="1" customWidth="1"/>
    <col min="3" max="3" width="11.109375" style="1" customWidth="1"/>
    <col min="4" max="4" width="14.88671875" style="1" customWidth="1"/>
    <col min="5" max="5" width="11.109375" style="1" customWidth="1"/>
    <col min="6" max="6" width="14.88671875" style="1" customWidth="1"/>
    <col min="7" max="16384" width="11.44140625" style="1"/>
  </cols>
  <sheetData>
    <row r="1" spans="1:6" ht="35.1" customHeight="1" x14ac:dyDescent="0.25">
      <c r="A1" s="125" t="s">
        <v>253</v>
      </c>
      <c r="B1" s="125"/>
      <c r="C1" s="125"/>
      <c r="D1" s="125"/>
      <c r="E1" s="125"/>
      <c r="F1" s="125"/>
    </row>
    <row r="2" spans="1:6" ht="6" customHeight="1" x14ac:dyDescent="0.2"/>
    <row r="3" spans="1:6" ht="12" customHeight="1" x14ac:dyDescent="0.2">
      <c r="A3" s="111" t="s">
        <v>212</v>
      </c>
      <c r="B3" s="118">
        <v>2025</v>
      </c>
      <c r="C3" s="118" t="s">
        <v>213</v>
      </c>
      <c r="D3" s="118">
        <v>2026</v>
      </c>
      <c r="E3" s="118" t="s">
        <v>213</v>
      </c>
      <c r="F3" s="118">
        <v>2027</v>
      </c>
    </row>
    <row r="4" spans="1:6" ht="12" customHeight="1" x14ac:dyDescent="0.2">
      <c r="A4" s="113" t="s">
        <v>216</v>
      </c>
      <c r="B4" s="119" t="s">
        <v>226</v>
      </c>
      <c r="C4" s="119" t="s">
        <v>213</v>
      </c>
      <c r="D4" s="119" t="s">
        <v>242</v>
      </c>
      <c r="E4" s="119" t="s">
        <v>213</v>
      </c>
      <c r="F4" s="119" t="s">
        <v>244</v>
      </c>
    </row>
    <row r="5" spans="1:6" ht="12" customHeight="1" x14ac:dyDescent="0.2">
      <c r="A5" s="112" t="s">
        <v>100</v>
      </c>
      <c r="B5" s="120" t="s">
        <v>227</v>
      </c>
      <c r="C5" s="120" t="s">
        <v>213</v>
      </c>
      <c r="D5" s="120" t="s">
        <v>243</v>
      </c>
      <c r="E5" s="120" t="s">
        <v>213</v>
      </c>
      <c r="F5" s="120" t="s">
        <v>245</v>
      </c>
    </row>
    <row r="6" spans="1:6" ht="12" customHeight="1" x14ac:dyDescent="0.2">
      <c r="A6" s="2"/>
      <c r="B6" s="4"/>
      <c r="C6" s="4"/>
      <c r="D6" s="4"/>
      <c r="E6" s="4"/>
      <c r="F6" s="4"/>
    </row>
    <row r="7" spans="1:6" ht="57.6" customHeight="1" x14ac:dyDescent="0.2">
      <c r="A7" s="110" t="s">
        <v>211</v>
      </c>
      <c r="B7" s="28">
        <v>336000</v>
      </c>
      <c r="C7" s="99">
        <f>D7/B7-1</f>
        <v>0</v>
      </c>
      <c r="D7" s="28">
        <v>336000</v>
      </c>
      <c r="E7" s="99">
        <f>F7/D7-1</f>
        <v>0</v>
      </c>
      <c r="F7" s="28">
        <v>336000</v>
      </c>
    </row>
    <row r="8" spans="1:6" ht="51.9" customHeight="1" x14ac:dyDescent="0.2">
      <c r="A8" s="110" t="s">
        <v>219</v>
      </c>
      <c r="B8" s="28"/>
      <c r="C8" s="99"/>
      <c r="D8" s="28"/>
      <c r="E8" s="99"/>
      <c r="F8" s="28"/>
    </row>
    <row r="9" spans="1:6" ht="24" customHeight="1" x14ac:dyDescent="0.2">
      <c r="A9" s="117" t="s">
        <v>218</v>
      </c>
      <c r="B9" s="28">
        <v>0</v>
      </c>
      <c r="C9" s="99">
        <v>0</v>
      </c>
      <c r="D9" s="28">
        <v>0</v>
      </c>
      <c r="E9" s="99">
        <v>0</v>
      </c>
      <c r="F9" s="28">
        <f t="shared" ref="F9" si="0">D9</f>
        <v>0</v>
      </c>
    </row>
    <row r="10" spans="1:6" ht="12" customHeight="1" x14ac:dyDescent="0.2">
      <c r="A10" s="110" t="s">
        <v>214</v>
      </c>
      <c r="B10" s="28">
        <v>110108.32</v>
      </c>
      <c r="C10" s="99">
        <f t="shared" ref="C10" si="1">D10/B10-1</f>
        <v>2.1376858715127067E-2</v>
      </c>
      <c r="D10" s="28">
        <v>112462.09</v>
      </c>
      <c r="E10" s="99">
        <v>0.03</v>
      </c>
      <c r="F10" s="28">
        <f>D10*1.03</f>
        <v>115835.95269999999</v>
      </c>
    </row>
    <row r="11" spans="1:6" ht="12" customHeight="1" x14ac:dyDescent="0.2">
      <c r="A11" s="2"/>
      <c r="B11" s="28"/>
      <c r="C11" s="99"/>
      <c r="D11" s="28"/>
      <c r="E11" s="99"/>
      <c r="F11" s="28"/>
    </row>
    <row r="12" spans="1:6" s="7" customFormat="1" ht="12" customHeight="1" x14ac:dyDescent="0.2">
      <c r="A12" s="3" t="s">
        <v>215</v>
      </c>
      <c r="B12" s="121">
        <f>SUM(B7:B11)</f>
        <v>446108.32</v>
      </c>
      <c r="C12" s="122">
        <f>D12/B12-1</f>
        <v>5.2762297730739594E-3</v>
      </c>
      <c r="D12" s="121">
        <f>SUM(D7:D11)</f>
        <v>448462.08999999997</v>
      </c>
      <c r="E12" s="122">
        <f>F12/D12-1</f>
        <v>7.5231837322080608E-3</v>
      </c>
      <c r="F12" s="121">
        <f>SUM(F7:F11)</f>
        <v>451835.95270000002</v>
      </c>
    </row>
    <row r="13" spans="1:6" x14ac:dyDescent="0.2">
      <c r="B13" s="20"/>
      <c r="C13" s="20"/>
      <c r="D13" s="20"/>
      <c r="E13" s="20"/>
      <c r="F13" s="20"/>
    </row>
    <row r="14" spans="1:6" x14ac:dyDescent="0.2">
      <c r="A14" s="1" t="s">
        <v>246</v>
      </c>
    </row>
    <row r="15" spans="1:6" x14ac:dyDescent="0.2">
      <c r="A15" s="1" t="s">
        <v>247</v>
      </c>
    </row>
    <row r="16" spans="1:6" x14ac:dyDescent="0.2">
      <c r="A16" s="1" t="s">
        <v>248</v>
      </c>
    </row>
  </sheetData>
  <mergeCells count="1">
    <mergeCell ref="A1:F1"/>
  </mergeCells>
  <phoneticPr fontId="0" type="noConversion"/>
  <printOptions horizontalCentered="1"/>
  <pageMargins left="0.78740157480314965" right="0.78740157480314965" top="0.92181102362204714" bottom="0.39370078740157483" header="0.39370078740157483" footer="0.39370078740157483"/>
  <pageSetup scale="79"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showGridLines="0" zoomScale="85" zoomScaleNormal="85" workbookViewId="0">
      <selection sqref="A1:K1"/>
    </sheetView>
  </sheetViews>
  <sheetFormatPr baseColWidth="10" defaultColWidth="11.44140625" defaultRowHeight="13.2" x14ac:dyDescent="0.25"/>
  <cols>
    <col min="1" max="1" width="1.109375" style="8" customWidth="1"/>
    <col min="2" max="2" width="20.88671875" style="8" customWidth="1"/>
    <col min="3" max="3" width="13.5546875" style="10" customWidth="1"/>
    <col min="4" max="4" width="22.88671875" style="8" customWidth="1"/>
    <col min="5" max="5" width="17.44140625" style="8" customWidth="1"/>
    <col min="6" max="6" width="14.109375" style="8" customWidth="1"/>
    <col min="7" max="7" width="16.5546875" style="8" customWidth="1"/>
    <col min="8" max="8" width="17" style="8" customWidth="1"/>
    <col min="9" max="9" width="17.109375" style="8" bestFit="1" customWidth="1"/>
    <col min="10" max="10" width="22.88671875" style="8" customWidth="1"/>
    <col min="11" max="11" width="4.6640625" style="8" customWidth="1"/>
    <col min="12" max="16384" width="11.44140625" style="8"/>
  </cols>
  <sheetData>
    <row r="1" spans="1:15" ht="46.65" customHeight="1" x14ac:dyDescent="0.25">
      <c r="A1" s="126" t="s">
        <v>254</v>
      </c>
      <c r="B1" s="126"/>
      <c r="C1" s="126"/>
      <c r="D1" s="126"/>
      <c r="E1" s="126"/>
      <c r="F1" s="126"/>
      <c r="G1" s="126"/>
      <c r="H1" s="126"/>
      <c r="I1" s="126"/>
      <c r="J1" s="126"/>
      <c r="K1" s="126"/>
    </row>
    <row r="2" spans="1:15" ht="6" customHeight="1" x14ac:dyDescent="0.25">
      <c r="A2" s="9"/>
      <c r="K2" s="12"/>
    </row>
    <row r="3" spans="1:15" s="7" customFormat="1" ht="30" customHeight="1" x14ac:dyDescent="0.2">
      <c r="A3" s="13"/>
      <c r="B3" s="85" t="s">
        <v>35</v>
      </c>
      <c r="C3" s="85" t="s">
        <v>69</v>
      </c>
      <c r="D3" s="114" t="s">
        <v>239</v>
      </c>
      <c r="E3" s="85" t="s">
        <v>95</v>
      </c>
      <c r="F3" s="85" t="s">
        <v>85</v>
      </c>
      <c r="G3" s="85" t="s">
        <v>96</v>
      </c>
      <c r="H3" s="85" t="s">
        <v>86</v>
      </c>
      <c r="I3" s="85" t="s">
        <v>97</v>
      </c>
      <c r="J3" s="85" t="s">
        <v>35</v>
      </c>
    </row>
    <row r="4" spans="1:15" s="7" customFormat="1" ht="30" customHeight="1" x14ac:dyDescent="0.2">
      <c r="A4" s="14"/>
      <c r="B4" s="37" t="s">
        <v>36</v>
      </c>
      <c r="C4" s="37" t="s">
        <v>70</v>
      </c>
      <c r="D4" s="108" t="s">
        <v>240</v>
      </c>
      <c r="E4" s="37" t="s">
        <v>256</v>
      </c>
      <c r="F4" s="108" t="s">
        <v>156</v>
      </c>
      <c r="G4" s="108" t="s">
        <v>157</v>
      </c>
      <c r="H4" s="37" t="s">
        <v>158</v>
      </c>
      <c r="I4" s="37" t="s">
        <v>159</v>
      </c>
      <c r="J4" s="37" t="s">
        <v>36</v>
      </c>
    </row>
    <row r="5" spans="1:15" s="7" customFormat="1" ht="30" customHeight="1" x14ac:dyDescent="0.2">
      <c r="A5" s="14"/>
      <c r="B5" s="37" t="s">
        <v>67</v>
      </c>
      <c r="C5" s="37" t="s">
        <v>71</v>
      </c>
      <c r="D5" s="108" t="s">
        <v>241</v>
      </c>
      <c r="E5" s="37" t="s">
        <v>130</v>
      </c>
      <c r="F5" s="108" t="s">
        <v>131</v>
      </c>
      <c r="G5" s="108" t="s">
        <v>132</v>
      </c>
      <c r="H5" s="37" t="s">
        <v>133</v>
      </c>
      <c r="I5" s="37" t="s">
        <v>134</v>
      </c>
      <c r="J5" s="37" t="s">
        <v>67</v>
      </c>
    </row>
    <row r="6" spans="1:15" s="7" customFormat="1" ht="12" customHeight="1" x14ac:dyDescent="0.2">
      <c r="A6" s="3"/>
      <c r="B6" s="15"/>
      <c r="C6" s="15"/>
      <c r="D6" s="15"/>
      <c r="E6" s="15"/>
      <c r="F6" s="15"/>
      <c r="G6" s="15"/>
      <c r="H6" s="15"/>
      <c r="I6" s="15"/>
      <c r="J6" s="15"/>
      <c r="K6" s="16"/>
    </row>
    <row r="7" spans="1:15" s="20" customFormat="1" ht="10.5" customHeight="1" x14ac:dyDescent="0.2">
      <c r="A7" s="17"/>
      <c r="B7" s="17" t="s">
        <v>51</v>
      </c>
      <c r="C7" s="4" t="s">
        <v>5</v>
      </c>
      <c r="D7" s="92">
        <v>589.7692199999999</v>
      </c>
      <c r="E7" s="30">
        <f>D7/LOOKUP(C7,'TABLA 4'!$B$9:$B$12,'TABLA 4'!$D$9:$D$12)</f>
        <v>7.6403519952344392E-3</v>
      </c>
      <c r="F7" s="100">
        <v>26</v>
      </c>
      <c r="G7" s="102">
        <f>F7/LOOKUP(C7,'TABLA 4'!$B$9:$B$12,'TABLA 4'!$E$9:$E$12)</f>
        <v>1.4566805611581732E-4</v>
      </c>
      <c r="H7" s="31">
        <v>0</v>
      </c>
      <c r="I7" s="30">
        <f>IF(H7&lt;=0,0,H7/LOOKUP(C7,'TABLA 4'!$B$9:$B$12,'TABLA 4'!$F$9:$F$12))</f>
        <v>0</v>
      </c>
      <c r="J7" s="18" t="s">
        <v>51</v>
      </c>
      <c r="K7" s="19"/>
      <c r="O7" s="99"/>
    </row>
    <row r="8" spans="1:15" s="1" customFormat="1" ht="10.5" customHeight="1" x14ac:dyDescent="0.2">
      <c r="A8" s="2"/>
      <c r="B8" s="17" t="s">
        <v>12</v>
      </c>
      <c r="C8" s="4" t="s">
        <v>9</v>
      </c>
      <c r="D8" s="92">
        <v>5303.7889999999998</v>
      </c>
      <c r="E8" s="30">
        <f>D8/LOOKUP(C8,'TABLA 4'!$B$9:$B$12,'TABLA 4'!$D$9:$D$12)</f>
        <v>0.21772091321300788</v>
      </c>
      <c r="F8" s="101">
        <v>44</v>
      </c>
      <c r="G8" s="102">
        <f>F8/LOOKUP(C8,'TABLA 4'!$B$9:$B$12,'TABLA 4'!$E$9:$E$12)</f>
        <v>3.3927056827820186E-3</v>
      </c>
      <c r="H8" s="31">
        <v>0</v>
      </c>
      <c r="I8" s="30">
        <f>IF(H8&lt;=0,0,H8/LOOKUP(C8,'TABLA 4'!$B$9:$B$12,'TABLA 4'!$F$9:$F$12))</f>
        <v>0</v>
      </c>
      <c r="J8" s="18" t="s">
        <v>12</v>
      </c>
      <c r="K8" s="19"/>
      <c r="O8" s="99"/>
    </row>
    <row r="9" spans="1:15" s="1" customFormat="1" ht="10.5" customHeight="1" x14ac:dyDescent="0.2">
      <c r="A9" s="2"/>
      <c r="B9" s="17" t="s">
        <v>230</v>
      </c>
      <c r="C9" s="4" t="s">
        <v>7</v>
      </c>
      <c r="D9" s="92">
        <v>0.5</v>
      </c>
      <c r="E9" s="30">
        <f>D9/LOOKUP(C9,'TABLA 4'!$B$9:$B$12,'TABLA 4'!$D$9:$D$12)</f>
        <v>6.149026074207185E-5</v>
      </c>
      <c r="F9" s="101">
        <v>357</v>
      </c>
      <c r="G9" s="102">
        <f>F9/LOOKUP(C9,'TABLA 4'!$B$9:$B$12,'TABLA 4'!$E$9:$E$12)</f>
        <v>0.14943491000418585</v>
      </c>
      <c r="H9" s="31">
        <v>108.2115</v>
      </c>
      <c r="I9" s="30">
        <f>IF(H9&lt;=0,0,H9/LOOKUP(C9,'TABLA 4'!$B$9:$B$12,'TABLA 4'!$F$9:$F$12))</f>
        <v>0.24499191929546907</v>
      </c>
      <c r="J9" s="18" t="s">
        <v>230</v>
      </c>
      <c r="K9" s="19"/>
      <c r="O9" s="99"/>
    </row>
    <row r="10" spans="1:15" s="1" customFormat="1" ht="10.5" customHeight="1" x14ac:dyDescent="0.2">
      <c r="A10" s="2"/>
      <c r="B10" s="17" t="s">
        <v>13</v>
      </c>
      <c r="C10" s="4" t="s">
        <v>5</v>
      </c>
      <c r="D10" s="92">
        <v>1874.0139999999997</v>
      </c>
      <c r="E10" s="30">
        <f>D10/LOOKUP(C10,'TABLA 4'!$B$9:$B$12,'TABLA 4'!$D$9:$D$12)</f>
        <v>2.4277507401958467E-2</v>
      </c>
      <c r="F10" s="101">
        <v>4621</v>
      </c>
      <c r="G10" s="102">
        <f>F10/LOOKUP(C10,'TABLA 4'!$B$9:$B$12,'TABLA 4'!$E$9:$E$12)</f>
        <v>2.5889695665815071E-2</v>
      </c>
      <c r="H10" s="31">
        <v>60.260759999999998</v>
      </c>
      <c r="I10" s="30">
        <f>IF(H10&lt;=0,0,H10/LOOKUP(C10,'TABLA 4'!$B$9:$B$12,'TABLA 4'!$F$9:$F$12))</f>
        <v>4.6451103283216865E-4</v>
      </c>
      <c r="J10" s="18" t="s">
        <v>13</v>
      </c>
      <c r="K10" s="19"/>
      <c r="O10" s="99"/>
    </row>
    <row r="11" spans="1:15" s="1" customFormat="1" ht="10.5" customHeight="1" x14ac:dyDescent="0.2">
      <c r="A11" s="2"/>
      <c r="B11" s="17" t="s">
        <v>14</v>
      </c>
      <c r="C11" s="4" t="s">
        <v>7</v>
      </c>
      <c r="D11" s="92">
        <v>288.69</v>
      </c>
      <c r="E11" s="30">
        <f>D11/LOOKUP(C11,'TABLA 4'!$B$9:$B$12,'TABLA 4'!$D$9:$D$12)</f>
        <v>3.5503246747257446E-2</v>
      </c>
      <c r="F11" s="101">
        <v>702</v>
      </c>
      <c r="G11" s="102">
        <f>F11/LOOKUP(C11,'TABLA 4'!$B$9:$B$12,'TABLA 4'!$E$9:$E$12)</f>
        <v>0.29384679782335704</v>
      </c>
      <c r="H11" s="31">
        <v>333.48266000000001</v>
      </c>
      <c r="I11" s="30">
        <f>IF(H11&lt;=0,0,H11/LOOKUP(C11,'TABLA 4'!$B$9:$B$12,'TABLA 4'!$F$9:$F$12))</f>
        <v>0.75500808070453096</v>
      </c>
      <c r="J11" s="18" t="s">
        <v>14</v>
      </c>
      <c r="K11" s="19"/>
      <c r="O11" s="99"/>
    </row>
    <row r="12" spans="1:15" s="1" customFormat="1" ht="10.5" customHeight="1" x14ac:dyDescent="0.2">
      <c r="A12" s="2"/>
      <c r="B12" s="17" t="s">
        <v>49</v>
      </c>
      <c r="C12" s="4" t="s">
        <v>8</v>
      </c>
      <c r="D12" s="92">
        <v>393.69299999999998</v>
      </c>
      <c r="E12" s="30">
        <f>D12/LOOKUP(C12,'TABLA 4'!$B$9:$B$12,'TABLA 4'!$D$9:$D$12)</f>
        <v>5.2692716631546482E-2</v>
      </c>
      <c r="F12" s="101">
        <v>11</v>
      </c>
      <c r="G12" s="102">
        <f>F12/LOOKUP(C12,'TABLA 4'!$B$9:$B$12,'TABLA 4'!$E$9:$E$12)</f>
        <v>0.18333333333333332</v>
      </c>
      <c r="H12" s="31">
        <v>0</v>
      </c>
      <c r="I12" s="30">
        <f>IF(H12&lt;=0,0,H12/LOOKUP(C12,'TABLA 4'!$B$9:$B$12,'TABLA 4'!$F$9:$F$12))</f>
        <v>0</v>
      </c>
      <c r="J12" s="18" t="s">
        <v>49</v>
      </c>
      <c r="K12" s="19"/>
      <c r="O12" s="99"/>
    </row>
    <row r="13" spans="1:15" s="1" customFormat="1" ht="10.5" customHeight="1" x14ac:dyDescent="0.2">
      <c r="A13" s="2"/>
      <c r="B13" s="17" t="s">
        <v>17</v>
      </c>
      <c r="C13" s="4" t="s">
        <v>5</v>
      </c>
      <c r="D13" s="92">
        <v>1.4100000000000001</v>
      </c>
      <c r="E13" s="30">
        <f>D13/LOOKUP(C13,'TABLA 4'!$B$9:$B$12,'TABLA 4'!$D$9:$D$12)</f>
        <v>1.8266291199938448E-5</v>
      </c>
      <c r="F13" s="101">
        <v>42</v>
      </c>
      <c r="G13" s="102">
        <f>F13/LOOKUP(C13,'TABLA 4'!$B$9:$B$12,'TABLA 4'!$E$9:$E$12)</f>
        <v>2.3530993680247412E-4</v>
      </c>
      <c r="H13" s="31">
        <v>0.79899000000000009</v>
      </c>
      <c r="I13" s="30">
        <f>IF(H13&lt;=0,0,H13/LOOKUP(C13,'TABLA 4'!$B$9:$B$12,'TABLA 4'!$F$9:$F$12))</f>
        <v>6.1588946127226817E-6</v>
      </c>
      <c r="J13" s="18" t="s">
        <v>17</v>
      </c>
      <c r="K13" s="19"/>
      <c r="O13" s="99"/>
    </row>
    <row r="14" spans="1:15" s="1" customFormat="1" ht="10.5" customHeight="1" x14ac:dyDescent="0.2">
      <c r="A14" s="2"/>
      <c r="B14" s="17" t="s">
        <v>18</v>
      </c>
      <c r="C14" s="4" t="s">
        <v>5</v>
      </c>
      <c r="D14" s="92">
        <v>10431.290000000001</v>
      </c>
      <c r="E14" s="30">
        <f>D14/LOOKUP(C14,'TABLA 4'!$B$9:$B$12,'TABLA 4'!$D$9:$D$12)</f>
        <v>0.13513544732695454</v>
      </c>
      <c r="F14" s="101">
        <v>11012</v>
      </c>
      <c r="G14" s="102">
        <f>F14/LOOKUP(C14,'TABLA 4'!$B$9:$B$12,'TABLA 4'!$E$9:$E$12)</f>
        <v>6.1696024382591544E-2</v>
      </c>
      <c r="H14" s="31">
        <v>93787.743714000011</v>
      </c>
      <c r="I14" s="30">
        <f>IF(H14&lt;=0,0,H14/LOOKUP(C14,'TABLA 4'!$B$9:$B$12,'TABLA 4'!$F$9:$F$12))</f>
        <v>0.7229487596835632</v>
      </c>
      <c r="J14" s="18" t="s">
        <v>18</v>
      </c>
      <c r="K14" s="19"/>
      <c r="O14" s="99"/>
    </row>
    <row r="15" spans="1:15" s="1" customFormat="1" ht="10.5" customHeight="1" x14ac:dyDescent="0.2">
      <c r="A15" s="2"/>
      <c r="B15" s="17" t="s">
        <v>15</v>
      </c>
      <c r="C15" s="4" t="s">
        <v>5</v>
      </c>
      <c r="D15" s="92">
        <v>768.06999999999994</v>
      </c>
      <c r="E15" s="30">
        <f>D15/LOOKUP(C15,'TABLA 4'!$B$9:$B$12,'TABLA 4'!$D$9:$D$12)</f>
        <v>9.9502058737139867E-3</v>
      </c>
      <c r="F15" s="101">
        <v>4221</v>
      </c>
      <c r="G15" s="102">
        <f>F15/LOOKUP(C15,'TABLA 4'!$B$9:$B$12,'TABLA 4'!$E$9:$E$12)</f>
        <v>2.364864864864865E-2</v>
      </c>
      <c r="H15" s="31">
        <v>11790.495795999999</v>
      </c>
      <c r="I15" s="30">
        <f>IF(H15&lt;=0,0,H15/LOOKUP(C15,'TABLA 4'!$B$9:$B$12,'TABLA 4'!$F$9:$F$12))</f>
        <v>9.0885268951193143E-2</v>
      </c>
      <c r="J15" s="18" t="s">
        <v>15</v>
      </c>
      <c r="K15" s="19"/>
      <c r="O15" s="99"/>
    </row>
    <row r="16" spans="1:15" s="1" customFormat="1" ht="10.5" customHeight="1" x14ac:dyDescent="0.2">
      <c r="A16" s="2"/>
      <c r="B16" s="17" t="s">
        <v>23</v>
      </c>
      <c r="C16" s="4" t="s">
        <v>8</v>
      </c>
      <c r="D16" s="92">
        <v>6998.5950000000003</v>
      </c>
      <c r="E16" s="30">
        <f>D16/LOOKUP(C16,'TABLA 4'!$B$9:$B$12,'TABLA 4'!$D$9:$D$12)</f>
        <v>0.93670698527522234</v>
      </c>
      <c r="F16" s="101">
        <v>48</v>
      </c>
      <c r="G16" s="102">
        <f>F16/LOOKUP(C16,'TABLA 4'!$B$9:$B$12,'TABLA 4'!$E$9:$E$12)</f>
        <v>0.8</v>
      </c>
      <c r="H16" s="31">
        <v>0</v>
      </c>
      <c r="I16" s="30">
        <f>IF(H16&lt;=0,0,H16/LOOKUP(C16,'TABLA 4'!$B$9:$B$12,'TABLA 4'!$F$9:$F$12))</f>
        <v>0</v>
      </c>
      <c r="J16" s="18" t="s">
        <v>23</v>
      </c>
      <c r="K16" s="19"/>
      <c r="O16" s="99"/>
    </row>
    <row r="17" spans="1:15" s="1" customFormat="1" ht="10.5" customHeight="1" x14ac:dyDescent="0.2">
      <c r="A17" s="2"/>
      <c r="B17" s="17" t="s">
        <v>19</v>
      </c>
      <c r="C17" s="4" t="s">
        <v>9</v>
      </c>
      <c r="D17" s="92">
        <v>10523.310000000001</v>
      </c>
      <c r="E17" s="30">
        <f>D17/LOOKUP(C17,'TABLA 4'!$B$9:$B$12,'TABLA 4'!$D$9:$D$12)</f>
        <v>0.43198261907168223</v>
      </c>
      <c r="F17" s="101">
        <v>12189</v>
      </c>
      <c r="G17" s="102">
        <f>F17/LOOKUP(C17,'TABLA 4'!$B$9:$B$12,'TABLA 4'!$E$9:$E$12)</f>
        <v>0.93985658107795511</v>
      </c>
      <c r="H17" s="31">
        <v>2.3036300000000001</v>
      </c>
      <c r="I17" s="30">
        <f>IF(H17&lt;=0,0,H17/LOOKUP(C17,'TABLA 4'!$B$9:$B$12,'TABLA 4'!$F$9:$F$12))</f>
        <v>0.19759011135956797</v>
      </c>
      <c r="J17" s="18" t="s">
        <v>19</v>
      </c>
      <c r="K17" s="19"/>
      <c r="O17" s="99"/>
    </row>
    <row r="18" spans="1:15" s="1" customFormat="1" ht="10.5" customHeight="1" x14ac:dyDescent="0.2">
      <c r="A18" s="2"/>
      <c r="B18" s="17" t="s">
        <v>20</v>
      </c>
      <c r="C18" s="4" t="s">
        <v>9</v>
      </c>
      <c r="D18" s="92">
        <v>161</v>
      </c>
      <c r="E18" s="30">
        <f>D18/LOOKUP(C18,'TABLA 4'!$B$9:$B$12,'TABLA 4'!$D$9:$D$12)</f>
        <v>6.6090613761773465E-3</v>
      </c>
      <c r="F18" s="101">
        <v>102</v>
      </c>
      <c r="G18" s="102">
        <f>F18/LOOKUP(C18,'TABLA 4'!$B$9:$B$12,'TABLA 4'!$E$9:$E$12)</f>
        <v>7.8649086282674072E-3</v>
      </c>
      <c r="H18" s="31">
        <v>9.3550000000000004</v>
      </c>
      <c r="I18" s="30">
        <f>IF(H18&lt;=0,0,H18/LOOKUP(C18,'TABLA 4'!$B$9:$B$12,'TABLA 4'!$F$9:$F$12))</f>
        <v>0.80240988864043206</v>
      </c>
      <c r="J18" s="18" t="s">
        <v>20</v>
      </c>
      <c r="K18" s="19"/>
      <c r="O18" s="99"/>
    </row>
    <row r="19" spans="1:15" s="1" customFormat="1" ht="10.5" customHeight="1" x14ac:dyDescent="0.2">
      <c r="A19" s="2"/>
      <c r="B19" s="17" t="s">
        <v>22</v>
      </c>
      <c r="C19" s="4" t="s">
        <v>5</v>
      </c>
      <c r="D19" s="92">
        <v>398.29</v>
      </c>
      <c r="E19" s="30">
        <f>D19/LOOKUP(C19,'TABLA 4'!$B$9:$B$12,'TABLA 4'!$D$9:$D$12)</f>
        <v>5.1597738454067258E-3</v>
      </c>
      <c r="F19" s="101">
        <v>260</v>
      </c>
      <c r="G19" s="102">
        <f>F19/LOOKUP(C19,'TABLA 4'!$B$9:$B$12,'TABLA 4'!$E$9:$E$12)</f>
        <v>1.456680561158173E-3</v>
      </c>
      <c r="H19" s="31">
        <v>27.464915000000001</v>
      </c>
      <c r="I19" s="30">
        <f>IF(H19&lt;=0,0,H19/LOOKUP(C19,'TABLA 4'!$B$9:$B$12,'TABLA 4'!$F$9:$F$12))</f>
        <v>2.1170917912913348E-4</v>
      </c>
      <c r="J19" s="18" t="s">
        <v>22</v>
      </c>
      <c r="K19" s="19"/>
      <c r="O19" s="99"/>
    </row>
    <row r="20" spans="1:15" s="1" customFormat="1" ht="10.5" customHeight="1" x14ac:dyDescent="0.2">
      <c r="A20" s="2"/>
      <c r="B20" s="17" t="s">
        <v>48</v>
      </c>
      <c r="C20" s="4" t="s">
        <v>8</v>
      </c>
      <c r="D20" s="92">
        <v>79.2</v>
      </c>
      <c r="E20" s="30">
        <f>D20/LOOKUP(C20,'TABLA 4'!$B$9:$B$12,'TABLA 4'!$D$9:$D$12)</f>
        <v>1.0600298093231228E-2</v>
      </c>
      <c r="F20" s="101">
        <v>1</v>
      </c>
      <c r="G20" s="102">
        <f>F20/LOOKUP(C20,'TABLA 4'!$B$9:$B$12,'TABLA 4'!$E$9:$E$12)</f>
        <v>1.6666666666666666E-2</v>
      </c>
      <c r="H20" s="31">
        <v>0</v>
      </c>
      <c r="I20" s="30">
        <f>IF(H20&lt;=0,0,H20/LOOKUP(C20,'TABLA 4'!$B$9:$B$12,'TABLA 4'!$F$9:$F$12))</f>
        <v>0</v>
      </c>
      <c r="J20" s="18" t="s">
        <v>48</v>
      </c>
      <c r="K20" s="19"/>
      <c r="O20" s="99"/>
    </row>
    <row r="21" spans="1:15" s="1" customFormat="1" ht="10.5" customHeight="1" x14ac:dyDescent="0.2">
      <c r="A21" s="2"/>
      <c r="B21" s="17" t="s">
        <v>21</v>
      </c>
      <c r="C21" s="4" t="s">
        <v>9</v>
      </c>
      <c r="D21" s="92">
        <v>8372.3950000000004</v>
      </c>
      <c r="E21" s="30">
        <f>D21/LOOKUP(C21,'TABLA 4'!$B$9:$B$12,'TABLA 4'!$D$9:$D$12)</f>
        <v>0.34368740633913253</v>
      </c>
      <c r="F21" s="101">
        <v>634</v>
      </c>
      <c r="G21" s="102">
        <f>F21/LOOKUP(C21,'TABLA 4'!$B$9:$B$12,'TABLA 4'!$E$9:$E$12)</f>
        <v>4.8885804610995454E-2</v>
      </c>
      <c r="H21" s="31">
        <v>0</v>
      </c>
      <c r="I21" s="30">
        <f>IF(H21&lt;=0,0,H21/LOOKUP(C21,'TABLA 4'!$B$9:$B$12,'TABLA 4'!$F$9:$F$12))</f>
        <v>0</v>
      </c>
      <c r="J21" s="18" t="s">
        <v>21</v>
      </c>
      <c r="K21" s="19"/>
      <c r="O21" s="99"/>
    </row>
    <row r="22" spans="1:15" s="1" customFormat="1" ht="10.5" customHeight="1" x14ac:dyDescent="0.2">
      <c r="A22" s="2"/>
      <c r="B22" s="17" t="s">
        <v>265</v>
      </c>
      <c r="C22" s="4" t="s">
        <v>7</v>
      </c>
      <c r="D22" s="92">
        <v>7842.1790000000001</v>
      </c>
      <c r="E22" s="30">
        <f>D22/LOOKUP(C22,'TABLA 4'!$B$9:$B$12,'TABLA 4'!$D$9:$D$12)</f>
        <v>0.96443526299200055</v>
      </c>
      <c r="F22" s="101">
        <v>1330</v>
      </c>
      <c r="G22" s="102">
        <f>F22/LOOKUP(C22,'TABLA 4'!$B$9:$B$12,'TABLA 4'!$E$9:$E$12)</f>
        <v>0.55671829217245705</v>
      </c>
      <c r="H22" s="31">
        <v>0</v>
      </c>
      <c r="I22" s="30">
        <f>IF(H22&lt;=0,0,H22/LOOKUP(C22,'TABLA 4'!$B$9:$B$12,'TABLA 4'!$F$9:$F$12))</f>
        <v>0</v>
      </c>
      <c r="J22" s="18" t="s">
        <v>238</v>
      </c>
      <c r="K22" s="19"/>
      <c r="O22" s="99"/>
    </row>
    <row r="23" spans="1:15" s="1" customFormat="1" ht="10.5" customHeight="1" x14ac:dyDescent="0.2">
      <c r="A23" s="2"/>
      <c r="B23" s="17" t="s">
        <v>66</v>
      </c>
      <c r="C23" s="4" t="s">
        <v>5</v>
      </c>
      <c r="D23" s="92">
        <v>59218.795450999998</v>
      </c>
      <c r="E23" s="30">
        <f>D23/LOOKUP(C23,'TABLA 4'!$B$9:$B$12,'TABLA 4'!$D$9:$D$12)</f>
        <v>0.76716862568621003</v>
      </c>
      <c r="F23" s="101">
        <v>142961</v>
      </c>
      <c r="G23" s="102">
        <f>F23/LOOKUP(C23,'TABLA 4'!$B$9:$B$12,'TABLA 4'!$E$9:$E$12)</f>
        <v>0.8009558065528215</v>
      </c>
      <c r="H23" s="31">
        <v>19525.256300000012</v>
      </c>
      <c r="I23" s="30">
        <f>IF(H23&lt;=0,0,H23/LOOKUP(C23,'TABLA 4'!$B$9:$B$12,'TABLA 4'!$F$9:$F$12))</f>
        <v>0.15050751052966829</v>
      </c>
      <c r="J23" s="18" t="s">
        <v>66</v>
      </c>
      <c r="K23" s="19"/>
      <c r="O23" s="99"/>
    </row>
    <row r="24" spans="1:15" s="1" customFormat="1" ht="21" customHeight="1" x14ac:dyDescent="0.2">
      <c r="A24" s="2"/>
      <c r="B24" s="115" t="s">
        <v>217</v>
      </c>
      <c r="C24" s="4" t="s">
        <v>5</v>
      </c>
      <c r="D24" s="92">
        <v>30.889000000000003</v>
      </c>
      <c r="E24" s="30">
        <f>D24/LOOKUP(C24,'TABLA 4'!$B$9:$B$12,'TABLA 4'!$D$9:$D$12)</f>
        <v>4.0016132544319052E-4</v>
      </c>
      <c r="F24" s="101">
        <f>2053+1</f>
        <v>2054</v>
      </c>
      <c r="G24" s="102">
        <f>F24/LOOKUP(C24,'TABLA 4'!$B$9:$B$12,'TABLA 4'!$E$9:$E$12)</f>
        <v>1.1507776433149567E-2</v>
      </c>
      <c r="H24" s="31">
        <v>650.60717399999999</v>
      </c>
      <c r="I24" s="30">
        <f>IF(H24&lt;=0,0,H24/LOOKUP(C24,'TABLA 4'!$B$9:$B$12,'TABLA 4'!$F$9:$F$12))</f>
        <v>5.0151078473414283E-3</v>
      </c>
      <c r="J24" s="110" t="s">
        <v>217</v>
      </c>
      <c r="K24" s="19"/>
      <c r="O24" s="99"/>
    </row>
    <row r="25" spans="1:15" s="1" customFormat="1" ht="10.5" customHeight="1" x14ac:dyDescent="0.2">
      <c r="A25" s="2"/>
      <c r="B25" s="17" t="s">
        <v>16</v>
      </c>
      <c r="C25" s="4" t="s">
        <v>5</v>
      </c>
      <c r="D25" s="92">
        <v>3878.84</v>
      </c>
      <c r="E25" s="30">
        <f>D25/LOOKUP(C25,'TABLA 4'!$B$9:$B$12,'TABLA 4'!$D$9:$D$12)</f>
        <v>5.0249660253878892E-2</v>
      </c>
      <c r="F25" s="101">
        <v>13291</v>
      </c>
      <c r="G25" s="102">
        <f>F25/LOOKUP(C25,'TABLA 4'!$B$9:$B$12,'TABLA 4'!$E$9:$E$12)</f>
        <v>7.4464389762897223E-2</v>
      </c>
      <c r="H25" s="31">
        <v>3886.8206110000001</v>
      </c>
      <c r="I25" s="30">
        <f>IF(H25&lt;=0,0,H25/LOOKUP(C25,'TABLA 4'!$B$9:$B$12,'TABLA 4'!$F$9:$F$12))</f>
        <v>2.996097388165982E-2</v>
      </c>
      <c r="J25" s="18" t="s">
        <v>16</v>
      </c>
      <c r="K25" s="19"/>
      <c r="O25" s="99"/>
    </row>
    <row r="26" spans="1:15" x14ac:dyDescent="0.25">
      <c r="A26" s="21" t="s">
        <v>124</v>
      </c>
      <c r="B26" s="22"/>
      <c r="C26" s="23"/>
      <c r="D26" s="22"/>
      <c r="E26" s="22"/>
      <c r="F26" s="22"/>
      <c r="G26" s="22"/>
      <c r="H26" s="22"/>
      <c r="I26" s="22"/>
      <c r="J26" s="22"/>
      <c r="K26" s="22"/>
      <c r="O26" s="99"/>
    </row>
  </sheetData>
  <mergeCells count="1">
    <mergeCell ref="A1:K1"/>
  </mergeCells>
  <phoneticPr fontId="0" type="noConversion"/>
  <printOptions horizontalCentered="1"/>
  <pageMargins left="0.78740157480314965" right="0.78740157480314965" top="0.73496062992125988" bottom="0.31496062992125984" header="0" footer="0.31496062992125984"/>
  <pageSetup scale="72"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5"/>
  <sheetViews>
    <sheetView showGridLines="0" zoomScale="115" zoomScaleNormal="115" workbookViewId="0">
      <selection activeCell="K3" sqref="K3"/>
    </sheetView>
  </sheetViews>
  <sheetFormatPr baseColWidth="10" defaultColWidth="11.44140625" defaultRowHeight="10.199999999999999" x14ac:dyDescent="0.2"/>
  <cols>
    <col min="1" max="1" width="1.109375" style="25" customWidth="1"/>
    <col min="2" max="2" width="21.5546875" style="25" customWidth="1"/>
    <col min="3" max="3" width="6.88671875" style="26" customWidth="1"/>
    <col min="4" max="4" width="10.5546875" style="26" customWidth="1"/>
    <col min="5" max="5" width="15.5546875" style="26" customWidth="1"/>
    <col min="6" max="6" width="10.5546875" style="25" customWidth="1"/>
    <col min="7" max="8" width="10.5546875" style="27" customWidth="1"/>
    <col min="9" max="9" width="12.109375" style="27" customWidth="1"/>
    <col min="10" max="11" width="10.5546875" style="27" customWidth="1"/>
    <col min="12" max="12" width="25.33203125" style="25" customWidth="1"/>
    <col min="13" max="16384" width="11.44140625" style="25"/>
  </cols>
  <sheetData>
    <row r="1" spans="1:12" ht="46.65" customHeight="1" x14ac:dyDescent="0.25">
      <c r="A1" s="126" t="s">
        <v>255</v>
      </c>
      <c r="B1" s="126"/>
      <c r="C1" s="126"/>
      <c r="D1" s="126"/>
      <c r="E1" s="126"/>
      <c r="F1" s="126"/>
      <c r="G1" s="126"/>
      <c r="H1" s="126"/>
      <c r="I1" s="126"/>
      <c r="J1" s="126"/>
      <c r="K1" s="126"/>
      <c r="L1" s="126"/>
    </row>
    <row r="2" spans="1:12" ht="12.9" customHeight="1" x14ac:dyDescent="0.25">
      <c r="A2" s="9"/>
      <c r="I2" s="28" t="s">
        <v>47</v>
      </c>
      <c r="J2" s="66">
        <f>1/0.865</f>
        <v>1.1560693641618498</v>
      </c>
      <c r="K2" s="5" t="s">
        <v>266</v>
      </c>
    </row>
    <row r="3" spans="1:12" s="7" customFormat="1" ht="12" customHeight="1" x14ac:dyDescent="0.2">
      <c r="A3" s="13"/>
      <c r="B3" s="85" t="s">
        <v>37</v>
      </c>
      <c r="C3" s="85"/>
      <c r="D3" s="85" t="s">
        <v>87</v>
      </c>
      <c r="E3" s="85" t="s">
        <v>90</v>
      </c>
      <c r="F3" s="85" t="s">
        <v>93</v>
      </c>
      <c r="G3" s="24" t="s">
        <v>98</v>
      </c>
      <c r="H3" s="24" t="s">
        <v>94</v>
      </c>
      <c r="I3" s="85" t="s">
        <v>88</v>
      </c>
      <c r="J3" s="85" t="s">
        <v>91</v>
      </c>
      <c r="K3" s="24" t="s">
        <v>6</v>
      </c>
      <c r="L3" s="85" t="s">
        <v>37</v>
      </c>
    </row>
    <row r="4" spans="1:12" s="7" customFormat="1" ht="12" customHeight="1" x14ac:dyDescent="0.2">
      <c r="A4" s="3"/>
      <c r="B4" s="15" t="s">
        <v>38</v>
      </c>
      <c r="C4" s="15" t="s">
        <v>72</v>
      </c>
      <c r="D4" s="15" t="s">
        <v>84</v>
      </c>
      <c r="E4" s="15" t="s">
        <v>89</v>
      </c>
      <c r="F4" s="15" t="s">
        <v>92</v>
      </c>
      <c r="G4" s="6" t="s">
        <v>104</v>
      </c>
      <c r="H4" s="6" t="s">
        <v>105</v>
      </c>
      <c r="I4" s="15" t="s">
        <v>106</v>
      </c>
      <c r="J4" s="15" t="s">
        <v>107</v>
      </c>
      <c r="K4" s="6" t="s">
        <v>76</v>
      </c>
      <c r="L4" s="15" t="s">
        <v>38</v>
      </c>
    </row>
    <row r="5" spans="1:12" s="7" customFormat="1" ht="12" customHeight="1" x14ac:dyDescent="0.2">
      <c r="A5" s="14"/>
      <c r="B5" s="37" t="s">
        <v>39</v>
      </c>
      <c r="C5" s="37"/>
      <c r="D5" s="127" t="s">
        <v>160</v>
      </c>
      <c r="E5" s="37" t="s">
        <v>161</v>
      </c>
      <c r="F5" s="37" t="s">
        <v>163</v>
      </c>
      <c r="G5" s="29" t="s">
        <v>165</v>
      </c>
      <c r="H5" s="29" t="s">
        <v>167</v>
      </c>
      <c r="I5" s="29" t="s">
        <v>169</v>
      </c>
      <c r="J5" s="29" t="s">
        <v>171</v>
      </c>
      <c r="K5" s="29" t="s">
        <v>6</v>
      </c>
      <c r="L5" s="37" t="s">
        <v>39</v>
      </c>
    </row>
    <row r="6" spans="1:12" s="7" customFormat="1" ht="12" customHeight="1" x14ac:dyDescent="0.2">
      <c r="A6" s="3"/>
      <c r="B6" s="15" t="s">
        <v>40</v>
      </c>
      <c r="C6" s="15" t="s">
        <v>73</v>
      </c>
      <c r="D6" s="128"/>
      <c r="E6" s="15" t="s">
        <v>162</v>
      </c>
      <c r="F6" s="15" t="s">
        <v>164</v>
      </c>
      <c r="G6" s="6" t="s">
        <v>166</v>
      </c>
      <c r="H6" s="6" t="s">
        <v>168</v>
      </c>
      <c r="I6" s="6" t="s">
        <v>170</v>
      </c>
      <c r="J6" s="6" t="s">
        <v>172</v>
      </c>
      <c r="K6" s="6" t="s">
        <v>220</v>
      </c>
      <c r="L6" s="15" t="s">
        <v>40</v>
      </c>
    </row>
    <row r="7" spans="1:12" s="7" customFormat="1" ht="12" customHeight="1" x14ac:dyDescent="0.2">
      <c r="A7" s="14"/>
      <c r="B7" s="37" t="s">
        <v>3</v>
      </c>
      <c r="C7" s="37"/>
      <c r="D7" s="37" t="s">
        <v>149</v>
      </c>
      <c r="E7" s="37" t="s">
        <v>137</v>
      </c>
      <c r="F7" s="37" t="s">
        <v>139</v>
      </c>
      <c r="G7" s="29" t="s">
        <v>148</v>
      </c>
      <c r="H7" s="29" t="s">
        <v>142</v>
      </c>
      <c r="I7" s="29" t="s">
        <v>144</v>
      </c>
      <c r="J7" s="29" t="s">
        <v>146</v>
      </c>
      <c r="K7" s="29" t="s">
        <v>6</v>
      </c>
      <c r="L7" s="37" t="s">
        <v>3</v>
      </c>
    </row>
    <row r="8" spans="1:12" s="7" customFormat="1" ht="12" customHeight="1" x14ac:dyDescent="0.2">
      <c r="A8" s="3"/>
      <c r="B8" s="15" t="s">
        <v>68</v>
      </c>
      <c r="C8" s="15" t="s">
        <v>74</v>
      </c>
      <c r="D8" s="15" t="s">
        <v>136</v>
      </c>
      <c r="E8" s="15" t="s">
        <v>138</v>
      </c>
      <c r="F8" s="15" t="s">
        <v>140</v>
      </c>
      <c r="G8" s="6" t="s">
        <v>141</v>
      </c>
      <c r="H8" s="6" t="s">
        <v>143</v>
      </c>
      <c r="I8" s="6" t="s">
        <v>145</v>
      </c>
      <c r="J8" s="6" t="s">
        <v>147</v>
      </c>
      <c r="K8" s="6" t="s">
        <v>153</v>
      </c>
      <c r="L8" s="15" t="s">
        <v>68</v>
      </c>
    </row>
    <row r="9" spans="1:12" s="7" customFormat="1" ht="10.5" customHeight="1" x14ac:dyDescent="0.2">
      <c r="A9" s="14"/>
      <c r="B9" s="17" t="str">
        <f>'TABLA 2'!B7</f>
        <v>Albania</v>
      </c>
      <c r="C9" s="4" t="str">
        <f>'TABLA 2'!C7</f>
        <v>A</v>
      </c>
      <c r="D9" s="30">
        <f>LOOKUP(B9,'TABLA 2'!$B$7:$B$25,'TABLA 2'!$E$7:$E$25)</f>
        <v>7.6403519952344392E-3</v>
      </c>
      <c r="E9" s="98">
        <f>LOOKUP(B9,'TABLA 2'!$B$7:$B$25,'TABLA 2'!$G$7:$G$25)</f>
        <v>1.4566805611581732E-4</v>
      </c>
      <c r="F9" s="30">
        <f>LOOKUP(B9,'TABLA 2'!$B$7:$B$25,'TABLA 2'!$I$7:$I$25)</f>
        <v>0</v>
      </c>
      <c r="G9" s="31">
        <f t="shared" ref="G9:G27" si="0">700/$J$2</f>
        <v>605.5</v>
      </c>
      <c r="H9" s="31">
        <f>LOOKUP(C9,'TABLA 4'!$B$9:$B$12,'TABLA 4'!$J$9:$J$12)*D9</f>
        <v>874.09229853125453</v>
      </c>
      <c r="I9" s="31">
        <f>LOOKUP(C9,'TABLA 4'!$B$9:$B$12,'TABLA 4'!$K$9:$K$12)*E9</f>
        <v>22.220150078996912</v>
      </c>
      <c r="J9" s="31">
        <f>LOOKUP(C9,'TABLA 4'!$B$9:$B$12,'TABLA 4'!$L$9:$L$12)*F9</f>
        <v>0</v>
      </c>
      <c r="K9" s="32">
        <f>SUM(G9:J9)</f>
        <v>1501.8124486102515</v>
      </c>
      <c r="L9" s="18" t="str">
        <f>'TABLA 2'!B7</f>
        <v>Albania</v>
      </c>
    </row>
    <row r="10" spans="1:12" s="1" customFormat="1" ht="10.5" customHeight="1" x14ac:dyDescent="0.2">
      <c r="A10" s="2"/>
      <c r="B10" s="17" t="str">
        <f>'TABLA 2'!B8</f>
        <v>Algérie</v>
      </c>
      <c r="C10" s="4" t="str">
        <f>'TABLA 2'!C8</f>
        <v>C</v>
      </c>
      <c r="D10" s="30">
        <f>LOOKUP(B10,'TABLA 2'!$B$7:$B$25,'TABLA 2'!$E$7:$E$25)</f>
        <v>0.21772091321300788</v>
      </c>
      <c r="E10" s="98">
        <f>LOOKUP(B10,'TABLA 2'!$B$7:$B$25,'TABLA 2'!$G$7:$G$25)</f>
        <v>3.3927056827820186E-3</v>
      </c>
      <c r="F10" s="30">
        <f>LOOKUP(B10,'TABLA 2'!$B$7:$B$25,'TABLA 2'!$I$7:$I$25)</f>
        <v>0</v>
      </c>
      <c r="G10" s="31">
        <f t="shared" si="0"/>
        <v>605.5</v>
      </c>
      <c r="H10" s="31">
        <f>LOOKUP(C10,'TABLA 4'!$B$9:$B$12,'TABLA 4'!$J$9:$J$12)*D10</f>
        <v>1013.4788937739979</v>
      </c>
      <c r="I10" s="31">
        <f>LOOKUP(C10,'TABLA 4'!$B$9:$B$12,'TABLA 4'!$K$9:$K$12)*E10</f>
        <v>21.057144834605598</v>
      </c>
      <c r="J10" s="31">
        <f>LOOKUP(C10,'TABLA 4'!$B$9:$B$12,'TABLA 4'!$L$9:$L$12)*F10</f>
        <v>0</v>
      </c>
      <c r="K10" s="32">
        <f t="shared" ref="K10:K27" si="1">SUM(G10:J10)</f>
        <v>1640.0360386086036</v>
      </c>
      <c r="L10" s="18" t="str">
        <f>'TABLA 2'!B8</f>
        <v>Algérie</v>
      </c>
    </row>
    <row r="11" spans="1:12" s="1" customFormat="1" ht="10.5" customHeight="1" x14ac:dyDescent="0.2">
      <c r="A11" s="2"/>
      <c r="B11" s="17" t="str">
        <f>'TABLA 2'!B9</f>
        <v>Brazil</v>
      </c>
      <c r="C11" s="4" t="str">
        <f>'TABLA 2'!C9</f>
        <v>B</v>
      </c>
      <c r="D11" s="30">
        <f>LOOKUP(B11,'TABLA 2'!$B$7:$B$25,'TABLA 2'!$E$7:$E$25)</f>
        <v>6.149026074207185E-5</v>
      </c>
      <c r="E11" s="98">
        <f>LOOKUP(B11,'TABLA 2'!$B$7:$B$25,'TABLA 2'!$G$7:$G$25)</f>
        <v>0.14943491000418585</v>
      </c>
      <c r="F11" s="30">
        <f>LOOKUP(B11,'TABLA 2'!$B$7:$B$25,'TABLA 2'!$I$7:$I$25)</f>
        <v>0.24499191929546907</v>
      </c>
      <c r="G11" s="31">
        <f t="shared" si="0"/>
        <v>605.5</v>
      </c>
      <c r="H11" s="31">
        <f>LOOKUP(C11,'TABLA 4'!$B$9:$B$12,'TABLA 4'!$J$9:$J$12)*D11</f>
        <v>0.71104425527853909</v>
      </c>
      <c r="I11" s="31">
        <f>LOOKUP(C11,'TABLA 4'!$B$9:$B$12,'TABLA 4'!$K$9:$K$12)*E11</f>
        <v>2303.9927085307654</v>
      </c>
      <c r="J11" s="31">
        <f>LOOKUP(C11,'TABLA 4'!$B$9:$B$12,'TABLA 4'!$L$9:$L$12)*F11</f>
        <v>2832.9705339095831</v>
      </c>
      <c r="K11" s="32">
        <f t="shared" si="1"/>
        <v>5743.1742866956265</v>
      </c>
      <c r="L11" s="18" t="str">
        <f>'TABLA 2'!B9</f>
        <v>Brazil</v>
      </c>
    </row>
    <row r="12" spans="1:12" s="1" customFormat="1" ht="10.5" customHeight="1" x14ac:dyDescent="0.2">
      <c r="A12" s="2"/>
      <c r="B12" s="17" t="str">
        <f>'TABLA 2'!B10</f>
        <v>Canada</v>
      </c>
      <c r="C12" s="4" t="str">
        <f>'TABLA 2'!C10</f>
        <v>A</v>
      </c>
      <c r="D12" s="30">
        <f>LOOKUP(B12,'TABLA 2'!$B$7:$B$25,'TABLA 2'!$E$7:$E$25)</f>
        <v>2.4277507401958467E-2</v>
      </c>
      <c r="E12" s="98">
        <f>LOOKUP(B12,'TABLA 2'!$B$7:$B$25,'TABLA 2'!$G$7:$G$25)</f>
        <v>2.5889695665815071E-2</v>
      </c>
      <c r="F12" s="30">
        <f>LOOKUP(B12,'TABLA 2'!$B$7:$B$25,'TABLA 2'!$I$7:$I$25)</f>
        <v>4.6451103283216865E-4</v>
      </c>
      <c r="G12" s="31">
        <f t="shared" si="0"/>
        <v>605.5</v>
      </c>
      <c r="H12" s="31">
        <f>LOOKUP(C12,'TABLA 4'!$B$9:$B$12,'TABLA 4'!$J$9:$J$12)*D12</f>
        <v>2777.4613343499859</v>
      </c>
      <c r="I12" s="31">
        <f>LOOKUP(C12,'TABLA 4'!$B$9:$B$12,'TABLA 4'!$K$9:$K$12)*E12</f>
        <v>3949.2043659632586</v>
      </c>
      <c r="J12" s="31">
        <f>LOOKUP(C12,'TABLA 4'!$B$9:$B$12,'TABLA 4'!$L$9:$L$12)*F12</f>
        <v>53.142252691322334</v>
      </c>
      <c r="K12" s="32">
        <f t="shared" si="1"/>
        <v>7385.3079530045661</v>
      </c>
      <c r="L12" s="18" t="str">
        <f>'TABLA 2'!B10</f>
        <v>Canada</v>
      </c>
    </row>
    <row r="13" spans="1:12" s="1" customFormat="1" ht="10.5" customHeight="1" x14ac:dyDescent="0.2">
      <c r="A13" s="2"/>
      <c r="B13" s="17" t="str">
        <f>'TABLA 2'!B11</f>
        <v>China, People's Rep. of</v>
      </c>
      <c r="C13" s="4" t="str">
        <f>'TABLA 2'!C11</f>
        <v>B</v>
      </c>
      <c r="D13" s="30">
        <f>LOOKUP(B13,'TABLA 2'!$B$7:$B$25,'TABLA 2'!$E$7:$E$25)</f>
        <v>3.5503246747257446E-2</v>
      </c>
      <c r="E13" s="98">
        <f>LOOKUP(B13,'TABLA 2'!$B$7:$B$25,'TABLA 2'!$G$7:$G$25)</f>
        <v>0.29384679782335704</v>
      </c>
      <c r="F13" s="30">
        <f>LOOKUP(B13,'TABLA 2'!$B$7:$B$25,'TABLA 2'!$I$7:$I$25)</f>
        <v>0.75500808070453096</v>
      </c>
      <c r="G13" s="31">
        <f t="shared" si="0"/>
        <v>605.5</v>
      </c>
      <c r="H13" s="31">
        <f>LOOKUP(C13,'TABLA 4'!$B$9:$B$12,'TABLA 4'!$J$9:$J$12)*D13</f>
        <v>410.54273211272294</v>
      </c>
      <c r="I13" s="31">
        <f>LOOKUP(C13,'TABLA 4'!$B$9:$B$12,'TABLA 4'!$K$9:$K$12)*E13</f>
        <v>4530.5402840016732</v>
      </c>
      <c r="J13" s="31">
        <f>LOOKUP(C13,'TABLA 4'!$B$9:$B$12,'TABLA 4'!$L$9:$L$12)*F13</f>
        <v>8730.5558960904145</v>
      </c>
      <c r="K13" s="32">
        <f t="shared" si="1"/>
        <v>14277.138912204809</v>
      </c>
      <c r="L13" s="18" t="str">
        <f>'TABLA 2'!B11</f>
        <v>China, People's Rep. of</v>
      </c>
    </row>
    <row r="14" spans="1:12" s="1" customFormat="1" ht="10.5" customHeight="1" x14ac:dyDescent="0.2">
      <c r="A14" s="2"/>
      <c r="B14" s="17" t="str">
        <f>'TABLA 2'!B12</f>
        <v>Egypt</v>
      </c>
      <c r="C14" s="4" t="str">
        <f>'TABLA 2'!C12</f>
        <v>D</v>
      </c>
      <c r="D14" s="30">
        <f>LOOKUP(B14,'TABLA 2'!$B$7:$B$25,'TABLA 2'!$E$7:$E$25)</f>
        <v>5.2692716631546482E-2</v>
      </c>
      <c r="E14" s="98">
        <f>LOOKUP(B14,'TABLA 2'!$B$7:$B$25,'TABLA 2'!$G$7:$G$25)</f>
        <v>0.18333333333333332</v>
      </c>
      <c r="F14" s="30">
        <f>LOOKUP(B14,'TABLA 2'!$B$7:$B$25,'TABLA 2'!$I$7:$I$25)</f>
        <v>0</v>
      </c>
      <c r="G14" s="31">
        <f t="shared" si="0"/>
        <v>605.5</v>
      </c>
      <c r="H14" s="31">
        <f>LOOKUP(C14,'TABLA 4'!$B$9:$B$12,'TABLA 4'!$J$9:$J$12)*D14</f>
        <v>35.050944299146721</v>
      </c>
      <c r="I14" s="31">
        <f>LOOKUP(C14,'TABLA 4'!$B$9:$B$12,'TABLA 4'!$K$9:$K$12)*E14</f>
        <v>161.65791303749992</v>
      </c>
      <c r="J14" s="31">
        <f>LOOKUP(C14,'TABLA 4'!$B$9:$B$12,'TABLA 4'!$L$9:$L$12)*F14</f>
        <v>0</v>
      </c>
      <c r="K14" s="32">
        <f t="shared" si="1"/>
        <v>802.2088573366467</v>
      </c>
      <c r="L14" s="18" t="str">
        <f>'TABLA 2'!B12</f>
        <v>Egypt</v>
      </c>
    </row>
    <row r="15" spans="1:12" s="1" customFormat="1" ht="10.5" customHeight="1" x14ac:dyDescent="0.2">
      <c r="A15" s="2"/>
      <c r="B15" s="17" t="str">
        <f>'TABLA 2'!B13</f>
        <v>Iceland</v>
      </c>
      <c r="C15" s="4" t="str">
        <f>'TABLA 2'!C13</f>
        <v>A</v>
      </c>
      <c r="D15" s="30">
        <f>LOOKUP(B15,'TABLA 2'!$B$7:$B$25,'TABLA 2'!$E$7:$E$25)</f>
        <v>1.8266291199938448E-5</v>
      </c>
      <c r="E15" s="98">
        <f>LOOKUP(B15,'TABLA 2'!$B$7:$B$25,'TABLA 2'!$G$7:$G$25)</f>
        <v>2.3530993680247412E-4</v>
      </c>
      <c r="F15" s="30">
        <f>LOOKUP(B15,'TABLA 2'!$B$7:$B$25,'TABLA 2'!$I$7:$I$25)</f>
        <v>6.1588946127226817E-6</v>
      </c>
      <c r="G15" s="31">
        <f t="shared" si="0"/>
        <v>605.5</v>
      </c>
      <c r="H15" s="31">
        <f>LOOKUP(C15,'TABLA 4'!$B$9:$B$12,'TABLA 4'!$J$9:$J$12)*D15</f>
        <v>2.0897498532206704</v>
      </c>
      <c r="I15" s="31">
        <f>LOOKUP(C15,'TABLA 4'!$B$9:$B$12,'TABLA 4'!$K$9:$K$12)*E15</f>
        <v>35.894088589148851</v>
      </c>
      <c r="J15" s="31">
        <f>LOOKUP(C15,'TABLA 4'!$B$9:$B$12,'TABLA 4'!$L$9:$L$12)*F15</f>
        <v>0.70460658773370322</v>
      </c>
      <c r="K15" s="32">
        <f t="shared" si="1"/>
        <v>644.18844503010325</v>
      </c>
      <c r="L15" s="18" t="str">
        <f>'TABLA 2'!B13</f>
        <v>Iceland</v>
      </c>
    </row>
    <row r="16" spans="1:12" s="1" customFormat="1" ht="10.5" customHeight="1" x14ac:dyDescent="0.2">
      <c r="A16" s="2"/>
      <c r="B16" s="17" t="str">
        <f>'TABLA 2'!B14</f>
        <v>Japan</v>
      </c>
      <c r="C16" s="4" t="str">
        <f>'TABLA 2'!C14</f>
        <v>A</v>
      </c>
      <c r="D16" s="30">
        <f>LOOKUP(B16,'TABLA 2'!$B$7:$B$25,'TABLA 2'!$E$7:$E$25)</f>
        <v>0.13513544732695454</v>
      </c>
      <c r="E16" s="98">
        <f>LOOKUP(B16,'TABLA 2'!$B$7:$B$25,'TABLA 2'!$G$7:$G$25)</f>
        <v>6.1696024382591544E-2</v>
      </c>
      <c r="F16" s="30">
        <f>LOOKUP(B16,'TABLA 2'!$B$7:$B$25,'TABLA 2'!$I$7:$I$25)</f>
        <v>0.7229487596835632</v>
      </c>
      <c r="G16" s="31">
        <f t="shared" si="0"/>
        <v>605.5</v>
      </c>
      <c r="H16" s="31">
        <f>LOOKUP(C16,'TABLA 4'!$B$9:$B$12,'TABLA 4'!$J$9:$J$12)*D16</f>
        <v>15460.132444256909</v>
      </c>
      <c r="I16" s="31">
        <f>LOOKUP(C16,'TABLA 4'!$B$9:$B$12,'TABLA 4'!$K$9:$K$12)*E16</f>
        <v>9411.0881796120757</v>
      </c>
      <c r="J16" s="31">
        <f>LOOKUP(C16,'TABLA 4'!$B$9:$B$12,'TABLA 4'!$L$9:$L$12)*F16</f>
        <v>82708.74738052368</v>
      </c>
      <c r="K16" s="32">
        <f t="shared" si="1"/>
        <v>108185.46800439266</v>
      </c>
      <c r="L16" s="18" t="str">
        <f>'TABLA 2'!B14</f>
        <v>Japan</v>
      </c>
    </row>
    <row r="17" spans="1:12" s="1" customFormat="1" ht="10.5" customHeight="1" x14ac:dyDescent="0.2">
      <c r="A17" s="2"/>
      <c r="B17" s="17" t="str">
        <f>'TABLA 2'!B15</f>
        <v>Korea, Rep. of</v>
      </c>
      <c r="C17" s="4" t="str">
        <f>'TABLA 2'!C15</f>
        <v>A</v>
      </c>
      <c r="D17" s="30">
        <f>LOOKUP(B17,'TABLA 2'!$B$7:$B$25,'TABLA 2'!$E$7:$E$25)</f>
        <v>9.9502058737139867E-3</v>
      </c>
      <c r="E17" s="98">
        <f>LOOKUP(B17,'TABLA 2'!$B$7:$B$25,'TABLA 2'!$G$7:$G$25)</f>
        <v>2.364864864864865E-2</v>
      </c>
      <c r="F17" s="30">
        <f>LOOKUP(B17,'TABLA 2'!$B$7:$B$25,'TABLA 2'!$I$7:$I$25)</f>
        <v>9.0885268951193143E-2</v>
      </c>
      <c r="G17" s="31">
        <f t="shared" si="0"/>
        <v>605.5</v>
      </c>
      <c r="H17" s="31">
        <f>LOOKUP(C17,'TABLA 4'!$B$9:$B$12,'TABLA 4'!$J$9:$J$12)*D17</f>
        <v>1138.3504750093618</v>
      </c>
      <c r="I17" s="31">
        <f>LOOKUP(C17,'TABLA 4'!$B$9:$B$12,'TABLA 4'!$K$9:$K$12)*E17</f>
        <v>3607.3559032094599</v>
      </c>
      <c r="J17" s="31">
        <f>LOOKUP(C17,'TABLA 4'!$B$9:$B$12,'TABLA 4'!$L$9:$L$12)*F17</f>
        <v>10397.70336363175</v>
      </c>
      <c r="K17" s="32">
        <f t="shared" si="1"/>
        <v>15748.909741850572</v>
      </c>
      <c r="L17" s="18" t="str">
        <f>'TABLA 2'!B15</f>
        <v>Korea, Rep. of</v>
      </c>
    </row>
    <row r="18" spans="1:12" s="1" customFormat="1" ht="10.5" customHeight="1" x14ac:dyDescent="0.2">
      <c r="A18" s="2"/>
      <c r="B18" s="17" t="str">
        <f>'TABLA 2'!B16</f>
        <v>Libya</v>
      </c>
      <c r="C18" s="4" t="str">
        <f>'TABLA 2'!C16</f>
        <v>D</v>
      </c>
      <c r="D18" s="30">
        <f>LOOKUP(B18,'TABLA 2'!$B$7:$B$25,'TABLA 2'!$E$7:$E$25)</f>
        <v>0.93670698527522234</v>
      </c>
      <c r="E18" s="98">
        <f>LOOKUP(B18,'TABLA 2'!$B$7:$B$25,'TABLA 2'!$G$7:$G$25)</f>
        <v>0.8</v>
      </c>
      <c r="F18" s="30">
        <f>LOOKUP(B18,'TABLA 2'!$B$7:$B$25,'TABLA 2'!$I$7:$I$25)</f>
        <v>0</v>
      </c>
      <c r="G18" s="31">
        <f t="shared" si="0"/>
        <v>605.5</v>
      </c>
      <c r="H18" s="31">
        <f>LOOKUP(C18,'TABLA 4'!$B$9:$B$12,'TABLA 4'!$J$9:$J$12)*D18</f>
        <v>623.09302811400448</v>
      </c>
      <c r="I18" s="31">
        <f>LOOKUP(C18,'TABLA 4'!$B$9:$B$12,'TABLA 4'!$K$9:$K$12)*E18</f>
        <v>705.4163477999997</v>
      </c>
      <c r="J18" s="31">
        <f>LOOKUP(C18,'TABLA 4'!$B$9:$B$12,'TABLA 4'!$L$9:$L$12)*F18</f>
        <v>0</v>
      </c>
      <c r="K18" s="32">
        <f t="shared" si="1"/>
        <v>1934.0093759140041</v>
      </c>
      <c r="L18" s="18" t="str">
        <f>'TABLA 2'!B16</f>
        <v>Libya</v>
      </c>
    </row>
    <row r="19" spans="1:12" s="1" customFormat="1" ht="10.5" customHeight="1" x14ac:dyDescent="0.2">
      <c r="A19" s="2"/>
      <c r="B19" s="17" t="str">
        <f>'TABLA 2'!B17</f>
        <v>Maroc</v>
      </c>
      <c r="C19" s="4" t="str">
        <f>'TABLA 2'!C17</f>
        <v>C</v>
      </c>
      <c r="D19" s="30">
        <f>LOOKUP(B19,'TABLA 2'!$B$7:$B$25,'TABLA 2'!$E$7:$E$25)</f>
        <v>0.43198261907168223</v>
      </c>
      <c r="E19" s="98">
        <f>LOOKUP(B19,'TABLA 2'!$B$7:$B$25,'TABLA 2'!$G$7:$G$25)</f>
        <v>0.93985658107795511</v>
      </c>
      <c r="F19" s="30">
        <f>LOOKUP(B19,'TABLA 2'!$B$7:$B$25,'TABLA 2'!$I$7:$I$25)</f>
        <v>0.19759011135956797</v>
      </c>
      <c r="G19" s="31">
        <f t="shared" si="0"/>
        <v>605.5</v>
      </c>
      <c r="H19" s="31">
        <f>LOOKUP(C19,'TABLA 4'!$B$9:$B$12,'TABLA 4'!$J$9:$J$12)*D19</f>
        <v>2010.8553672932412</v>
      </c>
      <c r="I19" s="31">
        <f>LOOKUP(C19,'TABLA 4'!$B$9:$B$12,'TABLA 4'!$K$9:$K$12)*E19</f>
        <v>5833.3076906592651</v>
      </c>
      <c r="J19" s="31">
        <f>LOOKUP(C19,'TABLA 4'!$B$9:$B$12,'TABLA 4'!$L$9:$L$12)*F19</f>
        <v>919.77111672987292</v>
      </c>
      <c r="K19" s="32">
        <f t="shared" si="1"/>
        <v>9369.4341746823793</v>
      </c>
      <c r="L19" s="18" t="str">
        <f>'TABLA 2'!B17</f>
        <v>Maroc</v>
      </c>
    </row>
    <row r="20" spans="1:12" s="1" customFormat="1" ht="10.5" customHeight="1" x14ac:dyDescent="0.2">
      <c r="A20" s="2"/>
      <c r="B20" s="17" t="str">
        <f>'TABLA 2'!B18</f>
        <v>Mexico</v>
      </c>
      <c r="C20" s="4" t="str">
        <f>'TABLA 2'!C18</f>
        <v>C</v>
      </c>
      <c r="D20" s="30">
        <f>LOOKUP(B20,'TABLA 2'!$B$7:$B$25,'TABLA 2'!$E$7:$E$25)</f>
        <v>6.6090613761773465E-3</v>
      </c>
      <c r="E20" s="98">
        <f>LOOKUP(B20,'TABLA 2'!$B$7:$B$25,'TABLA 2'!$G$7:$G$25)</f>
        <v>7.8649086282674072E-3</v>
      </c>
      <c r="F20" s="30">
        <f>LOOKUP(B20,'TABLA 2'!$B$7:$B$25,'TABLA 2'!$I$7:$I$25)</f>
        <v>0.80240988864043206</v>
      </c>
      <c r="G20" s="31">
        <f t="shared" si="0"/>
        <v>605.5</v>
      </c>
      <c r="H20" s="31">
        <f>LOOKUP(C20,'TABLA 4'!$B$9:$B$12,'TABLA 4'!$J$9:$J$12)*D20</f>
        <v>30.764817736454766</v>
      </c>
      <c r="I20" s="31">
        <f>LOOKUP(C20,'TABLA 4'!$B$9:$B$12,'TABLA 4'!$K$9:$K$12)*E20</f>
        <v>48.81429029840389</v>
      </c>
      <c r="J20" s="31">
        <f>LOOKUP(C20,'TABLA 4'!$B$9:$B$12,'TABLA 4'!$L$9:$L$12)*F20</f>
        <v>3735.1739632701265</v>
      </c>
      <c r="K20" s="32">
        <f t="shared" si="1"/>
        <v>4420.2530713049855</v>
      </c>
      <c r="L20" s="18" t="str">
        <f>'TABLA 2'!B18</f>
        <v>Mexico</v>
      </c>
    </row>
    <row r="21" spans="1:12" s="1" customFormat="1" ht="10.5" customHeight="1" x14ac:dyDescent="0.2">
      <c r="A21" s="2"/>
      <c r="B21" s="17" t="str">
        <f>'TABLA 2'!B19</f>
        <v>Norway</v>
      </c>
      <c r="C21" s="4" t="str">
        <f>'TABLA 2'!C19</f>
        <v>A</v>
      </c>
      <c r="D21" s="30">
        <f>LOOKUP(B21,'TABLA 2'!$B$7:$B$25,'TABLA 2'!$E$7:$E$25)</f>
        <v>5.1597738454067258E-3</v>
      </c>
      <c r="E21" s="98">
        <f>LOOKUP(B21,'TABLA 2'!$B$7:$B$25,'TABLA 2'!$G$7:$G$25)</f>
        <v>1.456680561158173E-3</v>
      </c>
      <c r="F21" s="30">
        <f>LOOKUP(B21,'TABLA 2'!$B$7:$B$25,'TABLA 2'!$I$7:$I$25)</f>
        <v>2.1170917912913348E-4</v>
      </c>
      <c r="G21" s="31">
        <f t="shared" si="0"/>
        <v>605.5</v>
      </c>
      <c r="H21" s="31">
        <f>LOOKUP(C21,'TABLA 4'!$B$9:$B$12,'TABLA 4'!$J$9:$J$12)*D21</f>
        <v>590.3024603115324</v>
      </c>
      <c r="I21" s="31">
        <f>LOOKUP(C21,'TABLA 4'!$B$9:$B$12,'TABLA 4'!$K$9:$K$12)*E21</f>
        <v>222.20150078996909</v>
      </c>
      <c r="J21" s="31">
        <f>LOOKUP(C21,'TABLA 4'!$B$9:$B$12,'TABLA 4'!$L$9:$L$12)*F21</f>
        <v>24.220528467873443</v>
      </c>
      <c r="K21" s="32">
        <f t="shared" si="1"/>
        <v>1442.2244895693748</v>
      </c>
      <c r="L21" s="18" t="str">
        <f>'TABLA 2'!B19</f>
        <v>Norway</v>
      </c>
    </row>
    <row r="22" spans="1:12" s="1" customFormat="1" ht="10.5" customHeight="1" x14ac:dyDescent="0.2">
      <c r="A22" s="2"/>
      <c r="B22" s="17" t="str">
        <f>'TABLA 2'!B20</f>
        <v>Syrian Arab Republic</v>
      </c>
      <c r="C22" s="4" t="str">
        <f>'TABLA 2'!C20</f>
        <v>D</v>
      </c>
      <c r="D22" s="30">
        <f>LOOKUP(B22,'TABLA 2'!$B$7:$B$25,'TABLA 2'!$E$7:$E$25)</f>
        <v>1.0600298093231228E-2</v>
      </c>
      <c r="E22" s="98">
        <f>LOOKUP(B22,'TABLA 2'!$B$7:$B$25,'TABLA 2'!$G$7:$G$25)</f>
        <v>1.6666666666666666E-2</v>
      </c>
      <c r="F22" s="30">
        <f>LOOKUP(B22,'TABLA 2'!$B$7:$B$25,'TABLA 2'!$I$7:$I$25)</f>
        <v>0</v>
      </c>
      <c r="G22" s="31">
        <f t="shared" si="0"/>
        <v>605.5</v>
      </c>
      <c r="H22" s="31">
        <f>LOOKUP(C22,'TABLA 4'!$B$9:$B$12,'TABLA 4'!$J$9:$J$12)*D22</f>
        <v>7.0512678368485604</v>
      </c>
      <c r="I22" s="31">
        <f>LOOKUP(C22,'TABLA 4'!$B$9:$B$12,'TABLA 4'!$K$9:$K$12)*E22</f>
        <v>14.696173912499994</v>
      </c>
      <c r="J22" s="31">
        <f>LOOKUP(C22,'TABLA 4'!$B$9:$B$12,'TABLA 4'!$L$9:$L$12)*F22</f>
        <v>0</v>
      </c>
      <c r="K22" s="32">
        <f t="shared" si="1"/>
        <v>627.24744174934847</v>
      </c>
      <c r="L22" s="18" t="str">
        <f>'TABLA 2'!B20</f>
        <v>Syrian Arab Republic</v>
      </c>
    </row>
    <row r="23" spans="1:12" s="1" customFormat="1" ht="10.5" customHeight="1" x14ac:dyDescent="0.2">
      <c r="A23" s="2"/>
      <c r="B23" s="17" t="str">
        <f>'TABLA 2'!B21</f>
        <v>Tunisie</v>
      </c>
      <c r="C23" s="4" t="str">
        <f>'TABLA 2'!C21</f>
        <v>C</v>
      </c>
      <c r="D23" s="30">
        <f>LOOKUP(B23,'TABLA 2'!$B$7:$B$25,'TABLA 2'!$E$7:$E$25)</f>
        <v>0.34368740633913253</v>
      </c>
      <c r="E23" s="98">
        <f>LOOKUP(B23,'TABLA 2'!$B$7:$B$25,'TABLA 2'!$G$7:$G$25)</f>
        <v>4.8885804610995454E-2</v>
      </c>
      <c r="F23" s="30">
        <f>LOOKUP(B23,'TABLA 2'!$B$7:$B$25,'TABLA 2'!$I$7:$I$25)</f>
        <v>0</v>
      </c>
      <c r="G23" s="31">
        <f t="shared" si="0"/>
        <v>605.5</v>
      </c>
      <c r="H23" s="31">
        <f>LOOKUP(C23,'TABLA 4'!$B$9:$B$12,'TABLA 4'!$J$9:$J$12)*D23</f>
        <v>1599.8460011963057</v>
      </c>
      <c r="I23" s="31">
        <f>LOOKUP(C23,'TABLA 4'!$B$9:$B$12,'TABLA 4'!$K$9:$K$12)*E23</f>
        <v>303.41431420772614</v>
      </c>
      <c r="J23" s="31">
        <f>LOOKUP(C23,'TABLA 4'!$B$9:$B$12,'TABLA 4'!$L$9:$L$12)*F23</f>
        <v>0</v>
      </c>
      <c r="K23" s="32">
        <f t="shared" si="1"/>
        <v>2508.7603154040316</v>
      </c>
      <c r="L23" s="18" t="str">
        <f>'TABLA 2'!B21</f>
        <v>Tunisie</v>
      </c>
    </row>
    <row r="24" spans="1:12" s="1" customFormat="1" ht="10.5" customHeight="1" x14ac:dyDescent="0.2">
      <c r="A24" s="2"/>
      <c r="B24" s="17" t="str">
        <f>'TABLA 2'!B22</f>
        <v>Türkiye</v>
      </c>
      <c r="C24" s="4" t="str">
        <f>'TABLA 2'!C22</f>
        <v>B</v>
      </c>
      <c r="D24" s="30">
        <f>LOOKUP(B24,'TABLA 2'!$B$7:$B$25,'TABLA 2'!$E$7:$E$25)</f>
        <v>0.96443526299200055</v>
      </c>
      <c r="E24" s="98">
        <f>LOOKUP(B24,'TABLA 2'!$B$7:$B$25,'TABLA 2'!$G$7:$G$25)</f>
        <v>0.55671829217245705</v>
      </c>
      <c r="F24" s="30">
        <f>LOOKUP(B24,'TABLA 2'!$B$7:$B$25,'TABLA 2'!$I$7:$I$25)</f>
        <v>0</v>
      </c>
      <c r="G24" s="31">
        <f t="shared" si="0"/>
        <v>605.5</v>
      </c>
      <c r="H24" s="31">
        <f>LOOKUP(C24,'TABLA 4'!$B$9:$B$12,'TABLA 4'!$J$9:$J$12)*D24</f>
        <v>11152.272653631997</v>
      </c>
      <c r="I24" s="31">
        <f>LOOKUP(C24,'TABLA 4'!$B$9:$B$12,'TABLA 4'!$K$9:$K$12)*E24</f>
        <v>8583.502247467557</v>
      </c>
      <c r="J24" s="31">
        <f>LOOKUP(C24,'TABLA 4'!$B$9:$B$12,'TABLA 4'!$L$9:$L$12)*F24</f>
        <v>0</v>
      </c>
      <c r="K24" s="32">
        <f t="shared" si="1"/>
        <v>20341.274901099554</v>
      </c>
      <c r="L24" s="18" t="str">
        <f>'TABLA 2'!B22</f>
        <v>Türkiye</v>
      </c>
    </row>
    <row r="25" spans="1:12" s="1" customFormat="1" ht="10.5" customHeight="1" x14ac:dyDescent="0.2">
      <c r="A25" s="2"/>
      <c r="B25" s="17" t="str">
        <f>'TABLA 2'!B23</f>
        <v>Union Européenne</v>
      </c>
      <c r="C25" s="4" t="str">
        <f>'TABLA 2'!C23</f>
        <v>A</v>
      </c>
      <c r="D25" s="30">
        <f>LOOKUP(B25,'TABLA 2'!$B$7:$B$25,'TABLA 2'!$E$7:$E$25)</f>
        <v>0.76716862568621003</v>
      </c>
      <c r="E25" s="98">
        <f>LOOKUP(B25,'TABLA 2'!$B$7:$B$25,'TABLA 2'!$G$7:$G$25)</f>
        <v>0.8009558065528215</v>
      </c>
      <c r="F25" s="30">
        <f>LOOKUP(B25,'TABLA 2'!$B$7:$B$25,'TABLA 2'!$I$7:$I$25)</f>
        <v>0.15050751052966829</v>
      </c>
      <c r="G25" s="31">
        <f t="shared" si="0"/>
        <v>605.5</v>
      </c>
      <c r="H25" s="31">
        <f>LOOKUP(C25,'TABLA 4'!$B$9:$B$12,'TABLA 4'!$J$9:$J$12)*D25</f>
        <v>87767.708582717823</v>
      </c>
      <c r="I25" s="31">
        <f>LOOKUP(C25,'TABLA 4'!$B$9:$B$12,'TABLA 4'!$K$9:$K$12)*E25</f>
        <v>122177.49520936451</v>
      </c>
      <c r="J25" s="31">
        <f>LOOKUP(C25,'TABLA 4'!$B$9:$B$12,'TABLA 4'!$L$9:$L$12)*F25</f>
        <v>17218.768966030864</v>
      </c>
      <c r="K25" s="32">
        <f t="shared" si="1"/>
        <v>227769.47275811317</v>
      </c>
      <c r="L25" s="18" t="str">
        <f>'TABLA 2'!B23</f>
        <v>Union Européenne</v>
      </c>
    </row>
    <row r="26" spans="1:12" s="1" customFormat="1" ht="21" customHeight="1" x14ac:dyDescent="0.2">
      <c r="A26" s="2"/>
      <c r="B26" s="115" t="str">
        <f>'TABLA 2'!B24</f>
        <v xml:space="preserve">United Kingdom of Great Britain and Northern Ireland </v>
      </c>
      <c r="C26" s="4" t="str">
        <f>'TABLA 2'!C24</f>
        <v>A</v>
      </c>
      <c r="D26" s="30">
        <f>LOOKUP(B26,'TABLA 2'!$B$7:$B$25,'TABLA 2'!$E$7:$E$25)</f>
        <v>4.0016132544319052E-4</v>
      </c>
      <c r="E26" s="98">
        <f>LOOKUP(B26,'TABLA 2'!$B$7:$B$25,'TABLA 2'!$G$7:$G$25)</f>
        <v>1.1507776433149567E-2</v>
      </c>
      <c r="F26" s="30">
        <f>LOOKUP(B26,'TABLA 2'!$B$7:$B$25,'TABLA 2'!$I$7:$I$25)</f>
        <v>5.0151078473414283E-3</v>
      </c>
      <c r="G26" s="31">
        <f t="shared" si="0"/>
        <v>605.5</v>
      </c>
      <c r="H26" s="31">
        <f>LOOKUP(C26,'TABLA 4'!$B$9:$B$12,'TABLA 4'!$J$9:$J$12)*D26</f>
        <v>45.780342706477505</v>
      </c>
      <c r="I26" s="31">
        <f>LOOKUP(C26,'TABLA 4'!$B$9:$B$12,'TABLA 4'!$K$9:$K$12)*E26</f>
        <v>1755.3918562407559</v>
      </c>
      <c r="J26" s="31">
        <f>LOOKUP(C26,'TABLA 4'!$B$9:$B$12,'TABLA 4'!$L$9:$L$12)*F26</f>
        <v>573.75198791875698</v>
      </c>
      <c r="K26" s="32">
        <f t="shared" si="1"/>
        <v>2980.4241868659906</v>
      </c>
      <c r="L26" s="110" t="str">
        <f>'TABLA 2'!B24</f>
        <v xml:space="preserve">United Kingdom of Great Britain and Northern Ireland </v>
      </c>
    </row>
    <row r="27" spans="1:12" s="1" customFormat="1" ht="10.5" customHeight="1" x14ac:dyDescent="0.2">
      <c r="A27" s="2"/>
      <c r="B27" s="17" t="str">
        <f>'TABLA 2'!B25</f>
        <v>United States</v>
      </c>
      <c r="C27" s="4" t="str">
        <f>'TABLA 2'!C25</f>
        <v>A</v>
      </c>
      <c r="D27" s="30">
        <f>LOOKUP(B27,'TABLA 2'!$B$7:$B$25,'TABLA 2'!$E$7:$E$25)</f>
        <v>5.0249660253878892E-2</v>
      </c>
      <c r="E27" s="98">
        <f>LOOKUP(B27,'TABLA 2'!$B$7:$B$25,'TABLA 2'!$G$7:$G$25)</f>
        <v>7.4464389762897223E-2</v>
      </c>
      <c r="F27" s="30">
        <f>LOOKUP(B27,'TABLA 2'!$B$7:$B$25,'TABLA 2'!$I$7:$I$25)</f>
        <v>2.996097388165982E-2</v>
      </c>
      <c r="G27" s="31">
        <f t="shared" si="0"/>
        <v>605.5</v>
      </c>
      <c r="H27" s="31">
        <f>LOOKUP(C27,'TABLA 4'!$B$9:$B$12,'TABLA 4'!$J$9:$J$12)*D27</f>
        <v>5748.7980997634495</v>
      </c>
      <c r="I27" s="31">
        <f>LOOKUP(C27,'TABLA 4'!$B$9:$B$12,'TABLA 4'!$K$9:$K$12)*E27</f>
        <v>11358.769796151842</v>
      </c>
      <c r="J27" s="31">
        <f>LOOKUP(C27,'TABLA 4'!$B$9:$B$12,'TABLA 4'!$L$9:$L$12)*F27</f>
        <v>3427.6767016480021</v>
      </c>
      <c r="K27" s="32">
        <f t="shared" si="1"/>
        <v>21140.744597563295</v>
      </c>
      <c r="L27" s="18" t="str">
        <f>'TABLA 2'!B25</f>
        <v>United States</v>
      </c>
    </row>
    <row r="28" spans="1:12" x14ac:dyDescent="0.2">
      <c r="A28" s="33" t="s">
        <v>125</v>
      </c>
      <c r="B28" s="34"/>
      <c r="C28" s="35"/>
      <c r="D28" s="35"/>
      <c r="E28" s="35"/>
      <c r="F28" s="34"/>
      <c r="G28" s="36"/>
      <c r="H28" s="36"/>
      <c r="I28" s="36"/>
      <c r="J28" s="36"/>
      <c r="K28" s="36"/>
      <c r="L28" s="34"/>
    </row>
    <row r="52" spans="4:8" x14ac:dyDescent="0.2">
      <c r="D52" s="103"/>
      <c r="E52" s="103"/>
      <c r="F52" s="103"/>
      <c r="G52" s="103"/>
      <c r="H52" s="103"/>
    </row>
    <row r="53" spans="4:8" x14ac:dyDescent="0.2">
      <c r="D53" s="103"/>
      <c r="E53" s="103"/>
      <c r="F53" s="103"/>
      <c r="G53" s="103"/>
      <c r="H53" s="103"/>
    </row>
    <row r="54" spans="4:8" x14ac:dyDescent="0.2">
      <c r="D54" s="103"/>
      <c r="E54" s="103"/>
      <c r="F54" s="103"/>
      <c r="G54" s="103"/>
      <c r="H54" s="103"/>
    </row>
    <row r="55" spans="4:8" x14ac:dyDescent="0.2">
      <c r="D55" s="103"/>
      <c r="E55" s="103"/>
      <c r="F55" s="103"/>
      <c r="G55" s="103"/>
      <c r="H55" s="103"/>
    </row>
    <row r="56" spans="4:8" x14ac:dyDescent="0.2">
      <c r="D56" s="103"/>
      <c r="E56" s="103"/>
      <c r="F56" s="103"/>
      <c r="G56" s="103"/>
      <c r="H56" s="103"/>
    </row>
    <row r="57" spans="4:8" x14ac:dyDescent="0.2">
      <c r="D57" s="103"/>
      <c r="E57" s="103"/>
      <c r="F57" s="103"/>
      <c r="G57" s="103"/>
      <c r="H57" s="103"/>
    </row>
    <row r="58" spans="4:8" x14ac:dyDescent="0.2">
      <c r="D58" s="103"/>
      <c r="E58" s="103"/>
      <c r="F58" s="103"/>
      <c r="G58" s="103"/>
      <c r="H58" s="103"/>
    </row>
    <row r="59" spans="4:8" x14ac:dyDescent="0.2">
      <c r="D59" s="103"/>
      <c r="E59" s="103"/>
      <c r="F59" s="103"/>
      <c r="G59" s="103"/>
      <c r="H59" s="103"/>
    </row>
    <row r="60" spans="4:8" x14ac:dyDescent="0.2">
      <c r="D60" s="103"/>
      <c r="E60" s="103"/>
      <c r="F60" s="103"/>
      <c r="G60" s="103"/>
      <c r="H60" s="103"/>
    </row>
    <row r="61" spans="4:8" x14ac:dyDescent="0.2">
      <c r="D61" s="103"/>
      <c r="E61" s="103"/>
      <c r="F61" s="103"/>
      <c r="G61" s="103"/>
      <c r="H61" s="103"/>
    </row>
    <row r="62" spans="4:8" x14ac:dyDescent="0.2">
      <c r="D62" s="103"/>
      <c r="E62" s="103"/>
      <c r="F62" s="103"/>
      <c r="G62" s="103"/>
      <c r="H62" s="103"/>
    </row>
    <row r="63" spans="4:8" x14ac:dyDescent="0.2">
      <c r="D63" s="103"/>
      <c r="E63" s="103"/>
      <c r="F63" s="103"/>
      <c r="G63" s="103"/>
      <c r="H63" s="103"/>
    </row>
    <row r="64" spans="4:8" x14ac:dyDescent="0.2">
      <c r="D64" s="103"/>
      <c r="E64" s="103"/>
      <c r="F64" s="103"/>
      <c r="G64" s="103"/>
      <c r="H64" s="103"/>
    </row>
    <row r="65" spans="4:8" x14ac:dyDescent="0.2">
      <c r="D65" s="103"/>
      <c r="E65" s="103"/>
      <c r="F65" s="103"/>
      <c r="G65" s="103"/>
      <c r="H65" s="103"/>
    </row>
    <row r="66" spans="4:8" x14ac:dyDescent="0.2">
      <c r="D66" s="103"/>
      <c r="E66" s="103"/>
      <c r="F66" s="103"/>
      <c r="G66" s="103"/>
      <c r="H66" s="103"/>
    </row>
    <row r="67" spans="4:8" x14ac:dyDescent="0.2">
      <c r="D67" s="103"/>
      <c r="E67" s="103"/>
      <c r="F67" s="103"/>
      <c r="G67" s="103"/>
      <c r="H67" s="103"/>
    </row>
    <row r="68" spans="4:8" x14ac:dyDescent="0.2">
      <c r="D68" s="103"/>
      <c r="E68" s="103"/>
      <c r="F68" s="103"/>
      <c r="G68" s="103"/>
      <c r="H68" s="103"/>
    </row>
    <row r="69" spans="4:8" x14ac:dyDescent="0.2">
      <c r="D69" s="103"/>
      <c r="E69" s="103"/>
      <c r="F69" s="103"/>
      <c r="G69" s="103"/>
      <c r="H69" s="103"/>
    </row>
    <row r="70" spans="4:8" x14ac:dyDescent="0.2">
      <c r="D70" s="103"/>
      <c r="E70" s="103"/>
      <c r="F70" s="103"/>
      <c r="G70" s="103"/>
      <c r="H70" s="103"/>
    </row>
    <row r="71" spans="4:8" x14ac:dyDescent="0.2">
      <c r="D71" s="103"/>
      <c r="E71" s="103"/>
      <c r="F71" s="103"/>
      <c r="G71" s="103"/>
      <c r="H71" s="103"/>
    </row>
    <row r="72" spans="4:8" x14ac:dyDescent="0.2">
      <c r="D72" s="103"/>
      <c r="E72" s="103"/>
      <c r="F72" s="103"/>
      <c r="G72" s="103"/>
      <c r="H72" s="103"/>
    </row>
    <row r="73" spans="4:8" x14ac:dyDescent="0.2">
      <c r="D73" s="103"/>
      <c r="E73" s="103"/>
      <c r="F73" s="103"/>
      <c r="G73" s="103"/>
      <c r="H73" s="103"/>
    </row>
    <row r="74" spans="4:8" x14ac:dyDescent="0.2">
      <c r="D74" s="103"/>
      <c r="E74" s="103"/>
      <c r="F74" s="103"/>
      <c r="G74" s="103"/>
      <c r="H74" s="103"/>
    </row>
    <row r="75" spans="4:8" x14ac:dyDescent="0.2">
      <c r="D75" s="103"/>
      <c r="E75" s="103"/>
      <c r="F75" s="103"/>
      <c r="G75" s="103"/>
      <c r="H75" s="103"/>
    </row>
  </sheetData>
  <mergeCells count="2">
    <mergeCell ref="A1:L1"/>
    <mergeCell ref="D5:D6"/>
  </mergeCells>
  <phoneticPr fontId="0" type="noConversion"/>
  <printOptions horizontalCentered="1"/>
  <pageMargins left="0.98425196850393704" right="0.98425196850393704" top="0.31496062992125984" bottom="0.19685039370078741" header="0" footer="0"/>
  <pageSetup paperSize="9" scale="85"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showGridLines="0" zoomScaleNormal="100" workbookViewId="0">
      <selection activeCell="G19" sqref="G19"/>
    </sheetView>
  </sheetViews>
  <sheetFormatPr baseColWidth="10" defaultColWidth="11.44140625" defaultRowHeight="13.2" x14ac:dyDescent="0.25"/>
  <cols>
    <col min="1" max="1" width="1.109375" style="8" customWidth="1"/>
    <col min="2" max="2" width="11.5546875" style="9" customWidth="1"/>
    <col min="3" max="4" width="11.5546875" style="8" customWidth="1"/>
    <col min="5" max="6" width="11.5546875" style="47" customWidth="1"/>
    <col min="7" max="8" width="11.5546875" style="8" customWidth="1"/>
    <col min="9" max="9" width="11.5546875" style="47" customWidth="1"/>
    <col min="10" max="10" width="13.33203125" style="8" customWidth="1"/>
    <col min="11" max="11" width="14.44140625" style="47" customWidth="1"/>
    <col min="12" max="12" width="13.44140625" style="47" customWidth="1"/>
    <col min="13" max="13" width="11.5546875" style="47" customWidth="1"/>
    <col min="14" max="16384" width="11.44140625" style="8"/>
  </cols>
  <sheetData>
    <row r="1" spans="1:13" ht="59.4" customHeight="1" x14ac:dyDescent="0.25">
      <c r="A1" s="126" t="s">
        <v>257</v>
      </c>
      <c r="B1" s="126"/>
      <c r="C1" s="126"/>
      <c r="D1" s="126"/>
      <c r="E1" s="126"/>
      <c r="F1" s="126"/>
      <c r="G1" s="126"/>
      <c r="H1" s="126"/>
      <c r="I1" s="126"/>
      <c r="J1" s="126"/>
      <c r="K1" s="126"/>
      <c r="L1" s="126"/>
      <c r="M1" s="126"/>
    </row>
    <row r="2" spans="1:13" s="25" customFormat="1" ht="6" customHeight="1" x14ac:dyDescent="0.2">
      <c r="B2" s="104"/>
      <c r="E2" s="27"/>
      <c r="F2" s="27"/>
      <c r="I2" s="27"/>
      <c r="K2" s="27"/>
      <c r="L2" s="27"/>
      <c r="M2" s="27"/>
    </row>
    <row r="3" spans="1:13" s="7" customFormat="1" ht="12" customHeight="1" x14ac:dyDescent="0.2">
      <c r="A3" s="13"/>
      <c r="B3" s="85"/>
      <c r="C3" s="85"/>
      <c r="D3" s="85" t="s">
        <v>94</v>
      </c>
      <c r="E3" s="85" t="s">
        <v>88</v>
      </c>
      <c r="F3" s="85" t="s">
        <v>91</v>
      </c>
      <c r="G3" s="85" t="s">
        <v>45</v>
      </c>
      <c r="H3" s="85" t="s">
        <v>46</v>
      </c>
      <c r="I3" s="24" t="s">
        <v>112</v>
      </c>
      <c r="J3" s="85" t="s">
        <v>113</v>
      </c>
      <c r="K3" s="85" t="s">
        <v>114</v>
      </c>
      <c r="L3" s="85" t="s">
        <v>115</v>
      </c>
      <c r="M3" s="24" t="s">
        <v>116</v>
      </c>
    </row>
    <row r="4" spans="1:13" s="7" customFormat="1" ht="12" customHeight="1" x14ac:dyDescent="0.2">
      <c r="A4" s="3"/>
      <c r="B4" s="15" t="s">
        <v>44</v>
      </c>
      <c r="C4" s="15" t="s">
        <v>75</v>
      </c>
      <c r="D4" s="15" t="s">
        <v>84</v>
      </c>
      <c r="E4" s="15" t="s">
        <v>89</v>
      </c>
      <c r="F4" s="15" t="s">
        <v>92</v>
      </c>
      <c r="G4" s="15" t="s">
        <v>110</v>
      </c>
      <c r="H4" s="15" t="s">
        <v>111</v>
      </c>
      <c r="I4" s="6" t="s">
        <v>99</v>
      </c>
      <c r="J4" s="15" t="s">
        <v>99</v>
      </c>
      <c r="K4" s="15" t="s">
        <v>99</v>
      </c>
      <c r="L4" s="15" t="s">
        <v>99</v>
      </c>
      <c r="M4" s="6" t="s">
        <v>99</v>
      </c>
    </row>
    <row r="5" spans="1:13" s="7" customFormat="1" ht="24.6" customHeight="1" x14ac:dyDescent="0.2">
      <c r="A5" s="14"/>
      <c r="B5" s="37"/>
      <c r="C5" s="37"/>
      <c r="D5" s="37" t="s">
        <v>167</v>
      </c>
      <c r="E5" s="29" t="s">
        <v>169</v>
      </c>
      <c r="F5" s="29" t="s">
        <v>171</v>
      </c>
      <c r="G5" s="37" t="s">
        <v>42</v>
      </c>
      <c r="H5" s="37" t="s">
        <v>43</v>
      </c>
      <c r="I5" s="129" t="s">
        <v>258</v>
      </c>
      <c r="J5" s="108" t="s">
        <v>174</v>
      </c>
      <c r="K5" s="29" t="s">
        <v>169</v>
      </c>
      <c r="L5" s="29" t="s">
        <v>176</v>
      </c>
      <c r="M5" s="29" t="s">
        <v>0</v>
      </c>
    </row>
    <row r="6" spans="1:13" s="7" customFormat="1" ht="21.9" customHeight="1" x14ac:dyDescent="0.2">
      <c r="A6" s="3"/>
      <c r="B6" s="15" t="s">
        <v>41</v>
      </c>
      <c r="C6" s="15" t="s">
        <v>75</v>
      </c>
      <c r="D6" s="15" t="s">
        <v>173</v>
      </c>
      <c r="E6" s="6" t="s">
        <v>162</v>
      </c>
      <c r="F6" s="6" t="s">
        <v>164</v>
      </c>
      <c r="G6" s="15" t="s">
        <v>221</v>
      </c>
      <c r="H6" s="15" t="s">
        <v>111</v>
      </c>
      <c r="I6" s="130"/>
      <c r="J6" s="15" t="s">
        <v>99</v>
      </c>
      <c r="K6" s="109" t="s">
        <v>175</v>
      </c>
      <c r="L6" s="6" t="s">
        <v>99</v>
      </c>
      <c r="M6" s="6" t="s">
        <v>224</v>
      </c>
    </row>
    <row r="7" spans="1:13" s="7" customFormat="1" ht="12" customHeight="1" x14ac:dyDescent="0.2">
      <c r="A7" s="14"/>
      <c r="B7" s="37"/>
      <c r="C7" s="37"/>
      <c r="D7" s="29" t="s">
        <v>142</v>
      </c>
      <c r="E7" s="29" t="s">
        <v>144</v>
      </c>
      <c r="F7" s="29" t="s">
        <v>146</v>
      </c>
      <c r="G7" s="37" t="s">
        <v>2</v>
      </c>
      <c r="H7" s="37" t="s">
        <v>4</v>
      </c>
      <c r="I7" s="129" t="s">
        <v>261</v>
      </c>
      <c r="J7" s="37" t="s">
        <v>150</v>
      </c>
      <c r="K7" s="29" t="s">
        <v>144</v>
      </c>
      <c r="L7" s="29" t="s">
        <v>152</v>
      </c>
      <c r="M7" s="29" t="s">
        <v>0</v>
      </c>
    </row>
    <row r="8" spans="1:13" s="7" customFormat="1" ht="12" customHeight="1" x14ac:dyDescent="0.2">
      <c r="A8" s="3"/>
      <c r="B8" s="15" t="s">
        <v>1</v>
      </c>
      <c r="C8" s="15" t="s">
        <v>77</v>
      </c>
      <c r="D8" s="6" t="s">
        <v>136</v>
      </c>
      <c r="E8" s="6" t="s">
        <v>138</v>
      </c>
      <c r="F8" s="6" t="s">
        <v>140</v>
      </c>
      <c r="G8" s="15" t="s">
        <v>222</v>
      </c>
      <c r="H8" s="15" t="s">
        <v>223</v>
      </c>
      <c r="I8" s="131"/>
      <c r="J8" s="15" t="s">
        <v>262</v>
      </c>
      <c r="K8" s="6" t="s">
        <v>151</v>
      </c>
      <c r="L8" s="6" t="s">
        <v>262</v>
      </c>
      <c r="M8" s="6" t="s">
        <v>225</v>
      </c>
    </row>
    <row r="9" spans="1:13" s="1" customFormat="1" ht="12" customHeight="1" x14ac:dyDescent="0.2">
      <c r="A9" s="2"/>
      <c r="B9" s="37" t="s">
        <v>5</v>
      </c>
      <c r="C9" s="2">
        <f>COUNTIF('TABLA 3'!C$9:C$27,B9)</f>
        <v>9</v>
      </c>
      <c r="D9" s="31">
        <f>SUMIF('TABLA 2'!$C$7:$C$25,B9,'TABLA 2'!$D$7:$D$25)</f>
        <v>77191.367670999985</v>
      </c>
      <c r="E9" s="31">
        <f>SUMIF('TABLA 2'!$C$7:$C$25,B9,'TABLA 2'!$F$7:$F$25)</f>
        <v>178488</v>
      </c>
      <c r="F9" s="31">
        <f>SUMIF('TABLA 2'!$C$7:$C$25,B9,'TABLA 2'!$H$7:$H$25)</f>
        <v>129729.44826000003</v>
      </c>
      <c r="G9" s="38" t="s">
        <v>11</v>
      </c>
      <c r="H9" s="30">
        <f>1-(SUM(H10:H12))</f>
        <v>0.86250000000000004</v>
      </c>
      <c r="I9" s="31">
        <f>SUMIF('TABLA 3'!C$9:C$27,B9,'TABLA 3'!G$9:G$27)</f>
        <v>5449.5</v>
      </c>
      <c r="J9" s="31">
        <f>IF(L9=0,(M9-I9)*0.43,(M9-I9)*0.3)</f>
        <v>114404.7157875</v>
      </c>
      <c r="K9" s="31">
        <f>IF(L9=0,(M9-I9)*0.57,(M9-I9)*0.4)</f>
        <v>152539.62105000002</v>
      </c>
      <c r="L9" s="31">
        <f>IF(F9=0,0,(M9-I9)*0.3)</f>
        <v>114404.7157875</v>
      </c>
      <c r="M9" s="31">
        <f>H9*M$13</f>
        <v>386798.55262500001</v>
      </c>
    </row>
    <row r="10" spans="1:13" s="1" customFormat="1" ht="12" customHeight="1" x14ac:dyDescent="0.2">
      <c r="A10" s="2"/>
      <c r="B10" s="37" t="s">
        <v>7</v>
      </c>
      <c r="C10" s="2">
        <f>COUNTIF('TABLA 3'!C$9:C$27,B10)</f>
        <v>3</v>
      </c>
      <c r="D10" s="31">
        <f>SUMIF('TABLA 2'!$C$7:$C$25,B10,'TABLA 2'!$D$7:$D$25)</f>
        <v>8131.3689999999997</v>
      </c>
      <c r="E10" s="31">
        <f>SUMIF('TABLA 2'!$C$7:$C$25,B10,'TABLA 2'!$F$7:$F$25)</f>
        <v>2389</v>
      </c>
      <c r="F10" s="31">
        <f>SUMIF('TABLA 2'!$C$7:$C$25,B10,'TABLA 2'!$H$7:$H$25)</f>
        <v>441.69416000000001</v>
      </c>
      <c r="G10" s="30">
        <v>0.03</v>
      </c>
      <c r="H10" s="30">
        <f>C10*G10</f>
        <v>0.09</v>
      </c>
      <c r="I10" s="31">
        <f>SUMIF('TABLA 3'!C$9:C$27,B10,'TABLA 3'!G$9:G$27)</f>
        <v>1816.5</v>
      </c>
      <c r="J10" s="31">
        <f t="shared" ref="J10:J11" si="0">IF(L10=0,(M10-I10)*0.43,(M10-I10)*0.3)</f>
        <v>11563.526429999998</v>
      </c>
      <c r="K10" s="31">
        <f t="shared" ref="K10:K11" si="1">IF(L10=0,(M10-I10)*0.57,(M10-I10)*0.4)</f>
        <v>15418.035239999997</v>
      </c>
      <c r="L10" s="31">
        <f>IF(F10=0,0,(M10-I10)*0.3)</f>
        <v>11563.526429999998</v>
      </c>
      <c r="M10" s="31">
        <f>H10*M$13</f>
        <v>40361.588099999994</v>
      </c>
    </row>
    <row r="11" spans="1:13" s="1" customFormat="1" ht="12" customHeight="1" x14ac:dyDescent="0.2">
      <c r="A11" s="2"/>
      <c r="B11" s="37" t="s">
        <v>9</v>
      </c>
      <c r="C11" s="2">
        <f>COUNTIF('TABLA 3'!C$9:C$27,B11)</f>
        <v>4</v>
      </c>
      <c r="D11" s="31">
        <f>SUMIF('TABLA 2'!$C$7:$C$25,B11,'TABLA 2'!$D$7:$D$25)</f>
        <v>24360.494000000002</v>
      </c>
      <c r="E11" s="31">
        <f>SUMIF('TABLA 2'!$C$7:$C$25,B11,'TABLA 2'!$F$7:$F$25)</f>
        <v>12969</v>
      </c>
      <c r="F11" s="31">
        <f>SUMIF('TABLA 2'!$C$7:$C$25,B11,'TABLA 2'!$H$7:$H$25)</f>
        <v>11.65863</v>
      </c>
      <c r="G11" s="30">
        <v>0.01</v>
      </c>
      <c r="H11" s="30">
        <f>C11*G11</f>
        <v>0.04</v>
      </c>
      <c r="I11" s="31">
        <f>SUMIF('TABLA 3'!C$9:C$27,B11,'TABLA 3'!G$9:G$27)</f>
        <v>2422</v>
      </c>
      <c r="J11" s="31">
        <f t="shared" si="0"/>
        <v>4654.9450799999995</v>
      </c>
      <c r="K11" s="31">
        <f t="shared" si="1"/>
        <v>6206.5934400000006</v>
      </c>
      <c r="L11" s="31">
        <f>IF(F11=0,0,(M11-I11)*0.3)</f>
        <v>4654.9450799999995</v>
      </c>
      <c r="M11" s="31">
        <f>H11*M$13</f>
        <v>17938.4836</v>
      </c>
    </row>
    <row r="12" spans="1:13" s="1" customFormat="1" ht="12" customHeight="1" x14ac:dyDescent="0.2">
      <c r="A12" s="39"/>
      <c r="B12" s="15" t="s">
        <v>8</v>
      </c>
      <c r="C12" s="2">
        <f>COUNTIF('TABLA 3'!C$9:C$27,B12)</f>
        <v>3</v>
      </c>
      <c r="D12" s="31">
        <f>SUMIF('TABLA 2'!$C$7:$C$25,B12,'TABLA 2'!$D$7:$D$25)</f>
        <v>7471.4880000000003</v>
      </c>
      <c r="E12" s="31">
        <f>SUMIF('TABLA 2'!$C$7:$C$25,B12,'TABLA 2'!$F$7:$F$25)</f>
        <v>60</v>
      </c>
      <c r="F12" s="31">
        <f>SUMIF('TABLA 2'!$C$7:$C$25,B12,'TABLA 2'!$H$7:$H$25)</f>
        <v>0</v>
      </c>
      <c r="G12" s="40">
        <v>2.5000000000000001E-3</v>
      </c>
      <c r="H12" s="40">
        <f>C12*G12</f>
        <v>7.4999999999999997E-3</v>
      </c>
      <c r="I12" s="31">
        <f>SUMIF('TABLA 3'!C$9:C$27,B12,'TABLA 3'!G$9:G$27)</f>
        <v>1816.5</v>
      </c>
      <c r="J12" s="31">
        <f>IF(L12=0,(M12-I12)*0.43,(M12-I12)*0.3)</f>
        <v>665.19524024999976</v>
      </c>
      <c r="K12" s="31">
        <f>IF(L12=0,(M12-I12)*0.57,(M12-I12)*0.4)</f>
        <v>881.77043474999959</v>
      </c>
      <c r="L12" s="31">
        <f>IF(F12=0,0,(M12-I12)*0.3)</f>
        <v>0</v>
      </c>
      <c r="M12" s="41">
        <f>H12*M$13</f>
        <v>3363.4656749999995</v>
      </c>
    </row>
    <row r="13" spans="1:13" s="7" customFormat="1" ht="12" customHeight="1" x14ac:dyDescent="0.2">
      <c r="A13" s="42"/>
      <c r="B13" s="43" t="s">
        <v>10</v>
      </c>
      <c r="C13" s="42">
        <f>SUM(C9:C12)</f>
        <v>19</v>
      </c>
      <c r="D13" s="45">
        <f>SUM(D9:D12)</f>
        <v>117154.718671</v>
      </c>
      <c r="E13" s="45">
        <f>SUM(E9:E12)</f>
        <v>193906</v>
      </c>
      <c r="F13" s="45">
        <f>SUM(F9:F12)</f>
        <v>130182.80105000004</v>
      </c>
      <c r="G13" s="44"/>
      <c r="H13" s="44">
        <f>SUM(H9:H12)</f>
        <v>1</v>
      </c>
      <c r="I13" s="45">
        <f>SUM(I9:I12)</f>
        <v>11504.5</v>
      </c>
      <c r="J13" s="45">
        <f>SUM(J9:J12)</f>
        <v>131288.38253775</v>
      </c>
      <c r="K13" s="45">
        <f>SUM(K9:K12)</f>
        <v>175046.02016475002</v>
      </c>
      <c r="L13" s="45">
        <f>SUM(L9:L12)</f>
        <v>130623.1872975</v>
      </c>
      <c r="M13" s="45">
        <f>'TABLA 1 BUDGET-PRESUPUESTO'!D12</f>
        <v>448462.08999999997</v>
      </c>
    </row>
    <row r="14" spans="1:13" s="25" customFormat="1" ht="10.199999999999999" x14ac:dyDescent="0.2">
      <c r="B14" s="46"/>
      <c r="E14" s="27"/>
      <c r="F14" s="27"/>
      <c r="I14" s="27"/>
      <c r="K14" s="27"/>
      <c r="L14" s="27"/>
      <c r="M14" s="27"/>
    </row>
    <row r="15" spans="1:13" s="25" customFormat="1" ht="11.4" x14ac:dyDescent="0.2">
      <c r="A15" s="7" t="s">
        <v>126</v>
      </c>
      <c r="B15" s="46"/>
      <c r="E15" s="27"/>
      <c r="F15" s="27"/>
      <c r="I15" s="27"/>
      <c r="K15" s="27"/>
      <c r="L15" s="27"/>
      <c r="M15" s="27"/>
    </row>
    <row r="16" spans="1:13" s="25" customFormat="1" ht="10.199999999999999" x14ac:dyDescent="0.2">
      <c r="B16" s="46"/>
      <c r="E16" s="27"/>
      <c r="F16" s="27"/>
      <c r="I16" s="27"/>
      <c r="K16" s="27"/>
      <c r="L16" s="27"/>
      <c r="M16" s="27"/>
    </row>
    <row r="17" spans="2:13" s="25" customFormat="1" ht="10.199999999999999" x14ac:dyDescent="0.2">
      <c r="B17" s="46"/>
      <c r="E17" s="27"/>
      <c r="F17" s="27"/>
      <c r="I17" s="27"/>
      <c r="K17" s="27"/>
      <c r="L17" s="27"/>
      <c r="M17" s="27"/>
    </row>
    <row r="18" spans="2:13" s="25" customFormat="1" ht="10.199999999999999" x14ac:dyDescent="0.2">
      <c r="B18" s="46"/>
      <c r="E18" s="27"/>
      <c r="F18" s="27"/>
      <c r="I18" s="27"/>
      <c r="K18" s="27"/>
      <c r="L18" s="27"/>
      <c r="M18" s="27"/>
    </row>
    <row r="19" spans="2:13" s="25" customFormat="1" ht="10.199999999999999" x14ac:dyDescent="0.2">
      <c r="B19" s="46"/>
      <c r="E19" s="27"/>
      <c r="F19" s="27"/>
      <c r="I19" s="27"/>
      <c r="K19" s="27"/>
      <c r="L19" s="27"/>
      <c r="M19" s="27"/>
    </row>
    <row r="20" spans="2:13" s="25" customFormat="1" ht="10.199999999999999" x14ac:dyDescent="0.2">
      <c r="B20" s="46"/>
      <c r="E20" s="27"/>
      <c r="F20" s="27"/>
      <c r="I20" s="27"/>
      <c r="K20" s="27"/>
      <c r="L20" s="27"/>
      <c r="M20" s="27"/>
    </row>
    <row r="21" spans="2:13" s="25" customFormat="1" ht="10.199999999999999" x14ac:dyDescent="0.2">
      <c r="B21" s="46"/>
      <c r="E21" s="27"/>
      <c r="F21" s="27"/>
      <c r="I21" s="27"/>
      <c r="K21" s="27"/>
      <c r="L21" s="27"/>
      <c r="M21" s="27"/>
    </row>
    <row r="22" spans="2:13" s="25" customFormat="1" ht="10.199999999999999" x14ac:dyDescent="0.2">
      <c r="B22" s="46"/>
      <c r="E22" s="27"/>
      <c r="F22" s="27"/>
      <c r="I22" s="27"/>
      <c r="K22" s="27"/>
      <c r="L22" s="27"/>
      <c r="M22" s="27"/>
    </row>
    <row r="23" spans="2:13" s="25" customFormat="1" ht="10.199999999999999" x14ac:dyDescent="0.2">
      <c r="B23" s="46"/>
      <c r="E23" s="27"/>
      <c r="F23" s="27"/>
      <c r="I23" s="27"/>
      <c r="K23" s="27"/>
      <c r="L23" s="27"/>
      <c r="M23" s="27"/>
    </row>
    <row r="24" spans="2:13" s="25" customFormat="1" ht="10.199999999999999" x14ac:dyDescent="0.2">
      <c r="B24" s="46"/>
      <c r="E24" s="27"/>
      <c r="F24" s="27"/>
      <c r="I24" s="27"/>
      <c r="K24" s="27"/>
      <c r="L24" s="27"/>
      <c r="M24" s="27"/>
    </row>
    <row r="25" spans="2:13" s="25" customFormat="1" ht="10.199999999999999" x14ac:dyDescent="0.2">
      <c r="B25" s="46"/>
      <c r="E25" s="27"/>
      <c r="F25" s="27"/>
      <c r="I25" s="27"/>
      <c r="K25" s="27"/>
      <c r="L25" s="27"/>
      <c r="M25" s="27"/>
    </row>
    <row r="26" spans="2:13" s="25" customFormat="1" ht="10.199999999999999" x14ac:dyDescent="0.2">
      <c r="B26" s="46"/>
      <c r="E26" s="27"/>
      <c r="F26" s="27"/>
      <c r="I26" s="27"/>
      <c r="K26" s="27"/>
      <c r="L26" s="27"/>
      <c r="M26" s="27"/>
    </row>
    <row r="27" spans="2:13" s="25" customFormat="1" ht="10.199999999999999" x14ac:dyDescent="0.2">
      <c r="B27" s="46"/>
      <c r="E27" s="27"/>
      <c r="F27" s="27"/>
      <c r="I27" s="27"/>
      <c r="K27" s="27"/>
      <c r="L27" s="27"/>
      <c r="M27" s="27"/>
    </row>
    <row r="28" spans="2:13" s="25" customFormat="1" ht="10.199999999999999" x14ac:dyDescent="0.2">
      <c r="B28" s="46"/>
      <c r="E28" s="27"/>
      <c r="F28" s="27"/>
      <c r="I28" s="27"/>
      <c r="K28" s="27"/>
      <c r="L28" s="27"/>
      <c r="M28" s="27"/>
    </row>
  </sheetData>
  <mergeCells count="3">
    <mergeCell ref="A1:M1"/>
    <mergeCell ref="I5:I6"/>
    <mergeCell ref="I7:I8"/>
  </mergeCells>
  <phoneticPr fontId="0" type="noConversion"/>
  <printOptions horizontalCentered="1"/>
  <pageMargins left="0.78740157480314965" right="0.78740157480314965" top="0.31496062992125984" bottom="0.59055118110236227" header="0" footer="0.39370078740157483"/>
  <pageSetup paperSize="9" scale="89"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EAA8-6EC4-4A96-B37C-344094370429}">
  <dimension ref="A1:L75"/>
  <sheetViews>
    <sheetView showGridLines="0" zoomScale="115" zoomScaleNormal="115" workbookViewId="0">
      <selection activeCell="K3" sqref="K3"/>
    </sheetView>
  </sheetViews>
  <sheetFormatPr baseColWidth="10" defaultColWidth="11.44140625" defaultRowHeight="10.199999999999999" x14ac:dyDescent="0.2"/>
  <cols>
    <col min="1" max="1" width="1.109375" style="25" customWidth="1"/>
    <col min="2" max="2" width="21.5546875" style="25" customWidth="1"/>
    <col min="3" max="3" width="6.88671875" style="26" customWidth="1"/>
    <col min="4" max="4" width="10.5546875" style="26" customWidth="1"/>
    <col min="5" max="5" width="15.5546875" style="26" customWidth="1"/>
    <col min="6" max="6" width="10.5546875" style="25" customWidth="1"/>
    <col min="7" max="8" width="10.5546875" style="27" customWidth="1"/>
    <col min="9" max="9" width="12.109375" style="27" customWidth="1"/>
    <col min="10" max="11" width="10.5546875" style="27" customWidth="1"/>
    <col min="12" max="12" width="22.5546875" style="25" customWidth="1"/>
    <col min="13" max="16384" width="11.44140625" style="25"/>
  </cols>
  <sheetData>
    <row r="1" spans="1:12" ht="46.65" customHeight="1" x14ac:dyDescent="0.25">
      <c r="A1" s="126" t="s">
        <v>252</v>
      </c>
      <c r="B1" s="126"/>
      <c r="C1" s="126"/>
      <c r="D1" s="126"/>
      <c r="E1" s="126"/>
      <c r="F1" s="126"/>
      <c r="G1" s="126"/>
      <c r="H1" s="126"/>
      <c r="I1" s="126"/>
      <c r="J1" s="126"/>
      <c r="K1" s="126"/>
      <c r="L1" s="126"/>
    </row>
    <row r="2" spans="1:12" ht="12.9" customHeight="1" x14ac:dyDescent="0.25">
      <c r="A2" s="9"/>
      <c r="I2" s="28" t="s">
        <v>47</v>
      </c>
      <c r="J2" s="66">
        <f>1/0.865</f>
        <v>1.1560693641618498</v>
      </c>
      <c r="K2" s="5" t="s">
        <v>266</v>
      </c>
    </row>
    <row r="3" spans="1:12" s="7" customFormat="1" ht="12" customHeight="1" x14ac:dyDescent="0.2">
      <c r="A3" s="13"/>
      <c r="B3" s="85" t="s">
        <v>37</v>
      </c>
      <c r="C3" s="85"/>
      <c r="D3" s="85" t="s">
        <v>87</v>
      </c>
      <c r="E3" s="85" t="s">
        <v>90</v>
      </c>
      <c r="F3" s="85" t="s">
        <v>93</v>
      </c>
      <c r="G3" s="24" t="s">
        <v>98</v>
      </c>
      <c r="H3" s="24" t="s">
        <v>94</v>
      </c>
      <c r="I3" s="85" t="s">
        <v>88</v>
      </c>
      <c r="J3" s="85" t="s">
        <v>91</v>
      </c>
      <c r="K3" s="24" t="s">
        <v>6</v>
      </c>
      <c r="L3" s="85" t="s">
        <v>37</v>
      </c>
    </row>
    <row r="4" spans="1:12" s="7" customFormat="1" ht="12" customHeight="1" x14ac:dyDescent="0.2">
      <c r="A4" s="3"/>
      <c r="B4" s="15" t="s">
        <v>38</v>
      </c>
      <c r="C4" s="15" t="s">
        <v>72</v>
      </c>
      <c r="D4" s="15" t="s">
        <v>84</v>
      </c>
      <c r="E4" s="15" t="s">
        <v>89</v>
      </c>
      <c r="F4" s="15" t="s">
        <v>92</v>
      </c>
      <c r="G4" s="6" t="s">
        <v>104</v>
      </c>
      <c r="H4" s="6" t="s">
        <v>105</v>
      </c>
      <c r="I4" s="15" t="s">
        <v>106</v>
      </c>
      <c r="J4" s="15" t="s">
        <v>107</v>
      </c>
      <c r="K4" s="6" t="s">
        <v>76</v>
      </c>
      <c r="L4" s="15" t="s">
        <v>38</v>
      </c>
    </row>
    <row r="5" spans="1:12" s="7" customFormat="1" ht="12" customHeight="1" x14ac:dyDescent="0.2">
      <c r="A5" s="14"/>
      <c r="B5" s="37" t="s">
        <v>39</v>
      </c>
      <c r="C5" s="37"/>
      <c r="D5" s="127" t="s">
        <v>160</v>
      </c>
      <c r="E5" s="37" t="s">
        <v>161</v>
      </c>
      <c r="F5" s="37" t="s">
        <v>163</v>
      </c>
      <c r="G5" s="29" t="s">
        <v>165</v>
      </c>
      <c r="H5" s="29" t="s">
        <v>167</v>
      </c>
      <c r="I5" s="29" t="s">
        <v>169</v>
      </c>
      <c r="J5" s="29" t="s">
        <v>171</v>
      </c>
      <c r="K5" s="29" t="s">
        <v>6</v>
      </c>
      <c r="L5" s="37" t="s">
        <v>39</v>
      </c>
    </row>
    <row r="6" spans="1:12" s="7" customFormat="1" ht="12" customHeight="1" x14ac:dyDescent="0.2">
      <c r="A6" s="3"/>
      <c r="B6" s="15" t="s">
        <v>40</v>
      </c>
      <c r="C6" s="15" t="s">
        <v>73</v>
      </c>
      <c r="D6" s="128"/>
      <c r="E6" s="15" t="s">
        <v>162</v>
      </c>
      <c r="F6" s="15" t="s">
        <v>164</v>
      </c>
      <c r="G6" s="6" t="s">
        <v>166</v>
      </c>
      <c r="H6" s="6" t="s">
        <v>168</v>
      </c>
      <c r="I6" s="6" t="s">
        <v>170</v>
      </c>
      <c r="J6" s="6" t="s">
        <v>172</v>
      </c>
      <c r="K6" s="6" t="s">
        <v>220</v>
      </c>
      <c r="L6" s="15" t="s">
        <v>40</v>
      </c>
    </row>
    <row r="7" spans="1:12" s="7" customFormat="1" ht="12" customHeight="1" x14ac:dyDescent="0.2">
      <c r="A7" s="14"/>
      <c r="B7" s="37" t="s">
        <v>3</v>
      </c>
      <c r="C7" s="37"/>
      <c r="D7" s="37" t="s">
        <v>149</v>
      </c>
      <c r="E7" s="37" t="s">
        <v>137</v>
      </c>
      <c r="F7" s="37" t="s">
        <v>139</v>
      </c>
      <c r="G7" s="29" t="s">
        <v>148</v>
      </c>
      <c r="H7" s="29" t="s">
        <v>142</v>
      </c>
      <c r="I7" s="29" t="s">
        <v>144</v>
      </c>
      <c r="J7" s="29" t="s">
        <v>146</v>
      </c>
      <c r="K7" s="29" t="s">
        <v>6</v>
      </c>
      <c r="L7" s="37" t="s">
        <v>3</v>
      </c>
    </row>
    <row r="8" spans="1:12" s="7" customFormat="1" ht="12" customHeight="1" x14ac:dyDescent="0.2">
      <c r="A8" s="3"/>
      <c r="B8" s="15" t="s">
        <v>68</v>
      </c>
      <c r="C8" s="15" t="s">
        <v>74</v>
      </c>
      <c r="D8" s="15" t="s">
        <v>136</v>
      </c>
      <c r="E8" s="15" t="s">
        <v>138</v>
      </c>
      <c r="F8" s="15" t="s">
        <v>140</v>
      </c>
      <c r="G8" s="6" t="s">
        <v>141</v>
      </c>
      <c r="H8" s="6" t="s">
        <v>143</v>
      </c>
      <c r="I8" s="6" t="s">
        <v>145</v>
      </c>
      <c r="J8" s="6" t="s">
        <v>147</v>
      </c>
      <c r="K8" s="6" t="s">
        <v>153</v>
      </c>
      <c r="L8" s="15" t="s">
        <v>68</v>
      </c>
    </row>
    <row r="9" spans="1:12" s="7" customFormat="1" ht="10.5" customHeight="1" x14ac:dyDescent="0.2">
      <c r="A9" s="14"/>
      <c r="B9" s="17" t="str">
        <f>'TABLA 2'!B7</f>
        <v>Albania</v>
      </c>
      <c r="C9" s="4" t="str">
        <f>'TABLA 2'!C7</f>
        <v>A</v>
      </c>
      <c r="D9" s="30">
        <f>LOOKUP(B9,'TABLA 2'!$B$7:$B$25,'TABLA 2'!$E$7:$E$25)</f>
        <v>7.6403519952344392E-3</v>
      </c>
      <c r="E9" s="98">
        <f>LOOKUP(B9,'TABLA 2'!$B$7:$B$25,'TABLA 2'!$G$7:$G$25)</f>
        <v>1.4566805611581732E-4</v>
      </c>
      <c r="F9" s="30">
        <f>LOOKUP(B9,'TABLA 2'!$B$7:$B$25,'TABLA 2'!$I$7:$I$25)</f>
        <v>0</v>
      </c>
      <c r="G9" s="31">
        <f t="shared" ref="G9:G27" si="0">700/$J$2</f>
        <v>605.5</v>
      </c>
      <c r="H9" s="31">
        <f>LOOKUP(C9,'TABLA 6'!$B$9:$B$12,'TABLA 6'!$J$9:$J$12)*D9</f>
        <v>880.76222629700408</v>
      </c>
      <c r="I9" s="31">
        <f>LOOKUP(C9,'TABLA 6'!$B$9:$B$12,'TABLA 6'!$K$9:$K$12)*E9</f>
        <v>22.389705166280095</v>
      </c>
      <c r="J9" s="31">
        <f>LOOKUP(C9,'TABLA 6'!$B$9:$B$12,'TABLA 6'!$L$9:$L$12)*F9</f>
        <v>0</v>
      </c>
      <c r="K9" s="32">
        <f>SUM(G9:J9)</f>
        <v>1508.651931463284</v>
      </c>
      <c r="L9" s="18" t="str">
        <f>'TABLA 2'!B7</f>
        <v>Albania</v>
      </c>
    </row>
    <row r="10" spans="1:12" s="1" customFormat="1" ht="10.5" customHeight="1" x14ac:dyDescent="0.2">
      <c r="A10" s="2"/>
      <c r="B10" s="17" t="str">
        <f>'TABLA 2'!B8</f>
        <v>Algérie</v>
      </c>
      <c r="C10" s="4" t="str">
        <f>'TABLA 2'!C8</f>
        <v>C</v>
      </c>
      <c r="D10" s="30">
        <f>LOOKUP(B10,'TABLA 2'!$B$7:$B$25,'TABLA 2'!$E$7:$E$25)</f>
        <v>0.21772091321300788</v>
      </c>
      <c r="E10" s="98">
        <f>LOOKUP(B10,'TABLA 2'!$B$7:$B$25,'TABLA 2'!$G$7:$G$25)</f>
        <v>3.3927056827820186E-3</v>
      </c>
      <c r="F10" s="30">
        <f>LOOKUP(B10,'TABLA 2'!$B$7:$B$25,'TABLA 2'!$I$7:$I$25)</f>
        <v>0</v>
      </c>
      <c r="G10" s="31">
        <f t="shared" si="0"/>
        <v>605.5</v>
      </c>
      <c r="H10" s="31">
        <f>LOOKUP(C10,'TABLA 6'!$B$9:$B$12,'TABLA 6'!$J$9:$J$12)*D10</f>
        <v>1022.2936193911898</v>
      </c>
      <c r="I10" s="31">
        <f>LOOKUP(C10,'TABLA 6'!$B$9:$B$12,'TABLA 6'!$K$9:$K$12)*E10</f>
        <v>21.240289205089063</v>
      </c>
      <c r="J10" s="31">
        <f>LOOKUP(C10,'TABLA 6'!$B$9:$B$12,'TABLA 6'!$L$9:$L$12)*F10</f>
        <v>0</v>
      </c>
      <c r="K10" s="32">
        <f t="shared" ref="K10:K27" si="1">SUM(G10:J10)</f>
        <v>1649.0339085962789</v>
      </c>
      <c r="L10" s="18" t="str">
        <f>'TABLA 2'!B8</f>
        <v>Algérie</v>
      </c>
    </row>
    <row r="11" spans="1:12" s="1" customFormat="1" ht="10.5" customHeight="1" x14ac:dyDescent="0.2">
      <c r="A11" s="2"/>
      <c r="B11" s="17" t="str">
        <f>'TABLA 2'!B9</f>
        <v>Brazil</v>
      </c>
      <c r="C11" s="4" t="str">
        <f>'TABLA 2'!C9</f>
        <v>B</v>
      </c>
      <c r="D11" s="30">
        <f>LOOKUP(B11,'TABLA 2'!$B$7:$B$25,'TABLA 2'!$E$7:$E$25)</f>
        <v>6.149026074207185E-5</v>
      </c>
      <c r="E11" s="98">
        <f>LOOKUP(B11,'TABLA 2'!$B$7:$B$25,'TABLA 2'!$G$7:$G$25)</f>
        <v>0.14943491000418585</v>
      </c>
      <c r="F11" s="30">
        <f>LOOKUP(B11,'TABLA 2'!$B$7:$B$25,'TABLA 2'!$I$7:$I$25)</f>
        <v>0.24499191929546907</v>
      </c>
      <c r="G11" s="31">
        <f t="shared" si="0"/>
        <v>605.5</v>
      </c>
      <c r="H11" s="31">
        <f>LOOKUP(C11,'TABLA 6'!$B$9:$B$12,'TABLA 6'!$J$9:$J$12)*D11</f>
        <v>0.71664566710107491</v>
      </c>
      <c r="I11" s="31">
        <f>LOOKUP(C11,'TABLA 6'!$B$9:$B$12,'TABLA 6'!$K$9:$K$12)*E11</f>
        <v>2322.1429318126411</v>
      </c>
      <c r="J11" s="31">
        <f>LOOKUP(C11,'TABLA 6'!$B$9:$B$12,'TABLA 6'!$L$9:$L$12)*F11</f>
        <v>2855.2878995640181</v>
      </c>
      <c r="K11" s="32">
        <f t="shared" si="1"/>
        <v>5783.6474770437599</v>
      </c>
      <c r="L11" s="18" t="str">
        <f>'TABLA 2'!B9</f>
        <v>Brazil</v>
      </c>
    </row>
    <row r="12" spans="1:12" s="1" customFormat="1" ht="10.5" customHeight="1" x14ac:dyDescent="0.2">
      <c r="A12" s="2"/>
      <c r="B12" s="17" t="str">
        <f>'TABLA 2'!B10</f>
        <v>Canada</v>
      </c>
      <c r="C12" s="4" t="str">
        <f>'TABLA 2'!C10</f>
        <v>A</v>
      </c>
      <c r="D12" s="30">
        <f>LOOKUP(B12,'TABLA 2'!$B$7:$B$25,'TABLA 2'!$E$7:$E$25)</f>
        <v>2.4277507401958467E-2</v>
      </c>
      <c r="E12" s="98">
        <f>LOOKUP(B12,'TABLA 2'!$B$7:$B$25,'TABLA 2'!$G$7:$G$25)</f>
        <v>2.5889695665815071E-2</v>
      </c>
      <c r="F12" s="30">
        <f>LOOKUP(B12,'TABLA 2'!$B$7:$B$25,'TABLA 2'!$I$7:$I$25)</f>
        <v>4.6451103283216865E-4</v>
      </c>
      <c r="G12" s="31">
        <f t="shared" si="0"/>
        <v>605.5</v>
      </c>
      <c r="H12" s="31">
        <f>LOOKUP(C12,'TABLA 6'!$B$9:$B$12,'TABLA 6'!$J$9:$J$12)*D12</f>
        <v>2798.6552820639804</v>
      </c>
      <c r="I12" s="31">
        <f>LOOKUP(C12,'TABLA 6'!$B$9:$B$12,'TABLA 6'!$K$9:$K$12)*E12</f>
        <v>3979.3395220530888</v>
      </c>
      <c r="J12" s="31">
        <f>LOOKUP(C12,'TABLA 6'!$B$9:$B$12,'TABLA 6'!$L$9:$L$12)*F12</f>
        <v>53.54776477208992</v>
      </c>
      <c r="K12" s="32">
        <f t="shared" si="1"/>
        <v>7437.0425688891592</v>
      </c>
      <c r="L12" s="18" t="str">
        <f>'TABLA 2'!B10</f>
        <v>Canada</v>
      </c>
    </row>
    <row r="13" spans="1:12" s="1" customFormat="1" ht="10.5" customHeight="1" x14ac:dyDescent="0.2">
      <c r="A13" s="2"/>
      <c r="B13" s="17" t="str">
        <f>'TABLA 2'!B11</f>
        <v>China, People's Rep. of</v>
      </c>
      <c r="C13" s="4" t="str">
        <f>'TABLA 2'!C11</f>
        <v>B</v>
      </c>
      <c r="D13" s="30">
        <f>LOOKUP(B13,'TABLA 2'!$B$7:$B$25,'TABLA 2'!$E$7:$E$25)</f>
        <v>3.5503246747257446E-2</v>
      </c>
      <c r="E13" s="98">
        <f>LOOKUP(B13,'TABLA 2'!$B$7:$B$25,'TABLA 2'!$G$7:$G$25)</f>
        <v>0.29384679782335704</v>
      </c>
      <c r="F13" s="30">
        <f>LOOKUP(B13,'TABLA 2'!$B$7:$B$25,'TABLA 2'!$I$7:$I$25)</f>
        <v>0.75500808070453096</v>
      </c>
      <c r="G13" s="31">
        <f t="shared" si="0"/>
        <v>605.5</v>
      </c>
      <c r="H13" s="31">
        <f>LOOKUP(C13,'TABLA 6'!$B$9:$B$12,'TABLA 6'!$J$9:$J$12)*D13</f>
        <v>413.77687527081861</v>
      </c>
      <c r="I13" s="31">
        <f>LOOKUP(C13,'TABLA 6'!$B$9:$B$12,'TABLA 6'!$K$9:$K$12)*E13</f>
        <v>4566.2306390265376</v>
      </c>
      <c r="J13" s="31">
        <f>LOOKUP(C13,'TABLA 6'!$B$9:$B$12,'TABLA 6'!$L$9:$L$12)*F13</f>
        <v>8799.3328233359807</v>
      </c>
      <c r="K13" s="32">
        <f t="shared" si="1"/>
        <v>14384.840337633337</v>
      </c>
      <c r="L13" s="18" t="str">
        <f>'TABLA 2'!B11</f>
        <v>China, People's Rep. of</v>
      </c>
    </row>
    <row r="14" spans="1:12" s="1" customFormat="1" ht="10.5" customHeight="1" x14ac:dyDescent="0.2">
      <c r="A14" s="2"/>
      <c r="B14" s="17" t="str">
        <f>'TABLA 2'!B12</f>
        <v>Egypt</v>
      </c>
      <c r="C14" s="4" t="str">
        <f>'TABLA 2'!C12</f>
        <v>D</v>
      </c>
      <c r="D14" s="30">
        <f>LOOKUP(B14,'TABLA 2'!$B$7:$B$25,'TABLA 2'!$E$7:$E$25)</f>
        <v>5.2692716631546482E-2</v>
      </c>
      <c r="E14" s="98">
        <f>LOOKUP(B14,'TABLA 2'!$B$7:$B$25,'TABLA 2'!$G$7:$G$25)</f>
        <v>0.18333333333333332</v>
      </c>
      <c r="F14" s="30">
        <f>LOOKUP(B14,'TABLA 2'!$B$7:$B$25,'TABLA 2'!$I$7:$I$25)</f>
        <v>0</v>
      </c>
      <c r="G14" s="31">
        <f t="shared" si="0"/>
        <v>605.5</v>
      </c>
      <c r="H14" s="31">
        <f>LOOKUP(C14,'TABLA 6'!$B$9:$B$12,'TABLA 6'!$J$9:$J$12)*D14</f>
        <v>35.624278320782352</v>
      </c>
      <c r="I14" s="31">
        <f>LOOKUP(C14,'TABLA 6'!$B$9:$B$12,'TABLA 6'!$K$9:$K$12)*E14</f>
        <v>164.30217792862496</v>
      </c>
      <c r="J14" s="31">
        <f>LOOKUP(C14,'TABLA 6'!$B$9:$B$12,'TABLA 6'!$L$9:$L$12)*F14</f>
        <v>0</v>
      </c>
      <c r="K14" s="32">
        <f t="shared" si="1"/>
        <v>805.42645624940724</v>
      </c>
      <c r="L14" s="18" t="str">
        <f>'TABLA 2'!B12</f>
        <v>Egypt</v>
      </c>
    </row>
    <row r="15" spans="1:12" s="1" customFormat="1" ht="10.5" customHeight="1" x14ac:dyDescent="0.2">
      <c r="A15" s="2"/>
      <c r="B15" s="17" t="str">
        <f>'TABLA 2'!B13</f>
        <v>Iceland</v>
      </c>
      <c r="C15" s="4" t="str">
        <f>'TABLA 2'!C13</f>
        <v>A</v>
      </c>
      <c r="D15" s="30">
        <f>LOOKUP(B15,'TABLA 2'!$B$7:$B$25,'TABLA 2'!$E$7:$E$25)</f>
        <v>1.8266291199938448E-5</v>
      </c>
      <c r="E15" s="98">
        <f>LOOKUP(B15,'TABLA 2'!$B$7:$B$25,'TABLA 2'!$G$7:$G$25)</f>
        <v>2.3530993680247412E-4</v>
      </c>
      <c r="F15" s="30">
        <f>LOOKUP(B15,'TABLA 2'!$B$7:$B$25,'TABLA 2'!$I$7:$I$25)</f>
        <v>6.1588946127226817E-6</v>
      </c>
      <c r="G15" s="31">
        <f t="shared" si="0"/>
        <v>605.5</v>
      </c>
      <c r="H15" s="31">
        <f>LOOKUP(C15,'TABLA 6'!$B$9:$B$12,'TABLA 6'!$J$9:$J$12)*D15</f>
        <v>2.1056960874946578</v>
      </c>
      <c r="I15" s="31">
        <f>LOOKUP(C15,'TABLA 6'!$B$9:$B$12,'TABLA 6'!$K$9:$K$12)*E15</f>
        <v>36.167985268606301</v>
      </c>
      <c r="J15" s="31">
        <f>LOOKUP(C15,'TABLA 6'!$B$9:$B$12,'TABLA 6'!$L$9:$L$12)*F15</f>
        <v>0.70998322250253942</v>
      </c>
      <c r="K15" s="32">
        <f t="shared" si="1"/>
        <v>644.48366457860345</v>
      </c>
      <c r="L15" s="18" t="str">
        <f>'TABLA 2'!B13</f>
        <v>Iceland</v>
      </c>
    </row>
    <row r="16" spans="1:12" s="1" customFormat="1" ht="10.5" customHeight="1" x14ac:dyDescent="0.2">
      <c r="A16" s="2"/>
      <c r="B16" s="17" t="str">
        <f>'TABLA 2'!B14</f>
        <v>Japan</v>
      </c>
      <c r="C16" s="4" t="str">
        <f>'TABLA 2'!C14</f>
        <v>A</v>
      </c>
      <c r="D16" s="30">
        <f>LOOKUP(B16,'TABLA 2'!$B$7:$B$25,'TABLA 2'!$E$7:$E$25)</f>
        <v>0.13513544732695454</v>
      </c>
      <c r="E16" s="98">
        <f>LOOKUP(B16,'TABLA 2'!$B$7:$B$25,'TABLA 2'!$G$7:$G$25)</f>
        <v>6.1696024382591544E-2</v>
      </c>
      <c r="F16" s="30">
        <f>LOOKUP(B16,'TABLA 2'!$B$7:$B$25,'TABLA 2'!$I$7:$I$25)</f>
        <v>0.7229487596835632</v>
      </c>
      <c r="G16" s="31">
        <f t="shared" si="0"/>
        <v>605.5</v>
      </c>
      <c r="H16" s="31">
        <f>LOOKUP(C16,'TABLA 6'!$B$9:$B$12,'TABLA 6'!$J$9:$J$12)*D16</f>
        <v>15578.103929448331</v>
      </c>
      <c r="I16" s="31">
        <f>LOOKUP(C16,'TABLA 6'!$B$9:$B$12,'TABLA 6'!$K$9:$K$12)*E16</f>
        <v>9482.9012804260146</v>
      </c>
      <c r="J16" s="31">
        <f>LOOKUP(C16,'TABLA 6'!$B$9:$B$12,'TABLA 6'!$L$9:$L$12)*F16</f>
        <v>83339.872230325796</v>
      </c>
      <c r="K16" s="32">
        <f t="shared" si="1"/>
        <v>109006.37744020014</v>
      </c>
      <c r="L16" s="18" t="str">
        <f>'TABLA 2'!B14</f>
        <v>Japan</v>
      </c>
    </row>
    <row r="17" spans="1:12" s="1" customFormat="1" ht="10.5" customHeight="1" x14ac:dyDescent="0.2">
      <c r="A17" s="2"/>
      <c r="B17" s="17" t="str">
        <f>'TABLA 2'!B15</f>
        <v>Korea, Rep. of</v>
      </c>
      <c r="C17" s="4" t="str">
        <f>'TABLA 2'!C15</f>
        <v>A</v>
      </c>
      <c r="D17" s="30">
        <f>LOOKUP(B17,'TABLA 2'!$B$7:$B$25,'TABLA 2'!$E$7:$E$25)</f>
        <v>9.9502058737139867E-3</v>
      </c>
      <c r="E17" s="98">
        <f>LOOKUP(B17,'TABLA 2'!$B$7:$B$25,'TABLA 2'!$G$7:$G$25)</f>
        <v>2.364864864864865E-2</v>
      </c>
      <c r="F17" s="30">
        <f>LOOKUP(B17,'TABLA 2'!$B$7:$B$25,'TABLA 2'!$I$7:$I$25)</f>
        <v>9.0885268951193143E-2</v>
      </c>
      <c r="G17" s="31">
        <f t="shared" si="0"/>
        <v>605.5</v>
      </c>
      <c r="H17" s="31">
        <f>LOOKUP(C17,'TABLA 6'!$B$9:$B$12,'TABLA 6'!$J$9:$J$12)*D17</f>
        <v>1147.0368751220012</v>
      </c>
      <c r="I17" s="31">
        <f>LOOKUP(C17,'TABLA 6'!$B$9:$B$12,'TABLA 6'!$K$9:$K$12)*E17</f>
        <v>3634.8825194949336</v>
      </c>
      <c r="J17" s="31">
        <f>LOOKUP(C17,'TABLA 6'!$B$9:$B$12,'TABLA 6'!$L$9:$L$12)*F17</f>
        <v>10477.045019520547</v>
      </c>
      <c r="K17" s="32">
        <f t="shared" si="1"/>
        <v>15864.464414137481</v>
      </c>
      <c r="L17" s="18" t="str">
        <f>'TABLA 2'!B15</f>
        <v>Korea, Rep. of</v>
      </c>
    </row>
    <row r="18" spans="1:12" s="1" customFormat="1" ht="10.5" customHeight="1" x14ac:dyDescent="0.2">
      <c r="A18" s="2"/>
      <c r="B18" s="17" t="str">
        <f>'TABLA 2'!B16</f>
        <v>Libya</v>
      </c>
      <c r="C18" s="4" t="str">
        <f>'TABLA 2'!C16</f>
        <v>D</v>
      </c>
      <c r="D18" s="30">
        <f>LOOKUP(B18,'TABLA 2'!$B$7:$B$25,'TABLA 2'!$E$7:$E$25)</f>
        <v>0.93670698527522234</v>
      </c>
      <c r="E18" s="98">
        <f>LOOKUP(B18,'TABLA 2'!$B$7:$B$25,'TABLA 2'!$G$7:$G$25)</f>
        <v>0.8</v>
      </c>
      <c r="F18" s="30">
        <f>LOOKUP(B18,'TABLA 2'!$B$7:$B$25,'TABLA 2'!$I$7:$I$25)</f>
        <v>0</v>
      </c>
      <c r="G18" s="31">
        <f t="shared" si="0"/>
        <v>605.5</v>
      </c>
      <c r="H18" s="31">
        <f>LOOKUP(C18,'TABLA 6'!$B$9:$B$12,'TABLA 6'!$J$9:$J$12)*D18</f>
        <v>633.28506256000446</v>
      </c>
      <c r="I18" s="31">
        <f>LOOKUP(C18,'TABLA 6'!$B$9:$B$12,'TABLA 6'!$K$9:$K$12)*E18</f>
        <v>716.95495823399995</v>
      </c>
      <c r="J18" s="31">
        <f>LOOKUP(C18,'TABLA 6'!$B$9:$B$12,'TABLA 6'!$L$9:$L$12)*F18</f>
        <v>0</v>
      </c>
      <c r="K18" s="32">
        <f t="shared" si="1"/>
        <v>1955.7400207940045</v>
      </c>
      <c r="L18" s="18" t="str">
        <f>'TABLA 2'!B16</f>
        <v>Libya</v>
      </c>
    </row>
    <row r="19" spans="1:12" s="1" customFormat="1" ht="10.5" customHeight="1" x14ac:dyDescent="0.2">
      <c r="A19" s="2"/>
      <c r="B19" s="17" t="str">
        <f>'TABLA 2'!B17</f>
        <v>Maroc</v>
      </c>
      <c r="C19" s="4" t="str">
        <f>'TABLA 2'!C17</f>
        <v>C</v>
      </c>
      <c r="D19" s="30">
        <f>LOOKUP(B19,'TABLA 2'!$B$7:$B$25,'TABLA 2'!$E$7:$E$25)</f>
        <v>0.43198261907168223</v>
      </c>
      <c r="E19" s="98">
        <f>LOOKUP(B19,'TABLA 2'!$B$7:$B$25,'TABLA 2'!$G$7:$G$25)</f>
        <v>0.93985658107795511</v>
      </c>
      <c r="F19" s="30">
        <f>LOOKUP(B19,'TABLA 2'!$B$7:$B$25,'TABLA 2'!$I$7:$I$25)</f>
        <v>0.19759011135956797</v>
      </c>
      <c r="G19" s="31">
        <f t="shared" si="0"/>
        <v>605.5</v>
      </c>
      <c r="H19" s="31">
        <f>LOOKUP(C19,'TABLA 6'!$B$9:$B$12,'TABLA 6'!$J$9:$J$12)*D19</f>
        <v>2028.3447678396526</v>
      </c>
      <c r="I19" s="31">
        <f>LOOKUP(C19,'TABLA 6'!$B$9:$B$12,'TABLA 6'!$K$9:$K$12)*E19</f>
        <v>5884.0428436552402</v>
      </c>
      <c r="J19" s="31">
        <f>LOOKUP(C19,'TABLA 6'!$B$9:$B$12,'TABLA 6'!$L$9:$L$12)*F19</f>
        <v>927.77081960913188</v>
      </c>
      <c r="K19" s="32">
        <f t="shared" si="1"/>
        <v>9445.6584311040242</v>
      </c>
      <c r="L19" s="18" t="str">
        <f>'TABLA 2'!B17</f>
        <v>Maroc</v>
      </c>
    </row>
    <row r="20" spans="1:12" s="1" customFormat="1" ht="10.5" customHeight="1" x14ac:dyDescent="0.2">
      <c r="A20" s="2"/>
      <c r="B20" s="17" t="str">
        <f>'TABLA 2'!B18</f>
        <v>Mexico</v>
      </c>
      <c r="C20" s="4" t="str">
        <f>'TABLA 2'!C18</f>
        <v>C</v>
      </c>
      <c r="D20" s="30">
        <f>LOOKUP(B20,'TABLA 2'!$B$7:$B$25,'TABLA 2'!$E$7:$E$25)</f>
        <v>6.6090613761773465E-3</v>
      </c>
      <c r="E20" s="98">
        <f>LOOKUP(B20,'TABLA 2'!$B$7:$B$25,'TABLA 2'!$G$7:$G$25)</f>
        <v>7.8649086282674072E-3</v>
      </c>
      <c r="F20" s="30">
        <f>LOOKUP(B20,'TABLA 2'!$B$7:$B$25,'TABLA 2'!$I$7:$I$25)</f>
        <v>0.80240988864043206</v>
      </c>
      <c r="G20" s="31">
        <f t="shared" si="0"/>
        <v>605.5</v>
      </c>
      <c r="H20" s="31">
        <f>LOOKUP(C20,'TABLA 6'!$B$9:$B$12,'TABLA 6'!$J$9:$J$12)*D20</f>
        <v>31.032394524363916</v>
      </c>
      <c r="I20" s="31">
        <f>LOOKUP(C20,'TABLA 6'!$B$9:$B$12,'TABLA 6'!$K$9:$K$12)*E20</f>
        <v>49.23885224816101</v>
      </c>
      <c r="J20" s="31">
        <f>LOOKUP(C20,'TABLA 6'!$B$9:$B$12,'TABLA 6'!$L$9:$L$12)*F20</f>
        <v>3767.660612790869</v>
      </c>
      <c r="K20" s="32">
        <f t="shared" si="1"/>
        <v>4453.431859563394</v>
      </c>
      <c r="L20" s="18" t="str">
        <f>'TABLA 2'!B18</f>
        <v>Mexico</v>
      </c>
    </row>
    <row r="21" spans="1:12" s="1" customFormat="1" ht="10.5" customHeight="1" x14ac:dyDescent="0.2">
      <c r="A21" s="2"/>
      <c r="B21" s="17" t="str">
        <f>'TABLA 2'!B19</f>
        <v>Norway</v>
      </c>
      <c r="C21" s="4" t="str">
        <f>'TABLA 2'!C19</f>
        <v>A</v>
      </c>
      <c r="D21" s="30">
        <f>LOOKUP(B21,'TABLA 2'!$B$7:$B$25,'TABLA 2'!$E$7:$E$25)</f>
        <v>5.1597738454067258E-3</v>
      </c>
      <c r="E21" s="98">
        <f>LOOKUP(B21,'TABLA 2'!$B$7:$B$25,'TABLA 2'!$G$7:$G$25)</f>
        <v>1.456680561158173E-3</v>
      </c>
      <c r="F21" s="30">
        <f>LOOKUP(B21,'TABLA 2'!$B$7:$B$25,'TABLA 2'!$I$7:$I$25)</f>
        <v>2.1170917912913348E-4</v>
      </c>
      <c r="G21" s="31">
        <f t="shared" si="0"/>
        <v>605.5</v>
      </c>
      <c r="H21" s="31">
        <f>LOOKUP(C21,'TABLA 6'!$B$9:$B$12,'TABLA 6'!$J$9:$J$12)*D21</f>
        <v>594.80687566542349</v>
      </c>
      <c r="I21" s="31">
        <f>LOOKUP(C21,'TABLA 6'!$B$9:$B$12,'TABLA 6'!$K$9:$K$12)*E21</f>
        <v>223.89705166280092</v>
      </c>
      <c r="J21" s="31">
        <f>LOOKUP(C21,'TABLA 6'!$B$9:$B$12,'TABLA 6'!$L$9:$L$12)*F21</f>
        <v>24.405347823450022</v>
      </c>
      <c r="K21" s="32">
        <f t="shared" si="1"/>
        <v>1448.6092751516744</v>
      </c>
      <c r="L21" s="18" t="str">
        <f>'TABLA 2'!B19</f>
        <v>Norway</v>
      </c>
    </row>
    <row r="22" spans="1:12" s="1" customFormat="1" ht="10.5" customHeight="1" x14ac:dyDescent="0.2">
      <c r="A22" s="2"/>
      <c r="B22" s="17" t="str">
        <f>'TABLA 2'!B20</f>
        <v>Syrian Arab Republic</v>
      </c>
      <c r="C22" s="4" t="str">
        <f>'TABLA 2'!C20</f>
        <v>D</v>
      </c>
      <c r="D22" s="30">
        <f>LOOKUP(B22,'TABLA 2'!$B$7:$B$25,'TABLA 2'!$E$7:$E$25)</f>
        <v>1.0600298093231228E-2</v>
      </c>
      <c r="E22" s="98">
        <f>LOOKUP(B22,'TABLA 2'!$B$7:$B$25,'TABLA 2'!$G$7:$G$25)</f>
        <v>1.6666666666666666E-2</v>
      </c>
      <c r="F22" s="30">
        <f>LOOKUP(B22,'TABLA 2'!$B$7:$B$25,'TABLA 2'!$I$7:$I$25)</f>
        <v>0</v>
      </c>
      <c r="G22" s="31">
        <f t="shared" si="0"/>
        <v>605.5</v>
      </c>
      <c r="H22" s="31">
        <f>LOOKUP(C22,'TABLA 6'!$B$9:$B$12,'TABLA 6'!$J$9:$J$12)*D22</f>
        <v>7.1666065767132325</v>
      </c>
      <c r="I22" s="31">
        <f>LOOKUP(C22,'TABLA 6'!$B$9:$B$12,'TABLA 6'!$K$9:$K$12)*E22</f>
        <v>14.936561629874998</v>
      </c>
      <c r="J22" s="31">
        <f>LOOKUP(C22,'TABLA 6'!$B$9:$B$12,'TABLA 6'!$L$9:$L$12)*F22</f>
        <v>0</v>
      </c>
      <c r="K22" s="32">
        <f t="shared" si="1"/>
        <v>627.60316820658818</v>
      </c>
      <c r="L22" s="18" t="str">
        <f>'TABLA 2'!B20</f>
        <v>Syrian Arab Republic</v>
      </c>
    </row>
    <row r="23" spans="1:12" s="1" customFormat="1" ht="10.5" customHeight="1" x14ac:dyDescent="0.2">
      <c r="A23" s="2"/>
      <c r="B23" s="17" t="str">
        <f>'TABLA 2'!B21</f>
        <v>Tunisie</v>
      </c>
      <c r="C23" s="4" t="str">
        <f>'TABLA 2'!C21</f>
        <v>C</v>
      </c>
      <c r="D23" s="30">
        <f>LOOKUP(B23,'TABLA 2'!$B$7:$B$25,'TABLA 2'!$E$7:$E$25)</f>
        <v>0.34368740633913253</v>
      </c>
      <c r="E23" s="98">
        <f>LOOKUP(B23,'TABLA 2'!$B$7:$B$25,'TABLA 2'!$G$7:$G$25)</f>
        <v>4.8885804610995454E-2</v>
      </c>
      <c r="F23" s="30">
        <f>LOOKUP(B23,'TABLA 2'!$B$7:$B$25,'TABLA 2'!$I$7:$I$25)</f>
        <v>0</v>
      </c>
      <c r="G23" s="31">
        <f t="shared" si="0"/>
        <v>605.5</v>
      </c>
      <c r="H23" s="31">
        <f>LOOKUP(C23,'TABLA 6'!$B$9:$B$12,'TABLA 6'!$J$9:$J$12)*D23</f>
        <v>1613.7606506447942</v>
      </c>
      <c r="I23" s="31">
        <f>LOOKUP(C23,'TABLA 6'!$B$9:$B$12,'TABLA 6'!$K$9:$K$12)*E23</f>
        <v>306.0532580915106</v>
      </c>
      <c r="J23" s="31">
        <f>LOOKUP(C23,'TABLA 6'!$B$9:$B$12,'TABLA 6'!$L$9:$L$12)*F23</f>
        <v>0</v>
      </c>
      <c r="K23" s="32">
        <f t="shared" si="1"/>
        <v>2525.3139087363047</v>
      </c>
      <c r="L23" s="18" t="str">
        <f>'TABLA 2'!B21</f>
        <v>Tunisie</v>
      </c>
    </row>
    <row r="24" spans="1:12" s="1" customFormat="1" ht="10.5" customHeight="1" x14ac:dyDescent="0.2">
      <c r="A24" s="2"/>
      <c r="B24" s="17" t="str">
        <f>'TABLA 2'!B22</f>
        <v>Türkiye</v>
      </c>
      <c r="C24" s="4" t="str">
        <f>'TABLA 2'!C22</f>
        <v>B</v>
      </c>
      <c r="D24" s="30">
        <f>LOOKUP(B24,'TABLA 2'!$B$7:$B$25,'TABLA 2'!$E$7:$E$25)</f>
        <v>0.96443526299200055</v>
      </c>
      <c r="E24" s="98">
        <f>LOOKUP(B24,'TABLA 2'!$B$7:$B$25,'TABLA 2'!$G$7:$G$25)</f>
        <v>0.55671829217245705</v>
      </c>
      <c r="F24" s="30">
        <f>LOOKUP(B24,'TABLA 2'!$B$7:$B$25,'TABLA 2'!$I$7:$I$25)</f>
        <v>0</v>
      </c>
      <c r="G24" s="31">
        <f t="shared" si="0"/>
        <v>605.5</v>
      </c>
      <c r="H24" s="31">
        <f>LOOKUP(C24,'TABLA 6'!$B$9:$B$12,'TABLA 6'!$J$9:$J$12)*D24</f>
        <v>11240.127201962081</v>
      </c>
      <c r="I24" s="31">
        <f>LOOKUP(C24,'TABLA 6'!$B$9:$B$12,'TABLA 6'!$K$9:$K$12)*E24</f>
        <v>8651.1207263608194</v>
      </c>
      <c r="J24" s="31">
        <f>LOOKUP(C24,'TABLA 6'!$B$9:$B$12,'TABLA 6'!$L$9:$L$12)*F24</f>
        <v>0</v>
      </c>
      <c r="K24" s="32">
        <f t="shared" si="1"/>
        <v>20496.7479283229</v>
      </c>
      <c r="L24" s="18" t="str">
        <f>'TABLA 2'!B22</f>
        <v>Türkiye</v>
      </c>
    </row>
    <row r="25" spans="1:12" s="1" customFormat="1" ht="10.5" customHeight="1" x14ac:dyDescent="0.2">
      <c r="A25" s="2"/>
      <c r="B25" s="17" t="str">
        <f>'TABLA 2'!B23</f>
        <v>Union Européenne</v>
      </c>
      <c r="C25" s="4" t="str">
        <f>'TABLA 2'!C23</f>
        <v>A</v>
      </c>
      <c r="D25" s="30">
        <f>LOOKUP(B25,'TABLA 2'!$B$7:$B$25,'TABLA 2'!$E$7:$E$25)</f>
        <v>0.76716862568621003</v>
      </c>
      <c r="E25" s="98">
        <f>LOOKUP(B25,'TABLA 2'!$B$7:$B$25,'TABLA 2'!$G$7:$G$25)</f>
        <v>0.8009558065528215</v>
      </c>
      <c r="F25" s="30">
        <f>LOOKUP(B25,'TABLA 2'!$B$7:$B$25,'TABLA 2'!$I$7:$I$25)</f>
        <v>0.15050751052966829</v>
      </c>
      <c r="G25" s="31">
        <f t="shared" si="0"/>
        <v>605.5</v>
      </c>
      <c r="H25" s="31">
        <f>LOOKUP(C25,'TABLA 6'!$B$9:$B$12,'TABLA 6'!$J$9:$J$12)*D25</f>
        <v>88437.436799515694</v>
      </c>
      <c r="I25" s="31">
        <f>LOOKUP(C25,'TABLA 6'!$B$9:$B$12,'TABLA 6'!$K$9:$K$12)*E25</f>
        <v>123109.79385679109</v>
      </c>
      <c r="J25" s="31">
        <f>LOOKUP(C25,'TABLA 6'!$B$9:$B$12,'TABLA 6'!$L$9:$L$12)*F25</f>
        <v>17350.160062155996</v>
      </c>
      <c r="K25" s="32">
        <f t="shared" si="1"/>
        <v>229502.89071846279</v>
      </c>
      <c r="L25" s="18" t="str">
        <f>'TABLA 2'!B23</f>
        <v>Union Européenne</v>
      </c>
    </row>
    <row r="26" spans="1:12" s="1" customFormat="1" ht="21" customHeight="1" x14ac:dyDescent="0.2">
      <c r="A26" s="2"/>
      <c r="B26" s="115" t="str">
        <f>'TABLA 2'!B24</f>
        <v xml:space="preserve">United Kingdom of Great Britain and Northern Ireland </v>
      </c>
      <c r="C26" s="4" t="str">
        <f>'TABLA 2'!C24</f>
        <v>A</v>
      </c>
      <c r="D26" s="30">
        <f>LOOKUP(B26,'TABLA 2'!$B$7:$B$25,'TABLA 2'!$E$7:$E$25)</f>
        <v>4.0016132544319052E-4</v>
      </c>
      <c r="E26" s="98">
        <f>LOOKUP(B26,'TABLA 2'!$B$7:$B$25,'TABLA 2'!$G$7:$G$25)</f>
        <v>1.1507776433149567E-2</v>
      </c>
      <c r="F26" s="30">
        <f>LOOKUP(B26,'TABLA 2'!$B$7:$B$25,'TABLA 2'!$I$7:$I$25)</f>
        <v>5.0151078473414283E-3</v>
      </c>
      <c r="G26" s="31">
        <f t="shared" si="0"/>
        <v>605.5</v>
      </c>
      <c r="H26" s="31">
        <f>LOOKUP(C26,'TABLA 6'!$B$9:$B$12,'TABLA 6'!$J$9:$J$12)*D26</f>
        <v>46.129678330937928</v>
      </c>
      <c r="I26" s="31">
        <f>LOOKUP(C26,'TABLA 6'!$B$9:$B$12,'TABLA 6'!$K$9:$K$12)*E26</f>
        <v>1768.7867081361273</v>
      </c>
      <c r="J26" s="31">
        <f>LOOKUP(C26,'TABLA 6'!$B$9:$B$12,'TABLA 6'!$L$9:$L$12)*F26</f>
        <v>578.13011174081066</v>
      </c>
      <c r="K26" s="32">
        <f t="shared" si="1"/>
        <v>2998.5464982078761</v>
      </c>
      <c r="L26" s="110" t="str">
        <f>'TABLA 2'!B24</f>
        <v xml:space="preserve">United Kingdom of Great Britain and Northern Ireland </v>
      </c>
    </row>
    <row r="27" spans="1:12" s="1" customFormat="1" ht="10.5" customHeight="1" x14ac:dyDescent="0.2">
      <c r="A27" s="2"/>
      <c r="B27" s="17" t="str">
        <f>'TABLA 2'!B25</f>
        <v>United States</v>
      </c>
      <c r="C27" s="4" t="str">
        <f>'TABLA 2'!C25</f>
        <v>A</v>
      </c>
      <c r="D27" s="30">
        <f>LOOKUP(B27,'TABLA 2'!$B$7:$B$25,'TABLA 2'!$E$7:$E$25)</f>
        <v>5.0249660253878892E-2</v>
      </c>
      <c r="E27" s="98">
        <f>LOOKUP(B27,'TABLA 2'!$B$7:$B$25,'TABLA 2'!$G$7:$G$25)</f>
        <v>7.4464389762897223E-2</v>
      </c>
      <c r="F27" s="30">
        <f>LOOKUP(B27,'TABLA 2'!$B$7:$B$25,'TABLA 2'!$I$7:$I$25)</f>
        <v>2.996097388165982E-2</v>
      </c>
      <c r="G27" s="31">
        <f t="shared" si="0"/>
        <v>605.5</v>
      </c>
      <c r="H27" s="31">
        <f>LOOKUP(C27,'TABLA 6'!$B$9:$B$12,'TABLA 6'!$J$9:$J$12)*D27</f>
        <v>5792.6653985941684</v>
      </c>
      <c r="I27" s="31">
        <f>LOOKUP(C27,'TABLA 6'!$B$9:$B$12,'TABLA 6'!$K$9:$K$12)*E27</f>
        <v>11445.445052501103</v>
      </c>
      <c r="J27" s="31">
        <f>LOOKUP(C27,'TABLA 6'!$B$9:$B$12,'TABLA 6'!$L$9:$L$12)*F27</f>
        <v>3453.8322415638104</v>
      </c>
      <c r="K27" s="32">
        <f t="shared" si="1"/>
        <v>21297.442692659082</v>
      </c>
      <c r="L27" s="18" t="str">
        <f>'TABLA 2'!B25</f>
        <v>United States</v>
      </c>
    </row>
    <row r="28" spans="1:12" x14ac:dyDescent="0.2">
      <c r="A28" s="33" t="s">
        <v>125</v>
      </c>
      <c r="B28" s="34"/>
      <c r="C28" s="35"/>
      <c r="D28" s="35"/>
      <c r="E28" s="35"/>
      <c r="F28" s="34"/>
      <c r="G28" s="36"/>
      <c r="H28" s="36"/>
      <c r="I28" s="36"/>
      <c r="J28" s="36"/>
      <c r="K28" s="36"/>
      <c r="L28" s="34"/>
    </row>
    <row r="52" spans="4:8" x14ac:dyDescent="0.2">
      <c r="D52" s="103"/>
      <c r="E52" s="103"/>
      <c r="F52" s="103"/>
      <c r="G52" s="103"/>
      <c r="H52" s="103"/>
    </row>
    <row r="53" spans="4:8" x14ac:dyDescent="0.2">
      <c r="D53" s="103"/>
      <c r="E53" s="103"/>
      <c r="F53" s="103"/>
      <c r="G53" s="103"/>
      <c r="H53" s="103"/>
    </row>
    <row r="54" spans="4:8" x14ac:dyDescent="0.2">
      <c r="D54" s="103"/>
      <c r="E54" s="103"/>
      <c r="F54" s="103"/>
      <c r="G54" s="103"/>
      <c r="H54" s="103"/>
    </row>
    <row r="55" spans="4:8" x14ac:dyDescent="0.2">
      <c r="D55" s="103"/>
      <c r="E55" s="103"/>
      <c r="F55" s="103"/>
      <c r="G55" s="103"/>
      <c r="H55" s="103"/>
    </row>
    <row r="56" spans="4:8" x14ac:dyDescent="0.2">
      <c r="D56" s="103"/>
      <c r="E56" s="103"/>
      <c r="F56" s="103"/>
      <c r="G56" s="103"/>
      <c r="H56" s="103"/>
    </row>
    <row r="57" spans="4:8" x14ac:dyDescent="0.2">
      <c r="D57" s="103"/>
      <c r="E57" s="103"/>
      <c r="F57" s="103"/>
      <c r="G57" s="103"/>
      <c r="H57" s="103"/>
    </row>
    <row r="58" spans="4:8" x14ac:dyDescent="0.2">
      <c r="D58" s="103"/>
      <c r="E58" s="103"/>
      <c r="F58" s="103"/>
      <c r="G58" s="103"/>
      <c r="H58" s="103"/>
    </row>
    <row r="59" spans="4:8" x14ac:dyDescent="0.2">
      <c r="D59" s="103"/>
      <c r="E59" s="103"/>
      <c r="F59" s="103"/>
      <c r="G59" s="103"/>
      <c r="H59" s="103"/>
    </row>
    <row r="60" spans="4:8" x14ac:dyDescent="0.2">
      <c r="D60" s="103"/>
      <c r="E60" s="103"/>
      <c r="F60" s="103"/>
      <c r="G60" s="103"/>
      <c r="H60" s="103"/>
    </row>
    <row r="61" spans="4:8" x14ac:dyDescent="0.2">
      <c r="D61" s="103"/>
      <c r="E61" s="103"/>
      <c r="F61" s="103"/>
      <c r="G61" s="103"/>
      <c r="H61" s="103"/>
    </row>
    <row r="62" spans="4:8" x14ac:dyDescent="0.2">
      <c r="D62" s="103"/>
      <c r="E62" s="103"/>
      <c r="F62" s="103"/>
      <c r="G62" s="103"/>
      <c r="H62" s="103"/>
    </row>
    <row r="63" spans="4:8" x14ac:dyDescent="0.2">
      <c r="D63" s="103"/>
      <c r="E63" s="103"/>
      <c r="F63" s="103"/>
      <c r="G63" s="103"/>
      <c r="H63" s="103"/>
    </row>
    <row r="64" spans="4:8" x14ac:dyDescent="0.2">
      <c r="D64" s="103"/>
      <c r="E64" s="103"/>
      <c r="F64" s="103"/>
      <c r="G64" s="103"/>
      <c r="H64" s="103"/>
    </row>
    <row r="65" spans="4:8" x14ac:dyDescent="0.2">
      <c r="D65" s="103"/>
      <c r="E65" s="103"/>
      <c r="F65" s="103"/>
      <c r="G65" s="103"/>
      <c r="H65" s="103"/>
    </row>
    <row r="66" spans="4:8" x14ac:dyDescent="0.2">
      <c r="D66" s="103"/>
      <c r="E66" s="103"/>
      <c r="F66" s="103"/>
      <c r="G66" s="103"/>
      <c r="H66" s="103"/>
    </row>
    <row r="67" spans="4:8" x14ac:dyDescent="0.2">
      <c r="D67" s="103"/>
      <c r="E67" s="103"/>
      <c r="F67" s="103"/>
      <c r="G67" s="103"/>
      <c r="H67" s="103"/>
    </row>
    <row r="68" spans="4:8" x14ac:dyDescent="0.2">
      <c r="D68" s="103"/>
      <c r="E68" s="103"/>
      <c r="F68" s="103"/>
      <c r="G68" s="103"/>
      <c r="H68" s="103"/>
    </row>
    <row r="69" spans="4:8" x14ac:dyDescent="0.2">
      <c r="D69" s="103"/>
      <c r="E69" s="103"/>
      <c r="F69" s="103"/>
      <c r="G69" s="103"/>
      <c r="H69" s="103"/>
    </row>
    <row r="70" spans="4:8" x14ac:dyDescent="0.2">
      <c r="D70" s="103"/>
      <c r="E70" s="103"/>
      <c r="F70" s="103"/>
      <c r="G70" s="103"/>
      <c r="H70" s="103"/>
    </row>
    <row r="71" spans="4:8" x14ac:dyDescent="0.2">
      <c r="D71" s="103"/>
      <c r="E71" s="103"/>
      <c r="F71" s="103"/>
      <c r="G71" s="103"/>
      <c r="H71" s="103"/>
    </row>
    <row r="72" spans="4:8" x14ac:dyDescent="0.2">
      <c r="D72" s="103"/>
      <c r="E72" s="103"/>
      <c r="F72" s="103"/>
      <c r="G72" s="103"/>
      <c r="H72" s="103"/>
    </row>
    <row r="73" spans="4:8" x14ac:dyDescent="0.2">
      <c r="D73" s="103"/>
      <c r="E73" s="103"/>
      <c r="F73" s="103"/>
      <c r="G73" s="103"/>
      <c r="H73" s="103"/>
    </row>
    <row r="74" spans="4:8" x14ac:dyDescent="0.2">
      <c r="D74" s="103"/>
      <c r="E74" s="103"/>
      <c r="F74" s="103"/>
      <c r="G74" s="103"/>
      <c r="H74" s="103"/>
    </row>
    <row r="75" spans="4:8" x14ac:dyDescent="0.2">
      <c r="D75" s="103"/>
      <c r="E75" s="103"/>
      <c r="F75" s="103"/>
      <c r="G75" s="103"/>
      <c r="H75" s="103"/>
    </row>
  </sheetData>
  <mergeCells count="2">
    <mergeCell ref="A1:L1"/>
    <mergeCell ref="D5:D6"/>
  </mergeCells>
  <printOptions horizontalCentered="1"/>
  <pageMargins left="0.98425196850393704" right="0.98425196850393704" top="0.31496062992125984" bottom="0.19685039370078741" header="0" footer="0"/>
  <pageSetup paperSize="9" scale="85"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7376-1EDD-4003-8697-B04998BD9514}">
  <dimension ref="A1:M28"/>
  <sheetViews>
    <sheetView showGridLines="0" zoomScale="115" zoomScaleNormal="115" workbookViewId="0">
      <selection activeCell="G20" sqref="G20"/>
    </sheetView>
  </sheetViews>
  <sheetFormatPr baseColWidth="10" defaultColWidth="11.44140625" defaultRowHeight="13.2" x14ac:dyDescent="0.25"/>
  <cols>
    <col min="1" max="1" width="1.109375" style="8" customWidth="1"/>
    <col min="2" max="2" width="11.5546875" style="9" customWidth="1"/>
    <col min="3" max="4" width="11.5546875" style="8" customWidth="1"/>
    <col min="5" max="6" width="11.5546875" style="47" customWidth="1"/>
    <col min="7" max="8" width="11.5546875" style="8" customWidth="1"/>
    <col min="9" max="9" width="11.5546875" style="47" customWidth="1"/>
    <col min="10" max="10" width="11.5546875" style="8" customWidth="1"/>
    <col min="11" max="11" width="14.44140625" style="47" customWidth="1"/>
    <col min="12" max="12" width="13.44140625" style="47" customWidth="1"/>
    <col min="13" max="13" width="11.5546875" style="47" customWidth="1"/>
    <col min="14" max="16384" width="11.44140625" style="8"/>
  </cols>
  <sheetData>
    <row r="1" spans="1:13" ht="59.4" customHeight="1" x14ac:dyDescent="0.25">
      <c r="A1" s="126" t="s">
        <v>259</v>
      </c>
      <c r="B1" s="126"/>
      <c r="C1" s="126"/>
      <c r="D1" s="126"/>
      <c r="E1" s="126"/>
      <c r="F1" s="126"/>
      <c r="G1" s="126"/>
      <c r="H1" s="126"/>
      <c r="I1" s="126"/>
      <c r="J1" s="126"/>
      <c r="K1" s="126"/>
      <c r="L1" s="126"/>
      <c r="M1" s="126"/>
    </row>
    <row r="2" spans="1:13" s="25" customFormat="1" ht="6" customHeight="1" x14ac:dyDescent="0.2">
      <c r="B2" s="104"/>
      <c r="E2" s="27"/>
      <c r="F2" s="27"/>
      <c r="I2" s="27"/>
      <c r="K2" s="27"/>
      <c r="L2" s="27"/>
      <c r="M2" s="27"/>
    </row>
    <row r="3" spans="1:13" s="7" customFormat="1" ht="12" customHeight="1" x14ac:dyDescent="0.2">
      <c r="A3" s="13"/>
      <c r="B3" s="85"/>
      <c r="C3" s="85"/>
      <c r="D3" s="85" t="s">
        <v>94</v>
      </c>
      <c r="E3" s="85" t="s">
        <v>88</v>
      </c>
      <c r="F3" s="85" t="s">
        <v>91</v>
      </c>
      <c r="G3" s="85" t="s">
        <v>45</v>
      </c>
      <c r="H3" s="85" t="s">
        <v>46</v>
      </c>
      <c r="I3" s="24" t="s">
        <v>112</v>
      </c>
      <c r="J3" s="85" t="s">
        <v>113</v>
      </c>
      <c r="K3" s="85" t="s">
        <v>114</v>
      </c>
      <c r="L3" s="85" t="s">
        <v>115</v>
      </c>
      <c r="M3" s="24" t="s">
        <v>116</v>
      </c>
    </row>
    <row r="4" spans="1:13" s="7" customFormat="1" ht="12" customHeight="1" x14ac:dyDescent="0.2">
      <c r="A4" s="3"/>
      <c r="B4" s="15" t="s">
        <v>44</v>
      </c>
      <c r="C4" s="15" t="s">
        <v>75</v>
      </c>
      <c r="D4" s="15" t="s">
        <v>84</v>
      </c>
      <c r="E4" s="15" t="s">
        <v>89</v>
      </c>
      <c r="F4" s="15" t="s">
        <v>92</v>
      </c>
      <c r="G4" s="15" t="s">
        <v>110</v>
      </c>
      <c r="H4" s="15" t="s">
        <v>111</v>
      </c>
      <c r="I4" s="6" t="s">
        <v>99</v>
      </c>
      <c r="J4" s="15" t="s">
        <v>99</v>
      </c>
      <c r="K4" s="15" t="s">
        <v>99</v>
      </c>
      <c r="L4" s="15" t="s">
        <v>99</v>
      </c>
      <c r="M4" s="6" t="s">
        <v>99</v>
      </c>
    </row>
    <row r="5" spans="1:13" s="7" customFormat="1" ht="24" customHeight="1" x14ac:dyDescent="0.2">
      <c r="A5" s="14"/>
      <c r="B5" s="37"/>
      <c r="C5" s="37"/>
      <c r="D5" s="37" t="s">
        <v>167</v>
      </c>
      <c r="E5" s="29" t="s">
        <v>169</v>
      </c>
      <c r="F5" s="29" t="s">
        <v>171</v>
      </c>
      <c r="G5" s="37" t="s">
        <v>42</v>
      </c>
      <c r="H5" s="37" t="s">
        <v>43</v>
      </c>
      <c r="I5" s="129" t="s">
        <v>258</v>
      </c>
      <c r="J5" s="108" t="s">
        <v>174</v>
      </c>
      <c r="K5" s="29" t="s">
        <v>169</v>
      </c>
      <c r="L5" s="29" t="s">
        <v>176</v>
      </c>
      <c r="M5" s="123" t="s">
        <v>0</v>
      </c>
    </row>
    <row r="6" spans="1:13" s="7" customFormat="1" ht="19.95" customHeight="1" x14ac:dyDescent="0.2">
      <c r="A6" s="3"/>
      <c r="B6" s="15" t="s">
        <v>41</v>
      </c>
      <c r="C6" s="15" t="s">
        <v>75</v>
      </c>
      <c r="D6" s="15" t="s">
        <v>173</v>
      </c>
      <c r="E6" s="6" t="s">
        <v>162</v>
      </c>
      <c r="F6" s="6" t="s">
        <v>164</v>
      </c>
      <c r="G6" s="15" t="s">
        <v>221</v>
      </c>
      <c r="H6" s="15" t="s">
        <v>111</v>
      </c>
      <c r="I6" s="130"/>
      <c r="J6" s="15" t="s">
        <v>99</v>
      </c>
      <c r="K6" s="109" t="s">
        <v>175</v>
      </c>
      <c r="L6" s="6" t="s">
        <v>99</v>
      </c>
      <c r="M6" s="124" t="s">
        <v>260</v>
      </c>
    </row>
    <row r="7" spans="1:13" s="7" customFormat="1" ht="12" customHeight="1" x14ac:dyDescent="0.2">
      <c r="A7" s="14"/>
      <c r="B7" s="37"/>
      <c r="C7" s="37"/>
      <c r="D7" s="29" t="s">
        <v>142</v>
      </c>
      <c r="E7" s="29" t="s">
        <v>144</v>
      </c>
      <c r="F7" s="29" t="s">
        <v>146</v>
      </c>
      <c r="G7" s="37" t="s">
        <v>2</v>
      </c>
      <c r="H7" s="37" t="s">
        <v>4</v>
      </c>
      <c r="I7" s="129" t="s">
        <v>263</v>
      </c>
      <c r="J7" s="37" t="s">
        <v>150</v>
      </c>
      <c r="K7" s="29" t="s">
        <v>144</v>
      </c>
      <c r="L7" s="29" t="s">
        <v>152</v>
      </c>
      <c r="M7" s="29" t="s">
        <v>0</v>
      </c>
    </row>
    <row r="8" spans="1:13" s="7" customFormat="1" ht="20.399999999999999" customHeight="1" x14ac:dyDescent="0.2">
      <c r="A8" s="3"/>
      <c r="B8" s="15" t="s">
        <v>1</v>
      </c>
      <c r="C8" s="15" t="s">
        <v>77</v>
      </c>
      <c r="D8" s="6" t="s">
        <v>136</v>
      </c>
      <c r="E8" s="6" t="s">
        <v>138</v>
      </c>
      <c r="F8" s="6" t="s">
        <v>140</v>
      </c>
      <c r="G8" s="15" t="s">
        <v>222</v>
      </c>
      <c r="H8" s="15" t="s">
        <v>223</v>
      </c>
      <c r="I8" s="131"/>
      <c r="J8" s="15" t="s">
        <v>262</v>
      </c>
      <c r="K8" s="6" t="s">
        <v>151</v>
      </c>
      <c r="L8" s="6" t="s">
        <v>262</v>
      </c>
      <c r="M8" s="109" t="s">
        <v>264</v>
      </c>
    </row>
    <row r="9" spans="1:13" s="1" customFormat="1" ht="12" customHeight="1" x14ac:dyDescent="0.2">
      <c r="A9" s="2"/>
      <c r="B9" s="37" t="s">
        <v>5</v>
      </c>
      <c r="C9" s="2">
        <f>COUNTIF('TABLA 3'!C$9:C$27,B9)</f>
        <v>9</v>
      </c>
      <c r="D9" s="31">
        <f>SUMIF('TABLA 2'!$C$7:$C$25,B9,'TABLA 2'!$D$7:$D$25)</f>
        <v>77191.367670999985</v>
      </c>
      <c r="E9" s="31">
        <f>SUMIF('TABLA 2'!$C$7:$C$25,B9,'TABLA 2'!$F$7:$F$25)</f>
        <v>178488</v>
      </c>
      <c r="F9" s="31">
        <f>SUMIF('TABLA 2'!$C$7:$C$25,B9,'TABLA 2'!$H$7:$H$25)</f>
        <v>129729.44826000003</v>
      </c>
      <c r="G9" s="38" t="s">
        <v>11</v>
      </c>
      <c r="H9" s="30">
        <f>1-(SUM(H10:H12))</f>
        <v>0.86250000000000004</v>
      </c>
      <c r="I9" s="31">
        <f>SUMIF('TABLA 3'!C$9:C$27,B9,'TABLA 3'!G$9:G$27)</f>
        <v>5449.5</v>
      </c>
      <c r="J9" s="31">
        <f>IF(L9=0,(M9-I9)*0.43,(M9-I9)*0.3)</f>
        <v>115277.70276112501</v>
      </c>
      <c r="K9" s="31">
        <f>IF(L9=0,(M9-I9)*0.57,(M9-I9)*0.4)</f>
        <v>153703.60368150004</v>
      </c>
      <c r="L9" s="31">
        <f>IF(F9=0,0,(M9-I9)*0.3)</f>
        <v>115277.70276112501</v>
      </c>
      <c r="M9" s="31">
        <f>H9*M$13</f>
        <v>389708.50920375006</v>
      </c>
    </row>
    <row r="10" spans="1:13" s="1" customFormat="1" ht="12" customHeight="1" x14ac:dyDescent="0.2">
      <c r="A10" s="2"/>
      <c r="B10" s="37" t="s">
        <v>7</v>
      </c>
      <c r="C10" s="2">
        <f>COUNTIF('TABLA 3'!C$9:C$27,B10)</f>
        <v>3</v>
      </c>
      <c r="D10" s="31">
        <f>SUMIF('TABLA 2'!$C$7:$C$25,B10,'TABLA 2'!$D$7:$D$25)</f>
        <v>8131.3689999999997</v>
      </c>
      <c r="E10" s="31">
        <f>SUMIF('TABLA 2'!$C$7:$C$25,B10,'TABLA 2'!$F$7:$F$25)</f>
        <v>2389</v>
      </c>
      <c r="F10" s="31">
        <f>SUMIF('TABLA 2'!$C$7:$C$25,B10,'TABLA 2'!$H$7:$H$25)</f>
        <v>441.69416000000001</v>
      </c>
      <c r="G10" s="30">
        <v>0.03</v>
      </c>
      <c r="H10" s="30">
        <f>C10*G10</f>
        <v>0.09</v>
      </c>
      <c r="I10" s="31">
        <f>SUMIF('TABLA 3'!C$9:C$27,B10,'TABLA 3'!G$9:G$27)</f>
        <v>1816.5</v>
      </c>
      <c r="J10" s="31">
        <f t="shared" ref="J10:J11" si="0">IF(L10=0,(M10-I10)*0.43,(M10-I10)*0.3)</f>
        <v>11654.620722899999</v>
      </c>
      <c r="K10" s="31">
        <f t="shared" ref="K10:K11" si="1">IF(L10=0,(M10-I10)*0.57,(M10-I10)*0.4)</f>
        <v>15539.494297199999</v>
      </c>
      <c r="L10" s="31">
        <f>IF(F10=0,0,(M10-I10)*0.3)</f>
        <v>11654.620722899999</v>
      </c>
      <c r="M10" s="31">
        <f>H10*M$13</f>
        <v>40665.235742999997</v>
      </c>
    </row>
    <row r="11" spans="1:13" s="1" customFormat="1" ht="12" customHeight="1" x14ac:dyDescent="0.2">
      <c r="A11" s="2"/>
      <c r="B11" s="37" t="s">
        <v>9</v>
      </c>
      <c r="C11" s="2">
        <f>COUNTIF('TABLA 3'!C$9:C$27,B11)</f>
        <v>4</v>
      </c>
      <c r="D11" s="31">
        <f>SUMIF('TABLA 2'!$C$7:$C$25,B11,'TABLA 2'!$D$7:$D$25)</f>
        <v>24360.494000000002</v>
      </c>
      <c r="E11" s="31">
        <f>SUMIF('TABLA 2'!$C$7:$C$25,B11,'TABLA 2'!$F$7:$F$25)</f>
        <v>12969</v>
      </c>
      <c r="F11" s="31">
        <f>SUMIF('TABLA 2'!$C$7:$C$25,B11,'TABLA 2'!$H$7:$H$25)</f>
        <v>11.65863</v>
      </c>
      <c r="G11" s="30">
        <v>0.01</v>
      </c>
      <c r="H11" s="30">
        <f>C11*G11</f>
        <v>0.04</v>
      </c>
      <c r="I11" s="31">
        <f>SUMIF('TABLA 3'!C$9:C$27,B11,'TABLA 3'!G$9:G$27)</f>
        <v>2422</v>
      </c>
      <c r="J11" s="31">
        <f t="shared" si="0"/>
        <v>4695.4314324000006</v>
      </c>
      <c r="K11" s="31">
        <f t="shared" si="1"/>
        <v>6260.5752432000008</v>
      </c>
      <c r="L11" s="31">
        <f>IF(F11=0,0,(M11-I11)*0.3)</f>
        <v>4695.4314324000006</v>
      </c>
      <c r="M11" s="31">
        <f>H11*M$13</f>
        <v>18073.438108000002</v>
      </c>
    </row>
    <row r="12" spans="1:13" s="1" customFormat="1" ht="12" customHeight="1" x14ac:dyDescent="0.2">
      <c r="A12" s="39"/>
      <c r="B12" s="15" t="s">
        <v>8</v>
      </c>
      <c r="C12" s="2">
        <f>COUNTIF('TABLA 3'!C$9:C$27,B12)</f>
        <v>3</v>
      </c>
      <c r="D12" s="31">
        <f>SUMIF('TABLA 2'!$C$7:$C$25,B12,'TABLA 2'!$D$7:$D$25)</f>
        <v>7471.4880000000003</v>
      </c>
      <c r="E12" s="31">
        <f>SUMIF('TABLA 2'!$C$7:$C$25,B12,'TABLA 2'!$F$7:$F$25)</f>
        <v>60</v>
      </c>
      <c r="F12" s="31">
        <f>SUMIF('TABLA 2'!$C$7:$C$25,B12,'TABLA 2'!$H$7:$H$25)</f>
        <v>0</v>
      </c>
      <c r="G12" s="40">
        <v>2.5000000000000001E-3</v>
      </c>
      <c r="H12" s="40">
        <f>C12*G12</f>
        <v>7.4999999999999997E-3</v>
      </c>
      <c r="I12" s="31">
        <f>SUMIF('TABLA 3'!C$9:C$27,B12,'TABLA 3'!G$9:G$27)</f>
        <v>1816.5</v>
      </c>
      <c r="J12" s="31">
        <f>IF(L12=0,(M12-I12)*0.43,(M12-I12)*0.3)</f>
        <v>676.07594745749998</v>
      </c>
      <c r="K12" s="31">
        <f>IF(L12=0,(M12-I12)*0.57,(M12-I12)*0.4)</f>
        <v>896.19369779249985</v>
      </c>
      <c r="L12" s="31">
        <f>IF(F12=0,0,(M12-I12)*0.3)</f>
        <v>0</v>
      </c>
      <c r="M12" s="41">
        <f>H12*M$13</f>
        <v>3388.7696452499999</v>
      </c>
    </row>
    <row r="13" spans="1:13" s="7" customFormat="1" ht="12" customHeight="1" x14ac:dyDescent="0.2">
      <c r="A13" s="42"/>
      <c r="B13" s="43" t="s">
        <v>10</v>
      </c>
      <c r="C13" s="42">
        <f>SUM(C9:C12)</f>
        <v>19</v>
      </c>
      <c r="D13" s="45">
        <f>SUM(D9:D12)</f>
        <v>117154.718671</v>
      </c>
      <c r="E13" s="45">
        <f>SUM(E9:E12)</f>
        <v>193906</v>
      </c>
      <c r="F13" s="45">
        <f>SUM(F9:F12)</f>
        <v>130182.80105000004</v>
      </c>
      <c r="G13" s="44"/>
      <c r="H13" s="44">
        <f>SUM(H9:H12)</f>
        <v>1</v>
      </c>
      <c r="I13" s="45">
        <f>SUM(I9:I12)</f>
        <v>11504.5</v>
      </c>
      <c r="J13" s="45">
        <f>SUM(J9:J12)</f>
        <v>132303.8308638825</v>
      </c>
      <c r="K13" s="45">
        <f>SUM(K9:K12)</f>
        <v>176399.86691969255</v>
      </c>
      <c r="L13" s="45">
        <f>SUM(L9:L12)</f>
        <v>131627.75491642501</v>
      </c>
      <c r="M13" s="45">
        <f>'TABLA 1 BUDGET-PRESUPUESTO'!F12</f>
        <v>451835.95270000002</v>
      </c>
    </row>
    <row r="14" spans="1:13" s="25" customFormat="1" ht="10.199999999999999" hidden="1" x14ac:dyDescent="0.2">
      <c r="B14" s="46"/>
      <c r="E14" s="27"/>
      <c r="F14" s="27"/>
      <c r="I14" s="27"/>
      <c r="K14" s="27"/>
      <c r="L14" s="27"/>
      <c r="M14" s="27"/>
    </row>
    <row r="15" spans="1:13" s="25" customFormat="1" ht="11.4" x14ac:dyDescent="0.2">
      <c r="A15" s="7" t="s">
        <v>126</v>
      </c>
      <c r="B15" s="46"/>
      <c r="E15" s="27"/>
      <c r="F15" s="27"/>
      <c r="I15" s="27"/>
      <c r="K15" s="27"/>
      <c r="L15" s="27"/>
      <c r="M15" s="27"/>
    </row>
    <row r="16" spans="1:13" s="25" customFormat="1" ht="10.199999999999999" x14ac:dyDescent="0.2">
      <c r="B16" s="46"/>
      <c r="E16" s="27"/>
      <c r="F16" s="27"/>
      <c r="I16" s="27"/>
      <c r="K16" s="27"/>
      <c r="L16" s="27"/>
      <c r="M16" s="27"/>
    </row>
    <row r="17" spans="2:13" s="25" customFormat="1" ht="10.199999999999999" x14ac:dyDescent="0.2">
      <c r="B17" s="46"/>
      <c r="E17" s="27"/>
      <c r="F17" s="27"/>
      <c r="I17" s="27"/>
      <c r="K17" s="27"/>
      <c r="L17" s="27"/>
      <c r="M17" s="27"/>
    </row>
    <row r="18" spans="2:13" s="25" customFormat="1" ht="10.199999999999999" x14ac:dyDescent="0.2">
      <c r="B18" s="46"/>
      <c r="E18" s="27"/>
      <c r="F18" s="27"/>
      <c r="I18" s="27"/>
      <c r="K18" s="27"/>
      <c r="L18" s="27"/>
      <c r="M18" s="27"/>
    </row>
    <row r="19" spans="2:13" s="25" customFormat="1" ht="10.199999999999999" x14ac:dyDescent="0.2">
      <c r="B19" s="46"/>
      <c r="E19" s="27"/>
      <c r="F19" s="27"/>
      <c r="I19" s="27"/>
      <c r="K19" s="27"/>
      <c r="L19" s="27"/>
      <c r="M19" s="27"/>
    </row>
    <row r="20" spans="2:13" s="25" customFormat="1" ht="10.199999999999999" x14ac:dyDescent="0.2">
      <c r="B20" s="46"/>
      <c r="E20" s="27"/>
      <c r="F20" s="27"/>
      <c r="I20" s="27"/>
      <c r="K20" s="27"/>
      <c r="L20" s="27"/>
      <c r="M20" s="27"/>
    </row>
    <row r="21" spans="2:13" s="25" customFormat="1" ht="10.199999999999999" x14ac:dyDescent="0.2">
      <c r="B21" s="46"/>
      <c r="E21" s="27"/>
      <c r="F21" s="27"/>
      <c r="I21" s="27"/>
      <c r="K21" s="27"/>
      <c r="L21" s="27"/>
      <c r="M21" s="27"/>
    </row>
    <row r="22" spans="2:13" s="25" customFormat="1" ht="10.199999999999999" x14ac:dyDescent="0.2">
      <c r="B22" s="46"/>
      <c r="E22" s="27"/>
      <c r="F22" s="27"/>
      <c r="I22" s="27"/>
      <c r="K22" s="27"/>
      <c r="L22" s="27"/>
      <c r="M22" s="27"/>
    </row>
    <row r="23" spans="2:13" s="25" customFormat="1" ht="10.199999999999999" x14ac:dyDescent="0.2">
      <c r="B23" s="46"/>
      <c r="E23" s="27"/>
      <c r="F23" s="27"/>
      <c r="I23" s="27"/>
      <c r="K23" s="27"/>
      <c r="L23" s="27"/>
      <c r="M23" s="27"/>
    </row>
    <row r="24" spans="2:13" s="25" customFormat="1" ht="10.199999999999999" x14ac:dyDescent="0.2">
      <c r="B24" s="46"/>
      <c r="E24" s="27"/>
      <c r="F24" s="27"/>
      <c r="I24" s="27"/>
      <c r="K24" s="27"/>
      <c r="L24" s="27"/>
      <c r="M24" s="27"/>
    </row>
    <row r="25" spans="2:13" s="25" customFormat="1" ht="10.199999999999999" x14ac:dyDescent="0.2">
      <c r="B25" s="46"/>
      <c r="E25" s="27"/>
      <c r="F25" s="27"/>
      <c r="I25" s="27"/>
      <c r="K25" s="27"/>
      <c r="L25" s="27"/>
      <c r="M25" s="27"/>
    </row>
    <row r="26" spans="2:13" s="25" customFormat="1" ht="10.199999999999999" x14ac:dyDescent="0.2">
      <c r="B26" s="46"/>
      <c r="E26" s="27"/>
      <c r="F26" s="27"/>
      <c r="I26" s="27"/>
      <c r="K26" s="27"/>
      <c r="L26" s="27"/>
      <c r="M26" s="27"/>
    </row>
    <row r="27" spans="2:13" s="25" customFormat="1" ht="10.199999999999999" x14ac:dyDescent="0.2">
      <c r="B27" s="46"/>
      <c r="E27" s="27"/>
      <c r="F27" s="27"/>
      <c r="I27" s="27"/>
      <c r="K27" s="27"/>
      <c r="L27" s="27"/>
      <c r="M27" s="27"/>
    </row>
    <row r="28" spans="2:13" s="25" customFormat="1" ht="10.199999999999999" x14ac:dyDescent="0.2">
      <c r="B28" s="46"/>
      <c r="E28" s="27"/>
      <c r="F28" s="27"/>
      <c r="I28" s="27"/>
      <c r="K28" s="27"/>
      <c r="L28" s="27"/>
      <c r="M28" s="27"/>
    </row>
  </sheetData>
  <mergeCells count="3">
    <mergeCell ref="A1:M1"/>
    <mergeCell ref="I5:I6"/>
    <mergeCell ref="I7:I8"/>
  </mergeCells>
  <printOptions horizontalCentered="1"/>
  <pageMargins left="0.78740157480314965" right="0.78740157480314965" top="0.31496062992125984" bottom="0.59055118110236227" header="0" footer="0.39370078740157483"/>
  <pageSetup paperSize="9" scale="90"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1"/>
  <sheetViews>
    <sheetView showGridLines="0" zoomScale="115" zoomScaleNormal="115" workbookViewId="0">
      <selection sqref="A1:Q1"/>
    </sheetView>
  </sheetViews>
  <sheetFormatPr baseColWidth="10" defaultColWidth="11.5546875" defaultRowHeight="13.2" x14ac:dyDescent="0.25"/>
  <cols>
    <col min="1" max="1" width="21.5546875" style="25" customWidth="1"/>
    <col min="2" max="2" width="8.5546875" style="27" customWidth="1"/>
    <col min="3" max="3" width="3.5546875" style="8" customWidth="1"/>
    <col min="4" max="4" width="8.5546875" style="8" customWidth="1"/>
    <col min="5" max="5" width="3.5546875" style="8" customWidth="1"/>
    <col min="6" max="6" width="8.5546875" style="8" customWidth="1"/>
    <col min="7" max="7" width="8.88671875" style="69" customWidth="1"/>
    <col min="8" max="8" width="3.5546875" style="69" customWidth="1"/>
    <col min="9" max="9" width="8.88671875" style="27" customWidth="1"/>
    <col min="10" max="10" width="3.88671875" style="27" customWidth="1"/>
    <col min="11" max="11" width="8.88671875" style="27" customWidth="1"/>
    <col min="12" max="12" width="8.5546875" style="27" customWidth="1"/>
    <col min="13" max="13" width="3.5546875" style="8" customWidth="1"/>
    <col min="14" max="14" width="8.5546875" style="8" customWidth="1"/>
    <col min="15" max="15" width="3.88671875" style="8" customWidth="1"/>
    <col min="16" max="16" width="8.5546875" style="8" customWidth="1"/>
    <col min="17" max="17" width="21.5546875" style="8" customWidth="1"/>
    <col min="18" max="16384" width="11.5546875" style="8"/>
  </cols>
  <sheetData>
    <row r="1" spans="1:24" ht="57" customHeight="1" x14ac:dyDescent="0.25">
      <c r="A1" s="126" t="s">
        <v>237</v>
      </c>
      <c r="B1" s="126"/>
      <c r="C1" s="126"/>
      <c r="D1" s="126"/>
      <c r="E1" s="126"/>
      <c r="F1" s="126"/>
      <c r="G1" s="126"/>
      <c r="H1" s="126"/>
      <c r="I1" s="126"/>
      <c r="J1" s="126"/>
      <c r="K1" s="126"/>
      <c r="L1" s="126"/>
      <c r="M1" s="126"/>
      <c r="N1" s="126"/>
      <c r="O1" s="126"/>
      <c r="P1" s="126"/>
      <c r="Q1" s="126"/>
    </row>
    <row r="2" spans="1:24" ht="6" customHeight="1" x14ac:dyDescent="0.25">
      <c r="A2" s="12"/>
      <c r="B2" s="48"/>
      <c r="G2" s="11"/>
      <c r="H2" s="11"/>
      <c r="I2" s="47"/>
      <c r="J2" s="47"/>
      <c r="K2" s="47"/>
      <c r="L2" s="48"/>
    </row>
    <row r="3" spans="1:24" s="54" customFormat="1" ht="10.5" customHeight="1" x14ac:dyDescent="0.2">
      <c r="A3" s="49"/>
      <c r="B3" s="50"/>
      <c r="C3" s="51"/>
      <c r="D3" s="52">
        <v>2021</v>
      </c>
      <c r="E3" s="51"/>
      <c r="F3" s="53"/>
      <c r="G3" s="50"/>
      <c r="H3" s="51"/>
      <c r="I3" s="52">
        <v>2022</v>
      </c>
      <c r="J3" s="51"/>
      <c r="K3" s="53"/>
      <c r="L3" s="50"/>
      <c r="M3" s="51"/>
      <c r="N3" s="52">
        <v>2023</v>
      </c>
      <c r="O3" s="51"/>
      <c r="P3" s="53"/>
      <c r="Q3" s="50"/>
    </row>
    <row r="4" spans="1:24" s="1" customFormat="1" ht="10.5" customHeight="1" x14ac:dyDescent="0.2">
      <c r="A4" s="55" t="s">
        <v>24</v>
      </c>
      <c r="B4" s="86" t="s">
        <v>78</v>
      </c>
      <c r="C4" s="56"/>
      <c r="D4" s="88" t="s">
        <v>81</v>
      </c>
      <c r="E4" s="57"/>
      <c r="F4" s="58" t="s">
        <v>0</v>
      </c>
      <c r="G4" s="86" t="s">
        <v>78</v>
      </c>
      <c r="H4" s="56"/>
      <c r="I4" s="88" t="s">
        <v>81</v>
      </c>
      <c r="J4" s="57"/>
      <c r="K4" s="58" t="s">
        <v>0</v>
      </c>
      <c r="L4" s="86" t="s">
        <v>78</v>
      </c>
      <c r="M4" s="56"/>
      <c r="N4" s="88" t="s">
        <v>81</v>
      </c>
      <c r="O4" s="57"/>
      <c r="P4" s="58" t="s">
        <v>0</v>
      </c>
      <c r="Q4" s="59" t="s">
        <v>24</v>
      </c>
    </row>
    <row r="5" spans="1:24" s="1" customFormat="1" ht="10.5" customHeight="1" x14ac:dyDescent="0.2">
      <c r="A5" s="55" t="s">
        <v>24</v>
      </c>
      <c r="B5" s="86" t="s">
        <v>80</v>
      </c>
      <c r="C5" s="56"/>
      <c r="D5" s="88" t="s">
        <v>82</v>
      </c>
      <c r="E5" s="57"/>
      <c r="F5" s="58"/>
      <c r="G5" s="86" t="s">
        <v>80</v>
      </c>
      <c r="H5" s="56"/>
      <c r="I5" s="88" t="s">
        <v>82</v>
      </c>
      <c r="J5" s="57"/>
      <c r="K5" s="58"/>
      <c r="L5" s="86" t="s">
        <v>80</v>
      </c>
      <c r="M5" s="56"/>
      <c r="N5" s="88" t="s">
        <v>82</v>
      </c>
      <c r="O5" s="57"/>
      <c r="P5" s="58"/>
      <c r="Q5" s="59" t="s">
        <v>24</v>
      </c>
    </row>
    <row r="6" spans="1:24" s="1" customFormat="1" ht="10.5" customHeight="1" x14ac:dyDescent="0.2">
      <c r="A6" s="60" t="s">
        <v>25</v>
      </c>
      <c r="B6" s="87" t="s">
        <v>79</v>
      </c>
      <c r="C6" s="61"/>
      <c r="D6" s="89" t="s">
        <v>83</v>
      </c>
      <c r="E6" s="62"/>
      <c r="F6" s="63"/>
      <c r="G6" s="87" t="s">
        <v>79</v>
      </c>
      <c r="H6" s="61"/>
      <c r="I6" s="89" t="s">
        <v>83</v>
      </c>
      <c r="J6" s="62"/>
      <c r="K6" s="63"/>
      <c r="L6" s="87" t="s">
        <v>79</v>
      </c>
      <c r="M6" s="61"/>
      <c r="N6" s="89" t="s">
        <v>83</v>
      </c>
      <c r="O6" s="62"/>
      <c r="P6" s="63"/>
      <c r="Q6" s="64" t="s">
        <v>25</v>
      </c>
    </row>
    <row r="7" spans="1:24" s="1" customFormat="1" ht="10.5" customHeight="1" x14ac:dyDescent="0.2">
      <c r="A7" s="17" t="str">
        <f>'TABLA 2'!B7</f>
        <v>Albania</v>
      </c>
      <c r="B7" s="90">
        <v>148.4</v>
      </c>
      <c r="C7" s="91"/>
      <c r="D7" s="92"/>
      <c r="E7" s="92"/>
      <c r="F7" s="93">
        <f>B7+D7</f>
        <v>148.4</v>
      </c>
      <c r="G7" s="90">
        <v>177.5</v>
      </c>
      <c r="H7" s="91"/>
      <c r="I7" s="92"/>
      <c r="J7" s="92"/>
      <c r="K7" s="93">
        <f>G7+I7</f>
        <v>177.5</v>
      </c>
      <c r="L7" s="90">
        <v>263.87</v>
      </c>
      <c r="M7" s="91"/>
      <c r="N7" s="92"/>
      <c r="O7" s="92"/>
      <c r="P7" s="93">
        <f>L7+N7</f>
        <v>263.87</v>
      </c>
      <c r="Q7" s="2" t="str">
        <f>'TABLA 2'!J7</f>
        <v>Albania</v>
      </c>
      <c r="S7" s="65"/>
      <c r="T7" s="66"/>
      <c r="W7" s="65"/>
      <c r="X7" s="65"/>
    </row>
    <row r="8" spans="1:24" s="1" customFormat="1" ht="10.5" customHeight="1" x14ac:dyDescent="0.2">
      <c r="A8" s="17" t="str">
        <f>'TABLA 2'!B8</f>
        <v>Algérie</v>
      </c>
      <c r="B8" s="94">
        <v>1649.86</v>
      </c>
      <c r="C8" s="31"/>
      <c r="D8" s="31"/>
      <c r="E8" s="31"/>
      <c r="F8" s="93">
        <f t="shared" ref="F8:F25" si="0">B8+D8</f>
        <v>1649.86</v>
      </c>
      <c r="G8" s="94">
        <v>1654</v>
      </c>
      <c r="H8" s="31"/>
      <c r="I8" s="31"/>
      <c r="J8" s="31"/>
      <c r="K8" s="93">
        <f t="shared" ref="K8:K25" si="1">G8+I8</f>
        <v>1654</v>
      </c>
      <c r="L8" s="94">
        <v>1999.93</v>
      </c>
      <c r="M8" s="31"/>
      <c r="N8" s="31"/>
      <c r="O8" s="31"/>
      <c r="P8" s="93">
        <f t="shared" ref="P8:P25" si="2">L8+N8</f>
        <v>1999.93</v>
      </c>
      <c r="Q8" s="2" t="str">
        <f>'TABLA 2'!J8</f>
        <v>Algérie</v>
      </c>
      <c r="S8" s="65"/>
      <c r="T8" s="66"/>
      <c r="W8" s="65"/>
      <c r="X8" s="65"/>
    </row>
    <row r="9" spans="1:24" s="1" customFormat="1" ht="10.5" customHeight="1" x14ac:dyDescent="0.2">
      <c r="A9" s="17" t="s">
        <v>230</v>
      </c>
      <c r="B9" s="94"/>
      <c r="C9" s="31"/>
      <c r="D9" s="31"/>
      <c r="E9" s="31"/>
      <c r="F9" s="93">
        <f t="shared" si="0"/>
        <v>0</v>
      </c>
      <c r="G9" s="94"/>
      <c r="H9" s="31"/>
      <c r="I9" s="31"/>
      <c r="J9" s="31"/>
      <c r="K9" s="93">
        <f t="shared" si="1"/>
        <v>0</v>
      </c>
      <c r="L9" s="94"/>
      <c r="M9" s="31"/>
      <c r="N9" s="31">
        <v>0.5</v>
      </c>
      <c r="O9" s="31"/>
      <c r="P9" s="93">
        <f t="shared" si="2"/>
        <v>0.5</v>
      </c>
      <c r="Q9" s="2"/>
      <c r="S9" s="65"/>
      <c r="T9" s="66"/>
      <c r="W9" s="65"/>
      <c r="X9" s="65"/>
    </row>
    <row r="10" spans="1:24" s="1" customFormat="1" ht="10.5" customHeight="1" x14ac:dyDescent="0.2">
      <c r="A10" s="17" t="str">
        <f>'TABLA 2'!B10</f>
        <v>Canada</v>
      </c>
      <c r="B10" s="94"/>
      <c r="C10" s="31"/>
      <c r="D10" s="31">
        <v>628.53</v>
      </c>
      <c r="E10" s="31"/>
      <c r="F10" s="93">
        <f t="shared" si="0"/>
        <v>628.53</v>
      </c>
      <c r="G10" s="94"/>
      <c r="H10" s="31"/>
      <c r="I10" s="31">
        <v>635.16999999999996</v>
      </c>
      <c r="J10" s="31"/>
      <c r="K10" s="93">
        <f t="shared" si="1"/>
        <v>635.16999999999996</v>
      </c>
      <c r="L10" s="94"/>
      <c r="M10" s="31"/>
      <c r="N10" s="31">
        <v>610.30999999999995</v>
      </c>
      <c r="O10" s="31"/>
      <c r="P10" s="93">
        <f t="shared" si="2"/>
        <v>610.30999999999995</v>
      </c>
      <c r="Q10" s="2" t="str">
        <f>'TABLA 2'!J10</f>
        <v>Canada</v>
      </c>
      <c r="S10" s="65"/>
      <c r="T10" s="66"/>
      <c r="W10" s="65"/>
      <c r="X10" s="65"/>
    </row>
    <row r="11" spans="1:24" s="1" customFormat="1" ht="10.5" customHeight="1" x14ac:dyDescent="0.2">
      <c r="A11" s="17" t="str">
        <f>'TABLA 2'!B11</f>
        <v>China, People's Rep. of</v>
      </c>
      <c r="B11" s="94">
        <v>100.99</v>
      </c>
      <c r="C11" s="31"/>
      <c r="D11" s="31"/>
      <c r="E11" s="31"/>
      <c r="F11" s="93">
        <f t="shared" si="0"/>
        <v>100.99</v>
      </c>
      <c r="G11" s="94">
        <v>71.900000000000006</v>
      </c>
      <c r="H11" s="31"/>
      <c r="I11" s="31"/>
      <c r="J11" s="31"/>
      <c r="K11" s="93">
        <f t="shared" si="1"/>
        <v>71.900000000000006</v>
      </c>
      <c r="L11" s="94">
        <v>115.8</v>
      </c>
      <c r="M11" s="31"/>
      <c r="N11" s="31"/>
      <c r="O11" s="31"/>
      <c r="P11" s="93">
        <f t="shared" si="2"/>
        <v>115.8</v>
      </c>
      <c r="Q11" s="2" t="str">
        <f>'TABLA 2'!J11</f>
        <v>China, People's Rep. of</v>
      </c>
      <c r="S11" s="65"/>
      <c r="T11" s="66"/>
      <c r="W11" s="65"/>
      <c r="X11" s="65"/>
    </row>
    <row r="12" spans="1:24" s="1" customFormat="1" ht="10.5" customHeight="1" x14ac:dyDescent="0.2">
      <c r="A12" s="17" t="str">
        <f>'TABLA 2'!B12</f>
        <v>Egypt</v>
      </c>
      <c r="B12" s="94">
        <v>326.613</v>
      </c>
      <c r="C12" s="31"/>
      <c r="D12" s="31"/>
      <c r="E12" s="31"/>
      <c r="F12" s="93">
        <f t="shared" si="0"/>
        <v>326.613</v>
      </c>
      <c r="G12" s="94">
        <v>67.08</v>
      </c>
      <c r="H12" s="31"/>
      <c r="I12" s="31"/>
      <c r="J12" s="31"/>
      <c r="K12" s="93">
        <f t="shared" si="1"/>
        <v>67.08</v>
      </c>
      <c r="L12" s="94">
        <v>0</v>
      </c>
      <c r="M12" s="31"/>
      <c r="N12" s="31"/>
      <c r="O12" s="31"/>
      <c r="P12" s="93">
        <f t="shared" si="2"/>
        <v>0</v>
      </c>
      <c r="Q12" s="2" t="str">
        <f>'TABLA 2'!J12</f>
        <v>Egypt</v>
      </c>
      <c r="S12" s="65"/>
      <c r="T12" s="66"/>
      <c r="W12" s="65"/>
      <c r="X12" s="65"/>
    </row>
    <row r="13" spans="1:24" s="1" customFormat="1" ht="10.5" customHeight="1" x14ac:dyDescent="0.2">
      <c r="A13" s="17" t="str">
        <f>'TABLA 2'!B13</f>
        <v>Iceland</v>
      </c>
      <c r="B13" s="94">
        <v>0.54</v>
      </c>
      <c r="C13" s="31"/>
      <c r="D13" s="31"/>
      <c r="E13" s="31"/>
      <c r="F13" s="93">
        <f t="shared" si="0"/>
        <v>0.54</v>
      </c>
      <c r="G13" s="94">
        <v>0.21</v>
      </c>
      <c r="H13" s="31"/>
      <c r="I13" s="31"/>
      <c r="J13" s="31"/>
      <c r="K13" s="93">
        <f t="shared" si="1"/>
        <v>0.21</v>
      </c>
      <c r="L13" s="94">
        <v>0.66</v>
      </c>
      <c r="M13" s="31"/>
      <c r="N13" s="31"/>
      <c r="O13" s="31"/>
      <c r="P13" s="93">
        <f t="shared" si="2"/>
        <v>0.66</v>
      </c>
      <c r="Q13" s="2" t="str">
        <f>'TABLA 2'!J13</f>
        <v>Iceland</v>
      </c>
      <c r="S13" s="65"/>
      <c r="T13" s="66"/>
      <c r="W13" s="65"/>
      <c r="X13" s="65"/>
    </row>
    <row r="14" spans="1:24" s="1" customFormat="1" ht="10.5" customHeight="1" x14ac:dyDescent="0.2">
      <c r="A14" s="17" t="str">
        <f>'TABLA 2'!B14</f>
        <v>Japan</v>
      </c>
      <c r="B14" s="94">
        <v>2779.99</v>
      </c>
      <c r="C14" s="31"/>
      <c r="D14" s="31">
        <v>409.57</v>
      </c>
      <c r="E14" s="31"/>
      <c r="F14" s="93">
        <f t="shared" si="0"/>
        <v>3189.56</v>
      </c>
      <c r="G14" s="94">
        <v>2871.26</v>
      </c>
      <c r="H14" s="31"/>
      <c r="I14" s="31">
        <v>657.8</v>
      </c>
      <c r="J14" s="31"/>
      <c r="K14" s="93">
        <f t="shared" si="1"/>
        <v>3529.0600000000004</v>
      </c>
      <c r="L14" s="94">
        <v>3087.99</v>
      </c>
      <c r="M14" s="31"/>
      <c r="N14" s="31">
        <v>624.67999999999995</v>
      </c>
      <c r="O14" s="31"/>
      <c r="P14" s="93">
        <f t="shared" si="2"/>
        <v>3712.6699999999996</v>
      </c>
      <c r="Q14" s="2" t="str">
        <f>'TABLA 2'!J14</f>
        <v>Japan</v>
      </c>
      <c r="S14" s="65"/>
      <c r="T14" s="66"/>
      <c r="W14" s="65"/>
      <c r="X14" s="65"/>
    </row>
    <row r="15" spans="1:24" s="1" customFormat="1" ht="10.5" customHeight="1" x14ac:dyDescent="0.2">
      <c r="A15" s="17" t="str">
        <f>'TABLA 2'!B15</f>
        <v>Korea, Rep. of</v>
      </c>
      <c r="B15" s="94">
        <v>242.24</v>
      </c>
      <c r="C15" s="31"/>
      <c r="D15" s="31"/>
      <c r="E15" s="31"/>
      <c r="F15" s="93">
        <f t="shared" si="0"/>
        <v>242.24</v>
      </c>
      <c r="G15" s="94">
        <v>252.28</v>
      </c>
      <c r="H15" s="31"/>
      <c r="I15" s="31"/>
      <c r="J15" s="31"/>
      <c r="K15" s="93">
        <f t="shared" si="1"/>
        <v>252.28</v>
      </c>
      <c r="L15" s="94">
        <v>273.55</v>
      </c>
      <c r="M15" s="31"/>
      <c r="N15" s="31"/>
      <c r="O15" s="31"/>
      <c r="P15" s="93">
        <f t="shared" si="2"/>
        <v>273.55</v>
      </c>
      <c r="Q15" s="2" t="str">
        <f>'TABLA 2'!J15</f>
        <v>Korea, Rep. of</v>
      </c>
      <c r="S15" s="65"/>
      <c r="T15" s="66"/>
      <c r="W15" s="65"/>
      <c r="X15" s="65"/>
    </row>
    <row r="16" spans="1:24" s="1" customFormat="1" ht="10.5" customHeight="1" x14ac:dyDescent="0.2">
      <c r="A16" s="17" t="str">
        <f>'TABLA 2'!B16</f>
        <v>Libya</v>
      </c>
      <c r="B16" s="94">
        <v>2234.1799999999998</v>
      </c>
      <c r="C16" s="31"/>
      <c r="D16" s="31"/>
      <c r="E16" s="31"/>
      <c r="F16" s="93">
        <f t="shared" si="0"/>
        <v>2234.1799999999998</v>
      </c>
      <c r="G16" s="94">
        <v>2226.42</v>
      </c>
      <c r="H16" s="31"/>
      <c r="I16" s="31"/>
      <c r="J16" s="31"/>
      <c r="K16" s="93">
        <f t="shared" si="1"/>
        <v>2226.42</v>
      </c>
      <c r="L16" s="94">
        <v>2538</v>
      </c>
      <c r="M16" s="31"/>
      <c r="N16" s="31"/>
      <c r="O16" s="31"/>
      <c r="P16" s="93">
        <f t="shared" si="2"/>
        <v>2538</v>
      </c>
      <c r="Q16" s="2" t="str">
        <f>'TABLA 2'!J16</f>
        <v>Libya</v>
      </c>
      <c r="S16" s="65"/>
      <c r="T16" s="66"/>
      <c r="W16" s="65"/>
      <c r="X16" s="65"/>
    </row>
    <row r="17" spans="1:24" s="1" customFormat="1" ht="10.5" customHeight="1" x14ac:dyDescent="0.2">
      <c r="A17" s="17" t="str">
        <f>'TABLA 2'!B17</f>
        <v>Maroc</v>
      </c>
      <c r="B17" s="94">
        <v>3294.26</v>
      </c>
      <c r="C17" s="31"/>
      <c r="D17" s="31"/>
      <c r="E17" s="31"/>
      <c r="F17" s="93">
        <f t="shared" si="0"/>
        <v>3294.26</v>
      </c>
      <c r="G17" s="94">
        <v>3565.05</v>
      </c>
      <c r="H17" s="31"/>
      <c r="I17" s="31"/>
      <c r="J17" s="31"/>
      <c r="K17" s="93">
        <f t="shared" si="1"/>
        <v>3565.05</v>
      </c>
      <c r="L17" s="94">
        <v>3664</v>
      </c>
      <c r="M17" s="31"/>
      <c r="N17" s="31"/>
      <c r="O17" s="31"/>
      <c r="P17" s="93">
        <f t="shared" si="2"/>
        <v>3664</v>
      </c>
      <c r="Q17" s="2" t="str">
        <f>'TABLA 2'!J17</f>
        <v>Maroc</v>
      </c>
      <c r="S17" s="65"/>
      <c r="T17" s="66"/>
      <c r="W17" s="65"/>
      <c r="X17" s="65"/>
    </row>
    <row r="18" spans="1:24" s="1" customFormat="1" ht="10.5" customHeight="1" x14ac:dyDescent="0.2">
      <c r="A18" s="17" t="str">
        <f>'TABLA 2'!B18</f>
        <v>Mexico</v>
      </c>
      <c r="B18" s="94"/>
      <c r="C18" s="31"/>
      <c r="D18" s="31">
        <v>62</v>
      </c>
      <c r="E18" s="31"/>
      <c r="F18" s="93">
        <f t="shared" si="0"/>
        <v>62</v>
      </c>
      <c r="G18" s="94"/>
      <c r="H18" s="31"/>
      <c r="I18" s="31">
        <v>60</v>
      </c>
      <c r="J18" s="31"/>
      <c r="K18" s="93">
        <f t="shared" si="1"/>
        <v>60</v>
      </c>
      <c r="L18" s="94"/>
      <c r="M18" s="31"/>
      <c r="N18" s="31">
        <v>39</v>
      </c>
      <c r="O18" s="31"/>
      <c r="P18" s="93">
        <f t="shared" si="2"/>
        <v>39</v>
      </c>
      <c r="Q18" s="2" t="str">
        <f>'TABLA 2'!J18</f>
        <v>Mexico</v>
      </c>
      <c r="S18" s="65"/>
      <c r="T18" s="66"/>
      <c r="W18" s="65"/>
      <c r="X18" s="65"/>
    </row>
    <row r="19" spans="1:24" s="1" customFormat="1" ht="10.5" customHeight="1" x14ac:dyDescent="0.2">
      <c r="A19" s="17" t="str">
        <f>'TABLA 2'!B19</f>
        <v>Norway</v>
      </c>
      <c r="B19" s="94">
        <v>157.68</v>
      </c>
      <c r="C19" s="31"/>
      <c r="D19" s="31"/>
      <c r="E19" s="31"/>
      <c r="F19" s="93">
        <f t="shared" si="0"/>
        <v>157.68</v>
      </c>
      <c r="G19" s="94">
        <v>123.17</v>
      </c>
      <c r="H19" s="31"/>
      <c r="I19" s="31"/>
      <c r="J19" s="31"/>
      <c r="K19" s="93">
        <f t="shared" si="1"/>
        <v>123.17</v>
      </c>
      <c r="L19" s="94">
        <v>117.44</v>
      </c>
      <c r="M19" s="31"/>
      <c r="N19" s="31"/>
      <c r="O19" s="31"/>
      <c r="P19" s="93">
        <f t="shared" si="2"/>
        <v>117.44</v>
      </c>
      <c r="Q19" s="2" t="str">
        <f>'TABLA 2'!J19</f>
        <v>Norway</v>
      </c>
      <c r="S19" s="65"/>
      <c r="T19" s="66"/>
      <c r="W19" s="65"/>
      <c r="X19" s="65"/>
    </row>
    <row r="20" spans="1:24" s="1" customFormat="1" ht="10.5" customHeight="1" x14ac:dyDescent="0.2">
      <c r="A20" s="17" t="str">
        <f>'TABLA 2'!B20</f>
        <v>Syrian Arab Republic</v>
      </c>
      <c r="B20" s="94">
        <v>0</v>
      </c>
      <c r="C20" s="31"/>
      <c r="D20" s="31"/>
      <c r="E20" s="31"/>
      <c r="F20" s="93">
        <f t="shared" si="0"/>
        <v>0</v>
      </c>
      <c r="G20" s="94">
        <v>79.2</v>
      </c>
      <c r="H20" s="31"/>
      <c r="I20" s="31"/>
      <c r="J20" s="31"/>
      <c r="K20" s="93">
        <f t="shared" si="1"/>
        <v>79.2</v>
      </c>
      <c r="L20" s="94">
        <v>0</v>
      </c>
      <c r="M20" s="31"/>
      <c r="N20" s="31"/>
      <c r="O20" s="31"/>
      <c r="P20" s="93">
        <f t="shared" si="2"/>
        <v>0</v>
      </c>
      <c r="Q20" s="2" t="str">
        <f>'TABLA 2'!J20</f>
        <v>Syrian Arab Republic</v>
      </c>
      <c r="S20" s="65"/>
      <c r="T20" s="66"/>
      <c r="W20" s="65"/>
      <c r="X20" s="65"/>
    </row>
    <row r="21" spans="1:24" s="1" customFormat="1" ht="10.5" customHeight="1" x14ac:dyDescent="0.2">
      <c r="A21" s="17" t="str">
        <f>'TABLA 2'!B21</f>
        <v>Tunisie</v>
      </c>
      <c r="B21" s="94">
        <v>2729.74</v>
      </c>
      <c r="C21" s="31"/>
      <c r="D21" s="31"/>
      <c r="E21" s="31"/>
      <c r="F21" s="93">
        <f t="shared" si="0"/>
        <v>2729.74</v>
      </c>
      <c r="G21" s="94">
        <v>2652.79</v>
      </c>
      <c r="H21" s="31"/>
      <c r="I21" s="31"/>
      <c r="J21" s="31"/>
      <c r="K21" s="93">
        <f t="shared" si="1"/>
        <v>2652.79</v>
      </c>
      <c r="L21" s="94">
        <v>2989.87</v>
      </c>
      <c r="M21" s="31"/>
      <c r="N21" s="31"/>
      <c r="O21" s="31"/>
      <c r="P21" s="93">
        <f t="shared" si="2"/>
        <v>2989.87</v>
      </c>
      <c r="Q21" s="2" t="str">
        <f>'TABLA 2'!J21</f>
        <v>Tunisie</v>
      </c>
      <c r="S21" s="65"/>
      <c r="T21" s="66"/>
      <c r="W21" s="65"/>
      <c r="X21" s="65"/>
    </row>
    <row r="22" spans="1:24" s="1" customFormat="1" ht="10.5" customHeight="1" x14ac:dyDescent="0.2">
      <c r="A22" s="17" t="str">
        <f>'TABLA 2'!B22</f>
        <v>Türkiye</v>
      </c>
      <c r="B22" s="94">
        <v>2266.1799999999998</v>
      </c>
      <c r="C22" s="31"/>
      <c r="D22" s="31"/>
      <c r="E22" s="31"/>
      <c r="F22" s="93">
        <f t="shared" si="0"/>
        <v>2266.1799999999998</v>
      </c>
      <c r="G22" s="94">
        <v>2294.85</v>
      </c>
      <c r="H22" s="31"/>
      <c r="I22" s="31"/>
      <c r="J22" s="31"/>
      <c r="K22" s="93">
        <f t="shared" si="1"/>
        <v>2294.85</v>
      </c>
      <c r="L22" s="94">
        <v>3281.15</v>
      </c>
      <c r="M22" s="31"/>
      <c r="N22" s="31"/>
      <c r="O22" s="31"/>
      <c r="P22" s="93">
        <f t="shared" si="2"/>
        <v>3281.15</v>
      </c>
      <c r="Q22" s="2" t="str">
        <f>'TABLA 2'!J22</f>
        <v>Turkey</v>
      </c>
      <c r="S22" s="65"/>
      <c r="T22" s="66"/>
      <c r="W22" s="65"/>
      <c r="X22" s="65"/>
    </row>
    <row r="23" spans="1:24" s="1" customFormat="1" ht="10.5" customHeight="1" x14ac:dyDescent="0.2">
      <c r="A23" s="17" t="str">
        <f>'TABLA 2'!B23</f>
        <v>Union Européenne</v>
      </c>
      <c r="B23" s="94">
        <v>19163.669999999998</v>
      </c>
      <c r="C23" s="31"/>
      <c r="D23" s="31"/>
      <c r="E23" s="31"/>
      <c r="F23" s="93">
        <f t="shared" si="0"/>
        <v>19163.669999999998</v>
      </c>
      <c r="G23" s="94">
        <v>18950.900000000001</v>
      </c>
      <c r="H23" s="31"/>
      <c r="I23" s="31"/>
      <c r="J23" s="31"/>
      <c r="K23" s="93">
        <f t="shared" si="1"/>
        <v>18950.900000000001</v>
      </c>
      <c r="L23" s="94">
        <v>21104.23</v>
      </c>
      <c r="M23" s="31"/>
      <c r="N23" s="31"/>
      <c r="O23" s="31"/>
      <c r="P23" s="93">
        <f t="shared" si="2"/>
        <v>21104.23</v>
      </c>
      <c r="Q23" s="2" t="str">
        <f>'TABLA 2'!J23</f>
        <v>Union Européenne</v>
      </c>
      <c r="S23" s="65"/>
      <c r="T23" s="66"/>
      <c r="W23" s="65"/>
      <c r="X23" s="65"/>
    </row>
    <row r="24" spans="1:24" s="1" customFormat="1" ht="21" customHeight="1" x14ac:dyDescent="0.2">
      <c r="A24" s="115" t="str">
        <f>'TABLA 2'!B24</f>
        <v xml:space="preserve">United Kingdom of Great Britain and Northern Ireland </v>
      </c>
      <c r="B24" s="94">
        <v>2.92</v>
      </c>
      <c r="C24" s="31"/>
      <c r="D24" s="31">
        <v>0.71</v>
      </c>
      <c r="E24" s="31"/>
      <c r="F24" s="93">
        <f t="shared" si="0"/>
        <v>3.63</v>
      </c>
      <c r="G24" s="94">
        <v>4.6100000000000003</v>
      </c>
      <c r="H24" s="31"/>
      <c r="I24" s="31">
        <v>0</v>
      </c>
      <c r="J24" s="31"/>
      <c r="K24" s="93">
        <f t="shared" si="1"/>
        <v>4.6100000000000003</v>
      </c>
      <c r="L24" s="94">
        <v>22.1</v>
      </c>
      <c r="M24" s="31"/>
      <c r="N24" s="31">
        <v>0.55000000000000004</v>
      </c>
      <c r="O24" s="31"/>
      <c r="P24" s="93">
        <f t="shared" si="2"/>
        <v>22.650000000000002</v>
      </c>
      <c r="Q24" s="116" t="str">
        <f>'TABLA 2'!J24</f>
        <v xml:space="preserve">United Kingdom of Great Britain and Northern Ireland </v>
      </c>
      <c r="S24" s="65"/>
      <c r="T24" s="66"/>
      <c r="W24" s="65"/>
      <c r="X24" s="65"/>
    </row>
    <row r="25" spans="1:24" s="1" customFormat="1" ht="10.5" customHeight="1" x14ac:dyDescent="0.2">
      <c r="A25" s="17" t="str">
        <f>'TABLA 2'!B25</f>
        <v>United States</v>
      </c>
      <c r="B25" s="94"/>
      <c r="C25" s="31"/>
      <c r="D25" s="31">
        <v>1205.69</v>
      </c>
      <c r="E25" s="31"/>
      <c r="F25" s="93">
        <f t="shared" si="0"/>
        <v>1205.69</v>
      </c>
      <c r="G25" s="94"/>
      <c r="H25" s="31"/>
      <c r="I25" s="31">
        <v>1361.89</v>
      </c>
      <c r="J25" s="31"/>
      <c r="K25" s="93">
        <f t="shared" si="1"/>
        <v>1361.89</v>
      </c>
      <c r="L25" s="94"/>
      <c r="M25" s="31"/>
      <c r="N25" s="31">
        <v>1311.26</v>
      </c>
      <c r="O25" s="31"/>
      <c r="P25" s="93">
        <f t="shared" si="2"/>
        <v>1311.26</v>
      </c>
      <c r="Q25" s="2" t="str">
        <f>'TABLA 2'!J25</f>
        <v>United States</v>
      </c>
      <c r="S25" s="65"/>
      <c r="T25" s="66"/>
      <c r="W25" s="65"/>
      <c r="X25" s="65"/>
    </row>
    <row r="26" spans="1:24" s="1" customFormat="1" ht="10.5" customHeight="1" x14ac:dyDescent="0.2">
      <c r="A26" s="67" t="s">
        <v>10</v>
      </c>
      <c r="B26" s="95">
        <f>SUM(B7:B25)</f>
        <v>35097.262999999999</v>
      </c>
      <c r="C26" s="96"/>
      <c r="D26" s="96">
        <f>SUM(D7:D25)</f>
        <v>2306.5</v>
      </c>
      <c r="E26" s="96"/>
      <c r="F26" s="97">
        <f>SUM(F7:F25)</f>
        <v>37403.762999999999</v>
      </c>
      <c r="G26" s="95">
        <f>SUM(G7:G25)</f>
        <v>34991.22</v>
      </c>
      <c r="H26" s="96"/>
      <c r="I26" s="96">
        <f>SUM(I7:I25)</f>
        <v>2714.8599999999997</v>
      </c>
      <c r="J26" s="96"/>
      <c r="K26" s="96">
        <f>SUM(K7:K25)</f>
        <v>37706.080000000002</v>
      </c>
      <c r="L26" s="95">
        <f>SUM(L7:L25)</f>
        <v>39458.590000000004</v>
      </c>
      <c r="M26" s="96"/>
      <c r="N26" s="96">
        <f>SUM(N7:N25)</f>
        <v>2586.2999999999997</v>
      </c>
      <c r="O26" s="96"/>
      <c r="P26" s="97">
        <f>SUM(P7:P25)</f>
        <v>42044.890000000007</v>
      </c>
      <c r="Q26" s="68" t="s">
        <v>10</v>
      </c>
    </row>
    <row r="27" spans="1:24" ht="6" customHeight="1" x14ac:dyDescent="0.25">
      <c r="B27" s="69"/>
      <c r="C27" s="69"/>
      <c r="D27" s="69"/>
      <c r="E27" s="69"/>
      <c r="F27" s="69"/>
      <c r="I27" s="69"/>
      <c r="J27" s="69"/>
      <c r="K27" s="69"/>
      <c r="L27" s="69"/>
      <c r="M27" s="69"/>
      <c r="N27" s="69"/>
      <c r="O27" s="69"/>
      <c r="P27" s="69"/>
      <c r="Q27" s="25"/>
    </row>
    <row r="28" spans="1:24" s="70" customFormat="1" ht="9.15" customHeight="1" x14ac:dyDescent="0.2">
      <c r="A28" s="70" t="s">
        <v>249</v>
      </c>
      <c r="B28" s="71"/>
      <c r="C28" s="71"/>
      <c r="D28" s="72"/>
      <c r="E28" s="72"/>
      <c r="F28" s="72"/>
      <c r="G28" s="71"/>
      <c r="H28" s="71"/>
      <c r="I28" s="72"/>
      <c r="J28" s="72"/>
      <c r="K28" s="72"/>
      <c r="L28" s="71"/>
      <c r="M28" s="71"/>
      <c r="N28" s="72"/>
      <c r="O28" s="72"/>
      <c r="P28" s="72"/>
      <c r="Q28" s="72"/>
    </row>
    <row r="29" spans="1:24" s="70" customFormat="1" ht="9.15" customHeight="1" x14ac:dyDescent="0.2">
      <c r="A29" s="70" t="s">
        <v>250</v>
      </c>
      <c r="B29" s="71"/>
      <c r="C29" s="71"/>
      <c r="D29" s="72"/>
      <c r="E29" s="72"/>
      <c r="F29" s="72"/>
      <c r="G29" s="71"/>
      <c r="H29" s="71"/>
      <c r="I29" s="72"/>
      <c r="J29" s="72"/>
      <c r="K29" s="72"/>
      <c r="L29" s="71"/>
      <c r="M29" s="71"/>
      <c r="N29" s="72"/>
      <c r="O29" s="72"/>
      <c r="P29" s="72"/>
      <c r="Q29" s="72"/>
    </row>
    <row r="30" spans="1:24" s="70" customFormat="1" ht="9.15" customHeight="1" x14ac:dyDescent="0.2">
      <c r="A30" s="70" t="s">
        <v>251</v>
      </c>
      <c r="B30" s="71"/>
      <c r="C30" s="71"/>
      <c r="D30" s="72"/>
      <c r="E30" s="72"/>
      <c r="F30" s="72"/>
      <c r="G30" s="71"/>
      <c r="H30" s="71"/>
      <c r="I30" s="72"/>
      <c r="J30" s="72"/>
      <c r="K30" s="72"/>
      <c r="L30" s="71"/>
      <c r="M30" s="71"/>
      <c r="N30" s="72"/>
      <c r="O30" s="72"/>
      <c r="P30" s="72"/>
      <c r="Q30" s="72"/>
    </row>
    <row r="31" spans="1:24" s="70" customFormat="1" ht="9.15" customHeight="1" x14ac:dyDescent="0.2">
      <c r="A31" s="73"/>
      <c r="B31" s="71"/>
      <c r="C31" s="71"/>
      <c r="D31" s="72"/>
      <c r="E31" s="72"/>
      <c r="F31" s="72"/>
      <c r="G31" s="71"/>
      <c r="H31" s="71"/>
      <c r="I31" s="72"/>
      <c r="J31" s="72"/>
      <c r="K31" s="72"/>
      <c r="L31" s="71"/>
      <c r="M31" s="71"/>
      <c r="N31" s="72"/>
      <c r="O31" s="72"/>
      <c r="P31" s="72"/>
      <c r="Q31" s="72"/>
    </row>
  </sheetData>
  <mergeCells count="1">
    <mergeCell ref="A1:Q1"/>
  </mergeCells>
  <phoneticPr fontId="0" type="noConversion"/>
  <printOptions horizontalCentered="1"/>
  <pageMargins left="0.78740157480314965" right="0.78740157480314965" top="0.31496062992125984" bottom="0.31496062992125984" header="0" footer="0.39370078740157483"/>
  <pageSetup paperSize="9" scale="8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0"/>
  <sheetViews>
    <sheetView showGridLines="0" zoomScaleNormal="100" workbookViewId="0">
      <selection activeCell="H3" sqref="H3"/>
    </sheetView>
  </sheetViews>
  <sheetFormatPr baseColWidth="10" defaultColWidth="11.44140625" defaultRowHeight="10.199999999999999" x14ac:dyDescent="0.2"/>
  <cols>
    <col min="1" max="1" width="2.5546875" style="25" customWidth="1"/>
    <col min="2" max="4" width="44.5546875" style="25" customWidth="1"/>
    <col min="5" max="16384" width="11.44140625" style="25"/>
  </cols>
  <sheetData>
    <row r="1" spans="1:4" ht="12.9" customHeight="1" x14ac:dyDescent="0.25">
      <c r="A1" s="132" t="s">
        <v>62</v>
      </c>
      <c r="B1" s="132"/>
      <c r="C1" s="132"/>
      <c r="D1" s="132"/>
    </row>
    <row r="2" spans="1:4" x14ac:dyDescent="0.2">
      <c r="A2" s="46" t="s">
        <v>50</v>
      </c>
    </row>
    <row r="3" spans="1:4" ht="112.5" customHeight="1" x14ac:dyDescent="0.2">
      <c r="A3" s="74" t="s">
        <v>26</v>
      </c>
      <c r="B3" s="75" t="s">
        <v>63</v>
      </c>
      <c r="C3" s="75" t="s">
        <v>64</v>
      </c>
      <c r="D3" s="76" t="s">
        <v>65</v>
      </c>
    </row>
    <row r="4" spans="1:4" x14ac:dyDescent="0.2">
      <c r="A4" s="77" t="s">
        <v>27</v>
      </c>
      <c r="B4" s="78" t="s">
        <v>231</v>
      </c>
      <c r="C4" s="78" t="s">
        <v>232</v>
      </c>
      <c r="D4" s="79" t="s">
        <v>233</v>
      </c>
    </row>
    <row r="5" spans="1:4" ht="20.399999999999999" x14ac:dyDescent="0.2">
      <c r="A5" s="77" t="s">
        <v>28</v>
      </c>
      <c r="B5" s="78" t="s">
        <v>234</v>
      </c>
      <c r="C5" s="78" t="s">
        <v>235</v>
      </c>
      <c r="D5" s="79" t="s">
        <v>236</v>
      </c>
    </row>
    <row r="6" spans="1:4" ht="61.2" x14ac:dyDescent="0.2">
      <c r="A6" s="77" t="s">
        <v>29</v>
      </c>
      <c r="B6" s="78" t="s">
        <v>195</v>
      </c>
      <c r="C6" s="78" t="s">
        <v>123</v>
      </c>
      <c r="D6" s="79" t="s">
        <v>155</v>
      </c>
    </row>
    <row r="7" spans="1:4" x14ac:dyDescent="0.2">
      <c r="A7" s="83" t="s">
        <v>228</v>
      </c>
      <c r="B7" s="84"/>
      <c r="C7" s="84"/>
      <c r="D7" s="84"/>
    </row>
    <row r="8" spans="1:4" x14ac:dyDescent="0.2">
      <c r="A8" s="74" t="s">
        <v>26</v>
      </c>
      <c r="B8" s="75" t="s">
        <v>52</v>
      </c>
      <c r="C8" s="75" t="s">
        <v>53</v>
      </c>
      <c r="D8" s="76" t="s">
        <v>54</v>
      </c>
    </row>
    <row r="9" spans="1:4" ht="20.399999999999999" x14ac:dyDescent="0.2">
      <c r="A9" s="77" t="s">
        <v>27</v>
      </c>
      <c r="B9" s="79" t="s">
        <v>196</v>
      </c>
      <c r="C9" s="78" t="s">
        <v>177</v>
      </c>
      <c r="D9" s="79" t="s">
        <v>127</v>
      </c>
    </row>
    <row r="10" spans="1:4" ht="30.6" x14ac:dyDescent="0.2">
      <c r="A10" s="77" t="s">
        <v>28</v>
      </c>
      <c r="B10" s="79" t="s">
        <v>197</v>
      </c>
      <c r="C10" s="78" t="s">
        <v>178</v>
      </c>
      <c r="D10" s="79" t="s">
        <v>101</v>
      </c>
    </row>
    <row r="11" spans="1:4" ht="30.6" x14ac:dyDescent="0.2">
      <c r="A11" s="77" t="s">
        <v>29</v>
      </c>
      <c r="B11" s="79" t="s">
        <v>198</v>
      </c>
      <c r="C11" s="78" t="s">
        <v>179</v>
      </c>
      <c r="D11" s="79" t="s">
        <v>102</v>
      </c>
    </row>
    <row r="12" spans="1:4" x14ac:dyDescent="0.2">
      <c r="A12" s="77" t="s">
        <v>30</v>
      </c>
      <c r="B12" s="79" t="s">
        <v>199</v>
      </c>
      <c r="C12" s="78" t="s">
        <v>180</v>
      </c>
      <c r="D12" s="79" t="s">
        <v>103</v>
      </c>
    </row>
    <row r="13" spans="1:4" ht="20.399999999999999" x14ac:dyDescent="0.2">
      <c r="A13" s="77" t="s">
        <v>31</v>
      </c>
      <c r="B13" s="79" t="s">
        <v>194</v>
      </c>
      <c r="C13" s="78" t="s">
        <v>181</v>
      </c>
      <c r="D13" s="79" t="s">
        <v>108</v>
      </c>
    </row>
    <row r="14" spans="1:4" ht="20.399999999999999" x14ac:dyDescent="0.2">
      <c r="A14" s="77" t="s">
        <v>32</v>
      </c>
      <c r="B14" s="79" t="s">
        <v>200</v>
      </c>
      <c r="C14" s="78" t="s">
        <v>182</v>
      </c>
      <c r="D14" s="79" t="s">
        <v>183</v>
      </c>
    </row>
    <row r="15" spans="1:4" ht="30.6" x14ac:dyDescent="0.2">
      <c r="A15" s="105" t="s">
        <v>33</v>
      </c>
      <c r="B15" s="107" t="s">
        <v>201</v>
      </c>
      <c r="C15" s="106" t="s">
        <v>184</v>
      </c>
      <c r="D15" s="107" t="s">
        <v>109</v>
      </c>
    </row>
    <row r="16" spans="1:4" x14ac:dyDescent="0.2">
      <c r="A16" s="80" t="s">
        <v>34</v>
      </c>
      <c r="B16" s="81" t="s">
        <v>55</v>
      </c>
      <c r="C16" s="81" t="s">
        <v>56</v>
      </c>
      <c r="D16" s="82" t="s">
        <v>57</v>
      </c>
    </row>
    <row r="17" spans="1:4" x14ac:dyDescent="0.2">
      <c r="A17" s="83" t="s">
        <v>229</v>
      </c>
      <c r="B17" s="84"/>
      <c r="C17" s="84"/>
      <c r="D17" s="84"/>
    </row>
    <row r="18" spans="1:4" x14ac:dyDescent="0.2">
      <c r="A18" s="74" t="s">
        <v>26</v>
      </c>
      <c r="B18" s="75" t="s">
        <v>58</v>
      </c>
      <c r="C18" s="75" t="s">
        <v>59</v>
      </c>
      <c r="D18" s="76" t="s">
        <v>154</v>
      </c>
    </row>
    <row r="19" spans="1:4" x14ac:dyDescent="0.2">
      <c r="A19" s="77" t="s">
        <v>27</v>
      </c>
      <c r="B19" s="79" t="s">
        <v>202</v>
      </c>
      <c r="C19" s="78" t="s">
        <v>185</v>
      </c>
      <c r="D19" s="79" t="s">
        <v>117</v>
      </c>
    </row>
    <row r="20" spans="1:4" ht="20.399999999999999" x14ac:dyDescent="0.2">
      <c r="A20" s="77" t="s">
        <v>28</v>
      </c>
      <c r="B20" s="79" t="s">
        <v>203</v>
      </c>
      <c r="C20" s="78" t="s">
        <v>186</v>
      </c>
      <c r="D20" s="79" t="s">
        <v>118</v>
      </c>
    </row>
    <row r="21" spans="1:4" ht="20.399999999999999" x14ac:dyDescent="0.2">
      <c r="A21" s="77" t="s">
        <v>29</v>
      </c>
      <c r="B21" s="79" t="s">
        <v>204</v>
      </c>
      <c r="C21" s="78" t="s">
        <v>187</v>
      </c>
      <c r="D21" s="79" t="s">
        <v>135</v>
      </c>
    </row>
    <row r="22" spans="1:4" ht="20.399999999999999" x14ac:dyDescent="0.2">
      <c r="A22" s="77" t="s">
        <v>30</v>
      </c>
      <c r="B22" s="79" t="s">
        <v>205</v>
      </c>
      <c r="C22" s="78" t="s">
        <v>188</v>
      </c>
      <c r="D22" s="79" t="s">
        <v>60</v>
      </c>
    </row>
    <row r="23" spans="1:4" x14ac:dyDescent="0.2">
      <c r="A23" s="77" t="s">
        <v>31</v>
      </c>
      <c r="B23" s="79" t="s">
        <v>206</v>
      </c>
      <c r="C23" s="78" t="s">
        <v>189</v>
      </c>
      <c r="D23" s="79" t="s">
        <v>61</v>
      </c>
    </row>
    <row r="24" spans="1:4" x14ac:dyDescent="0.2">
      <c r="A24" s="77" t="s">
        <v>32</v>
      </c>
      <c r="B24" s="79" t="s">
        <v>207</v>
      </c>
      <c r="C24" s="78" t="s">
        <v>190</v>
      </c>
      <c r="D24" s="79" t="s">
        <v>122</v>
      </c>
    </row>
    <row r="25" spans="1:4" ht="30.6" x14ac:dyDescent="0.2">
      <c r="A25" s="77" t="s">
        <v>33</v>
      </c>
      <c r="B25" s="79" t="s">
        <v>208</v>
      </c>
      <c r="C25" s="78" t="s">
        <v>191</v>
      </c>
      <c r="D25" s="79" t="s">
        <v>128</v>
      </c>
    </row>
    <row r="26" spans="1:4" ht="30.6" x14ac:dyDescent="0.2">
      <c r="A26" s="77" t="s">
        <v>34</v>
      </c>
      <c r="B26" s="79" t="s">
        <v>209</v>
      </c>
      <c r="C26" s="78" t="s">
        <v>192</v>
      </c>
      <c r="D26" s="79" t="s">
        <v>129</v>
      </c>
    </row>
    <row r="27" spans="1:4" ht="20.399999999999999" x14ac:dyDescent="0.2">
      <c r="A27" s="77" t="s">
        <v>120</v>
      </c>
      <c r="B27" s="79" t="s">
        <v>210</v>
      </c>
      <c r="C27" s="78" t="s">
        <v>193</v>
      </c>
      <c r="D27" s="79" t="s">
        <v>119</v>
      </c>
    </row>
    <row r="28" spans="1:4" x14ac:dyDescent="0.2">
      <c r="A28" s="80" t="s">
        <v>121</v>
      </c>
      <c r="B28" s="81" t="s">
        <v>55</v>
      </c>
      <c r="C28" s="81" t="s">
        <v>56</v>
      </c>
      <c r="D28" s="82" t="s">
        <v>57</v>
      </c>
    </row>
    <row r="29" spans="1:4" x14ac:dyDescent="0.2">
      <c r="B29" s="84"/>
      <c r="C29" s="84"/>
      <c r="D29" s="84"/>
    </row>
    <row r="30" spans="1:4" x14ac:dyDescent="0.2">
      <c r="B30" s="84"/>
      <c r="C30" s="84"/>
      <c r="D30" s="84"/>
    </row>
    <row r="31" spans="1:4" x14ac:dyDescent="0.2">
      <c r="B31" s="84"/>
      <c r="C31" s="84"/>
      <c r="D31" s="84"/>
    </row>
    <row r="32" spans="1:4" x14ac:dyDescent="0.2">
      <c r="B32" s="84"/>
      <c r="C32" s="84"/>
      <c r="D32" s="84"/>
    </row>
    <row r="33" spans="2:4" x14ac:dyDescent="0.2">
      <c r="B33" s="84"/>
      <c r="C33" s="84"/>
      <c r="D33" s="84"/>
    </row>
    <row r="34" spans="2:4" x14ac:dyDescent="0.2">
      <c r="B34" s="84"/>
      <c r="C34" s="84"/>
      <c r="D34" s="84"/>
    </row>
    <row r="35" spans="2:4" x14ac:dyDescent="0.2">
      <c r="B35" s="84"/>
      <c r="C35" s="84"/>
      <c r="D35" s="84"/>
    </row>
    <row r="36" spans="2:4" x14ac:dyDescent="0.2">
      <c r="B36" s="84"/>
      <c r="C36" s="84"/>
      <c r="D36" s="84"/>
    </row>
    <row r="37" spans="2:4" x14ac:dyDescent="0.2">
      <c r="B37" s="84"/>
      <c r="C37" s="84"/>
      <c r="D37" s="84"/>
    </row>
    <row r="38" spans="2:4" x14ac:dyDescent="0.2">
      <c r="B38" s="84"/>
      <c r="C38" s="84"/>
      <c r="D38" s="84"/>
    </row>
    <row r="39" spans="2:4" x14ac:dyDescent="0.2">
      <c r="B39" s="84"/>
      <c r="C39" s="84"/>
      <c r="D39" s="84"/>
    </row>
    <row r="40" spans="2:4" x14ac:dyDescent="0.2">
      <c r="B40" s="84"/>
      <c r="C40" s="84"/>
      <c r="D40" s="84"/>
    </row>
  </sheetData>
  <mergeCells count="1">
    <mergeCell ref="A1:D1"/>
  </mergeCells>
  <phoneticPr fontId="1" type="noConversion"/>
  <printOptions horizontalCentered="1" verticalCentered="1"/>
  <pageMargins left="0.59055118110236227" right="0.59055118110236227" top="0.31496062992125984" bottom="0.39370078740157483" header="0" footer="0.19685039370078741"/>
  <pageSetup paperSize="9" scale="85"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TABLA 1 BUDGET-PRESUPUESTO</vt:lpstr>
      <vt:lpstr>TABLA 2</vt:lpstr>
      <vt:lpstr>TABLA 3</vt:lpstr>
      <vt:lpstr>TABLA 4</vt:lpstr>
      <vt:lpstr>TABLA 5</vt:lpstr>
      <vt:lpstr>TABLA 6</vt:lpstr>
      <vt:lpstr>TABLA 7</vt:lpstr>
      <vt:lpstr>Anexo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Protectora</dc:creator>
  <cp:lastModifiedBy>Africa Martín</cp:lastModifiedBy>
  <cp:lastPrinted>2025-08-20T14:20:40Z</cp:lastPrinted>
  <dcterms:created xsi:type="dcterms:W3CDTF">2003-02-19T07:57:37Z</dcterms:created>
  <dcterms:modified xsi:type="dcterms:W3CDTF">2025-11-23T14:24:12Z</dcterms:modified>
</cp:coreProperties>
</file>