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nadata\WorkingPublications\2025_Commission\1_Documents\TRI\"/>
    </mc:Choice>
  </mc:AlternateContent>
  <xr:revisionPtr revIDLastSave="0" documentId="8_{3EA2A108-EA7D-448D-A298-DE9FD033550E}" xr6:coauthVersionLast="47" xr6:coauthVersionMax="47" xr10:uidLastSave="{00000000-0000-0000-0000-000000000000}"/>
  <bookViews>
    <workbookView xWindow="-106" yWindow="-106" windowWidth="24953" windowHeight="13424" tabRatio="726" xr2:uid="{00000000-000D-0000-FFFF-FFFF00000000}"/>
  </bookViews>
  <sheets>
    <sheet name="TABLA 1 PRESUPUESTO" sheetId="5" r:id="rId1"/>
    <sheet name="TABLA 2" sheetId="1" r:id="rId2"/>
    <sheet name="TABLA 3" sheetId="2" r:id="rId3"/>
    <sheet name="TABLA 4" sheetId="3" r:id="rId4"/>
    <sheet name="TABLA 5" sheetId="9" r:id="rId5"/>
    <sheet name="TABLA 6" sheetId="10" r:id="rId6"/>
    <sheet name="TABLA 7 CATCH AND CANNING" sheetId="4" r:id="rId7"/>
    <sheet name="Anexo" sheetId="8" r:id="rId8"/>
  </sheets>
  <definedNames>
    <definedName name="_xlnm.Print_Area" localSheetId="3">'TABLA 4'!$A$1:$K$21</definedName>
    <definedName name="_xlnm.Print_Area" localSheetId="5">'TABLA 6'!$A$1:$K$22</definedName>
    <definedName name="_xlnm.Print_Area" localSheetId="6">'TABLA 7 CATCH AND CANNING'!$A$1:$Q$67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" l="1"/>
  <c r="K40" i="4"/>
  <c r="P40" i="4"/>
  <c r="Q40" i="4"/>
  <c r="C42" i="9"/>
  <c r="D42" i="9"/>
  <c r="F42" i="9" s="1"/>
  <c r="E42" i="9"/>
  <c r="G42" i="9" s="1"/>
  <c r="H42" i="9"/>
  <c r="I42" i="9"/>
  <c r="M42" i="9"/>
  <c r="B42" i="9"/>
  <c r="C42" i="2"/>
  <c r="D42" i="2"/>
  <c r="E42" i="2"/>
  <c r="I42" i="2" s="1"/>
  <c r="H42" i="2"/>
  <c r="M42" i="2"/>
  <c r="B42" i="2"/>
  <c r="J40" i="1"/>
  <c r="H40" i="1"/>
  <c r="F40" i="1"/>
  <c r="E40" i="1"/>
  <c r="K2" i="9" l="1"/>
  <c r="K2" i="2"/>
  <c r="E24" i="5" l="1"/>
  <c r="E30" i="5"/>
  <c r="H49" i="9" l="1"/>
  <c r="H40" i="9"/>
  <c r="H41" i="9"/>
  <c r="H43" i="9"/>
  <c r="H44" i="9"/>
  <c r="H45" i="9"/>
  <c r="H46" i="9"/>
  <c r="H47" i="9"/>
  <c r="H48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G30" i="5"/>
  <c r="G31" i="5"/>
  <c r="F31" i="5" s="1"/>
  <c r="G32" i="5"/>
  <c r="F32" i="5" s="1"/>
  <c r="F29" i="5"/>
  <c r="G22" i="5"/>
  <c r="F22" i="5" s="1"/>
  <c r="G23" i="5"/>
  <c r="G24" i="5"/>
  <c r="F24" i="5" s="1"/>
  <c r="G25" i="5"/>
  <c r="G26" i="5"/>
  <c r="F26" i="5" s="1"/>
  <c r="G27" i="5"/>
  <c r="F27" i="5" s="1"/>
  <c r="G21" i="5"/>
  <c r="F21" i="5" s="1"/>
  <c r="G17" i="5"/>
  <c r="G18" i="5"/>
  <c r="F18" i="5" s="1"/>
  <c r="G19" i="5"/>
  <c r="F19" i="5" s="1"/>
  <c r="G16" i="5"/>
  <c r="F16" i="5" s="1"/>
  <c r="G8" i="5"/>
  <c r="G9" i="5"/>
  <c r="F9" i="5" s="1"/>
  <c r="G10" i="5"/>
  <c r="F10" i="5" s="1"/>
  <c r="G11" i="5"/>
  <c r="F11" i="5" s="1"/>
  <c r="G12" i="5"/>
  <c r="F12" i="5" s="1"/>
  <c r="G13" i="5"/>
  <c r="F13" i="5" s="1"/>
  <c r="G7" i="5"/>
  <c r="F7" i="5" s="1"/>
  <c r="M63" i="9"/>
  <c r="E63" i="9"/>
  <c r="B63" i="9"/>
  <c r="M62" i="9"/>
  <c r="E62" i="9"/>
  <c r="B62" i="9"/>
  <c r="M61" i="9"/>
  <c r="E61" i="9"/>
  <c r="C61" i="9"/>
  <c r="B61" i="9"/>
  <c r="M60" i="9"/>
  <c r="E60" i="9"/>
  <c r="I60" i="9" s="1"/>
  <c r="C60" i="9"/>
  <c r="B60" i="9"/>
  <c r="M59" i="9"/>
  <c r="E59" i="9"/>
  <c r="C59" i="9"/>
  <c r="B59" i="9"/>
  <c r="M58" i="9"/>
  <c r="E58" i="9"/>
  <c r="B58" i="9"/>
  <c r="M57" i="9"/>
  <c r="E57" i="9"/>
  <c r="B57" i="9"/>
  <c r="M56" i="9"/>
  <c r="E56" i="9"/>
  <c r="B56" i="9"/>
  <c r="M55" i="9"/>
  <c r="E55" i="9"/>
  <c r="B55" i="9"/>
  <c r="M54" i="9"/>
  <c r="E54" i="9"/>
  <c r="B54" i="9"/>
  <c r="M53" i="9"/>
  <c r="E53" i="9"/>
  <c r="B53" i="9"/>
  <c r="M52" i="9"/>
  <c r="E52" i="9"/>
  <c r="B52" i="9"/>
  <c r="M51" i="9"/>
  <c r="E51" i="9"/>
  <c r="B51" i="9"/>
  <c r="M50" i="9"/>
  <c r="E50" i="9"/>
  <c r="B50" i="9"/>
  <c r="M49" i="9"/>
  <c r="E49" i="9"/>
  <c r="C49" i="9"/>
  <c r="B49" i="9"/>
  <c r="M48" i="9"/>
  <c r="E48" i="9"/>
  <c r="B48" i="9"/>
  <c r="M47" i="9"/>
  <c r="E47" i="9"/>
  <c r="B47" i="9"/>
  <c r="M46" i="9"/>
  <c r="E46" i="9"/>
  <c r="C46" i="9"/>
  <c r="B46" i="9"/>
  <c r="M45" i="9"/>
  <c r="E45" i="9"/>
  <c r="B45" i="9"/>
  <c r="M44" i="9"/>
  <c r="E44" i="9"/>
  <c r="I44" i="9" s="1"/>
  <c r="B44" i="9"/>
  <c r="M43" i="9"/>
  <c r="E43" i="9"/>
  <c r="I43" i="9" s="1"/>
  <c r="B43" i="9"/>
  <c r="M41" i="9"/>
  <c r="E41" i="9"/>
  <c r="B41" i="9"/>
  <c r="M40" i="9"/>
  <c r="E40" i="9"/>
  <c r="B40" i="9"/>
  <c r="M39" i="9"/>
  <c r="E39" i="9"/>
  <c r="B39" i="9"/>
  <c r="M38" i="9"/>
  <c r="E38" i="9"/>
  <c r="B38" i="9"/>
  <c r="M37" i="9"/>
  <c r="E37" i="9"/>
  <c r="I37" i="9" s="1"/>
  <c r="B37" i="9"/>
  <c r="M36" i="9"/>
  <c r="E36" i="9"/>
  <c r="I36" i="9" s="1"/>
  <c r="C36" i="9"/>
  <c r="B36" i="9"/>
  <c r="M35" i="9"/>
  <c r="E35" i="9"/>
  <c r="C35" i="9"/>
  <c r="B35" i="9"/>
  <c r="M34" i="9"/>
  <c r="E34" i="9"/>
  <c r="C34" i="9"/>
  <c r="B34" i="9"/>
  <c r="M33" i="9"/>
  <c r="E33" i="9"/>
  <c r="B33" i="9"/>
  <c r="M32" i="9"/>
  <c r="E32" i="9"/>
  <c r="B32" i="9"/>
  <c r="M31" i="9"/>
  <c r="E31" i="9"/>
  <c r="B31" i="9"/>
  <c r="M30" i="9"/>
  <c r="E30" i="9"/>
  <c r="B30" i="9"/>
  <c r="M29" i="9"/>
  <c r="E29" i="9"/>
  <c r="B29" i="9"/>
  <c r="M28" i="9"/>
  <c r="E28" i="9"/>
  <c r="B28" i="9"/>
  <c r="M27" i="9"/>
  <c r="E27" i="9"/>
  <c r="B27" i="9"/>
  <c r="M26" i="9"/>
  <c r="E26" i="9"/>
  <c r="B26" i="9"/>
  <c r="M25" i="9"/>
  <c r="E25" i="9"/>
  <c r="B25" i="9"/>
  <c r="M24" i="9"/>
  <c r="E24" i="9"/>
  <c r="C24" i="9"/>
  <c r="B24" i="9"/>
  <c r="M23" i="9"/>
  <c r="E23" i="9"/>
  <c r="B23" i="9"/>
  <c r="M22" i="9"/>
  <c r="E22" i="9"/>
  <c r="B22" i="9"/>
  <c r="M21" i="9"/>
  <c r="E21" i="9"/>
  <c r="C21" i="9"/>
  <c r="B21" i="9"/>
  <c r="M20" i="9"/>
  <c r="E20" i="9"/>
  <c r="I20" i="9" s="1"/>
  <c r="B20" i="9"/>
  <c r="M19" i="9"/>
  <c r="E19" i="9"/>
  <c r="B19" i="9"/>
  <c r="M18" i="9"/>
  <c r="E18" i="9"/>
  <c r="B18" i="9"/>
  <c r="M17" i="9"/>
  <c r="E17" i="9"/>
  <c r="B17" i="9"/>
  <c r="M16" i="9"/>
  <c r="E16" i="9"/>
  <c r="C16" i="9"/>
  <c r="B16" i="9"/>
  <c r="M15" i="9"/>
  <c r="E15" i="9"/>
  <c r="B15" i="9"/>
  <c r="M14" i="9"/>
  <c r="E14" i="9"/>
  <c r="B14" i="9"/>
  <c r="M13" i="9"/>
  <c r="E13" i="9"/>
  <c r="B13" i="9"/>
  <c r="M12" i="9"/>
  <c r="E12" i="9"/>
  <c r="B12" i="9"/>
  <c r="M11" i="9"/>
  <c r="E11" i="9"/>
  <c r="B11" i="9"/>
  <c r="M10" i="9"/>
  <c r="E10" i="9"/>
  <c r="B10" i="9"/>
  <c r="M9" i="9"/>
  <c r="E9" i="9"/>
  <c r="C9" i="9"/>
  <c r="B9" i="9"/>
  <c r="I56" i="9" l="1"/>
  <c r="I52" i="9"/>
  <c r="I17" i="9"/>
  <c r="I55" i="9"/>
  <c r="I24" i="9"/>
  <c r="I23" i="9"/>
  <c r="I29" i="9"/>
  <c r="I53" i="9"/>
  <c r="I15" i="9"/>
  <c r="I25" i="9"/>
  <c r="I12" i="9"/>
  <c r="I16" i="9"/>
  <c r="I19" i="9"/>
  <c r="I32" i="9"/>
  <c r="I35" i="9"/>
  <c r="I22" i="9"/>
  <c r="I10" i="9"/>
  <c r="I11" i="9"/>
  <c r="I34" i="9"/>
  <c r="I21" i="9"/>
  <c r="I51" i="9"/>
  <c r="I33" i="9"/>
  <c r="I62" i="9"/>
  <c r="I50" i="9"/>
  <c r="I48" i="9"/>
  <c r="I31" i="9"/>
  <c r="I18" i="9"/>
  <c r="I46" i="9"/>
  <c r="I59" i="9"/>
  <c r="I58" i="9"/>
  <c r="I57" i="9"/>
  <c r="I28" i="9"/>
  <c r="I39" i="9"/>
  <c r="I27" i="9"/>
  <c r="I38" i="9"/>
  <c r="I26" i="9"/>
  <c r="I41" i="9"/>
  <c r="I40" i="9"/>
  <c r="I13" i="9"/>
  <c r="I54" i="9"/>
  <c r="I49" i="9"/>
  <c r="I61" i="9"/>
  <c r="I45" i="9"/>
  <c r="I63" i="9"/>
  <c r="I47" i="9"/>
  <c r="I30" i="9"/>
  <c r="I14" i="9"/>
  <c r="H9" i="9"/>
  <c r="I9" i="9" l="1"/>
  <c r="F30" i="5" l="1"/>
  <c r="F25" i="5" l="1"/>
  <c r="D9" i="5" l="1"/>
  <c r="D10" i="5"/>
  <c r="D11" i="5"/>
  <c r="D12" i="5"/>
  <c r="D13" i="5"/>
  <c r="D16" i="5"/>
  <c r="D18" i="5"/>
  <c r="D19" i="5"/>
  <c r="D21" i="5"/>
  <c r="D22" i="5"/>
  <c r="D24" i="5"/>
  <c r="D25" i="5"/>
  <c r="D26" i="5"/>
  <c r="D27" i="5"/>
  <c r="D30" i="5"/>
  <c r="D31" i="5"/>
  <c r="D32" i="5"/>
  <c r="D7" i="5"/>
  <c r="C28" i="5" l="1"/>
  <c r="C20" i="5"/>
  <c r="C14" i="5"/>
  <c r="C34" i="5" l="1"/>
  <c r="E14" i="5"/>
  <c r="D14" i="5" s="1"/>
  <c r="H10" i="2" l="1"/>
  <c r="H11" i="2"/>
  <c r="H12" i="2"/>
  <c r="H13" i="2"/>
  <c r="H14" i="2"/>
  <c r="H15" i="2"/>
  <c r="H16" i="2"/>
  <c r="H17" i="2"/>
  <c r="H18" i="2"/>
  <c r="H19" i="2"/>
  <c r="H20" i="2"/>
  <c r="H21" i="2"/>
  <c r="I21" i="2" s="1"/>
  <c r="H22" i="2"/>
  <c r="I22" i="2" s="1"/>
  <c r="H23" i="2"/>
  <c r="I23" i="2" s="1"/>
  <c r="H24" i="2"/>
  <c r="I24" i="2" s="1"/>
  <c r="H25" i="2"/>
  <c r="I25" i="2" s="1"/>
  <c r="H26" i="2"/>
  <c r="H27" i="2"/>
  <c r="H28" i="2"/>
  <c r="H29" i="2"/>
  <c r="H30" i="2"/>
  <c r="H31" i="2"/>
  <c r="H32" i="2"/>
  <c r="H33" i="2"/>
  <c r="H34" i="2"/>
  <c r="H35" i="2"/>
  <c r="H36" i="2"/>
  <c r="H37" i="2"/>
  <c r="I37" i="2" s="1"/>
  <c r="H38" i="2"/>
  <c r="I38" i="2" s="1"/>
  <c r="H39" i="2"/>
  <c r="I39" i="2" s="1"/>
  <c r="H40" i="2"/>
  <c r="I40" i="2" s="1"/>
  <c r="H41" i="2"/>
  <c r="I41" i="2" s="1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I55" i="2" s="1"/>
  <c r="H56" i="2"/>
  <c r="I56" i="2" s="1"/>
  <c r="H57" i="2"/>
  <c r="I57" i="2" s="1"/>
  <c r="H58" i="2"/>
  <c r="I58" i="2" s="1"/>
  <c r="H59" i="2"/>
  <c r="H60" i="2"/>
  <c r="H61" i="2"/>
  <c r="H62" i="2"/>
  <c r="H63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9" i="2"/>
  <c r="C16" i="2"/>
  <c r="C21" i="2"/>
  <c r="C24" i="2"/>
  <c r="C34" i="2"/>
  <c r="C35" i="2"/>
  <c r="C36" i="2"/>
  <c r="C46" i="2"/>
  <c r="C49" i="2"/>
  <c r="C59" i="2"/>
  <c r="C60" i="2"/>
  <c r="C61" i="2"/>
  <c r="C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9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7" i="1"/>
  <c r="H8" i="1"/>
  <c r="H9" i="1"/>
  <c r="H10" i="1"/>
  <c r="H11" i="1"/>
  <c r="H12" i="1"/>
  <c r="H13" i="1"/>
  <c r="H14" i="1"/>
  <c r="H15" i="1"/>
  <c r="H16" i="1"/>
  <c r="H17" i="1"/>
  <c r="H18" i="1"/>
  <c r="J18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7" i="1"/>
  <c r="F7" i="1"/>
  <c r="A18" i="4"/>
  <c r="Q18" i="4"/>
  <c r="P18" i="4"/>
  <c r="K18" i="4"/>
  <c r="F18" i="4"/>
  <c r="G28" i="5"/>
  <c r="E28" i="5"/>
  <c r="D28" i="5" s="1"/>
  <c r="G20" i="5"/>
  <c r="E20" i="5"/>
  <c r="D20" i="5" s="1"/>
  <c r="G14" i="5"/>
  <c r="F14" i="5" s="1"/>
  <c r="I54" i="2" l="1"/>
  <c r="I50" i="2"/>
  <c r="I33" i="2"/>
  <c r="I17" i="2"/>
  <c r="D20" i="9"/>
  <c r="D20" i="2"/>
  <c r="I53" i="2"/>
  <c r="I36" i="2"/>
  <c r="I52" i="2"/>
  <c r="I35" i="2"/>
  <c r="I19" i="2"/>
  <c r="I20" i="2"/>
  <c r="I51" i="2"/>
  <c r="I34" i="2"/>
  <c r="I18" i="2"/>
  <c r="I49" i="2"/>
  <c r="I32" i="2"/>
  <c r="I16" i="2"/>
  <c r="I48" i="2"/>
  <c r="I31" i="2"/>
  <c r="I15" i="2"/>
  <c r="I63" i="2"/>
  <c r="I47" i="2"/>
  <c r="I30" i="2"/>
  <c r="I62" i="2"/>
  <c r="I46" i="2"/>
  <c r="I29" i="2"/>
  <c r="I13" i="2"/>
  <c r="C18" i="1"/>
  <c r="I61" i="2"/>
  <c r="I45" i="2"/>
  <c r="I28" i="2"/>
  <c r="I12" i="2"/>
  <c r="I60" i="2"/>
  <c r="I44" i="2"/>
  <c r="I27" i="2"/>
  <c r="I59" i="2"/>
  <c r="I43" i="2"/>
  <c r="I26" i="2"/>
  <c r="F28" i="5"/>
  <c r="I14" i="2"/>
  <c r="I11" i="2"/>
  <c r="I10" i="2"/>
  <c r="F20" i="5"/>
  <c r="E34" i="5"/>
  <c r="G34" i="5"/>
  <c r="C20" i="9" l="1"/>
  <c r="C20" i="2"/>
  <c r="K13" i="10"/>
  <c r="F34" i="5"/>
  <c r="D34" i="5"/>
  <c r="K13" i="3"/>
  <c r="F16" i="1"/>
  <c r="J16" i="1" s="1"/>
  <c r="D18" i="9" l="1"/>
  <c r="D18" i="2"/>
  <c r="Q16" i="4"/>
  <c r="P16" i="4"/>
  <c r="K16" i="4"/>
  <c r="F16" i="4"/>
  <c r="A16" i="4"/>
  <c r="C16" i="1" l="1"/>
  <c r="C18" i="9" l="1"/>
  <c r="C18" i="2"/>
  <c r="G62" i="4"/>
  <c r="H9" i="2" l="1"/>
  <c r="F24" i="1"/>
  <c r="J24" i="1" s="1"/>
  <c r="P24" i="4"/>
  <c r="K24" i="4"/>
  <c r="F24" i="4"/>
  <c r="F25" i="1"/>
  <c r="J25" i="1" s="1"/>
  <c r="F27" i="1"/>
  <c r="J27" i="1" s="1"/>
  <c r="F28" i="1"/>
  <c r="J28" i="1" s="1"/>
  <c r="F29" i="1"/>
  <c r="J29" i="1" s="1"/>
  <c r="F30" i="1"/>
  <c r="J30" i="1" s="1"/>
  <c r="F31" i="1"/>
  <c r="J31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1" i="1"/>
  <c r="J41" i="1" s="1"/>
  <c r="F45" i="1"/>
  <c r="J45" i="1" s="1"/>
  <c r="F46" i="1"/>
  <c r="J46" i="1" s="1"/>
  <c r="F47" i="1"/>
  <c r="J47" i="1" s="1"/>
  <c r="F48" i="1"/>
  <c r="J48" i="1" s="1"/>
  <c r="F49" i="1"/>
  <c r="J49" i="1" s="1"/>
  <c r="F50" i="1"/>
  <c r="J50" i="1" s="1"/>
  <c r="F52" i="1"/>
  <c r="J52" i="1" s="1"/>
  <c r="F54" i="1"/>
  <c r="J54" i="1" s="1"/>
  <c r="F55" i="1"/>
  <c r="J55" i="1" s="1"/>
  <c r="F56" i="1"/>
  <c r="J56" i="1" s="1"/>
  <c r="F60" i="1"/>
  <c r="J60" i="1" s="1"/>
  <c r="F61" i="1"/>
  <c r="J61" i="1" s="1"/>
  <c r="F8" i="1"/>
  <c r="J8" i="1" s="1"/>
  <c r="F9" i="1"/>
  <c r="J9" i="1" s="1"/>
  <c r="F10" i="1"/>
  <c r="J10" i="1" s="1"/>
  <c r="F11" i="1"/>
  <c r="J11" i="1" s="1"/>
  <c r="F12" i="1"/>
  <c r="J12" i="1" s="1"/>
  <c r="F13" i="1"/>
  <c r="J13" i="1" s="1"/>
  <c r="F15" i="1"/>
  <c r="J15" i="1" s="1"/>
  <c r="F17" i="1"/>
  <c r="J17" i="1" s="1"/>
  <c r="F20" i="1"/>
  <c r="J20" i="1" s="1"/>
  <c r="F21" i="1"/>
  <c r="J21" i="1" s="1"/>
  <c r="Q24" i="4"/>
  <c r="A24" i="4"/>
  <c r="F26" i="1"/>
  <c r="J26" i="1" s="1"/>
  <c r="Q26" i="4"/>
  <c r="P26" i="4"/>
  <c r="K26" i="4"/>
  <c r="F26" i="4"/>
  <c r="A26" i="4"/>
  <c r="P30" i="4"/>
  <c r="Q30" i="4"/>
  <c r="A30" i="4"/>
  <c r="F14" i="1"/>
  <c r="J14" i="1" s="1"/>
  <c r="F19" i="1"/>
  <c r="J19" i="1" s="1"/>
  <c r="F22" i="1"/>
  <c r="J22" i="1" s="1"/>
  <c r="F23" i="1"/>
  <c r="J23" i="1" s="1"/>
  <c r="F32" i="1"/>
  <c r="J32" i="1" s="1"/>
  <c r="F33" i="1"/>
  <c r="J33" i="1" s="1"/>
  <c r="F42" i="1"/>
  <c r="J42" i="1" s="1"/>
  <c r="F43" i="1"/>
  <c r="J43" i="1" s="1"/>
  <c r="F44" i="1"/>
  <c r="J44" i="1" s="1"/>
  <c r="F51" i="1"/>
  <c r="J51" i="1" s="1"/>
  <c r="F53" i="1"/>
  <c r="J53" i="1" s="1"/>
  <c r="F57" i="1"/>
  <c r="J57" i="1" s="1"/>
  <c r="F58" i="1"/>
  <c r="J58" i="1" s="1"/>
  <c r="F59" i="1"/>
  <c r="J59" i="1" s="1"/>
  <c r="F7" i="4"/>
  <c r="P8" i="4"/>
  <c r="P9" i="4"/>
  <c r="P10" i="4"/>
  <c r="P11" i="4"/>
  <c r="P12" i="4"/>
  <c r="P14" i="4"/>
  <c r="P13" i="4"/>
  <c r="P15" i="4"/>
  <c r="P17" i="4"/>
  <c r="P19" i="4"/>
  <c r="P20" i="4"/>
  <c r="P21" i="4"/>
  <c r="P22" i="4"/>
  <c r="P23" i="4"/>
  <c r="P25" i="4"/>
  <c r="P27" i="4"/>
  <c r="P28" i="4"/>
  <c r="P29" i="4"/>
  <c r="P31" i="4"/>
  <c r="P32" i="4"/>
  <c r="P33" i="4"/>
  <c r="P34" i="4"/>
  <c r="P35" i="4"/>
  <c r="P36" i="4"/>
  <c r="P37" i="4"/>
  <c r="P38" i="4"/>
  <c r="P39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7" i="4"/>
  <c r="K8" i="4"/>
  <c r="K9" i="4"/>
  <c r="K10" i="4"/>
  <c r="K11" i="4"/>
  <c r="K12" i="4"/>
  <c r="K14" i="4"/>
  <c r="K13" i="4"/>
  <c r="K15" i="4"/>
  <c r="K17" i="4"/>
  <c r="K19" i="4"/>
  <c r="K20" i="4"/>
  <c r="K21" i="4"/>
  <c r="K22" i="4"/>
  <c r="K23" i="4"/>
  <c r="K25" i="4"/>
  <c r="K27" i="4"/>
  <c r="K28" i="4"/>
  <c r="K29" i="4"/>
  <c r="K32" i="4"/>
  <c r="K33" i="4"/>
  <c r="K34" i="4"/>
  <c r="K35" i="4"/>
  <c r="K36" i="4"/>
  <c r="K37" i="4"/>
  <c r="K38" i="4"/>
  <c r="K39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7" i="4"/>
  <c r="N62" i="4"/>
  <c r="L62" i="4"/>
  <c r="I62" i="4"/>
  <c r="D62" i="4"/>
  <c r="B62" i="4"/>
  <c r="F8" i="4"/>
  <c r="F9" i="4"/>
  <c r="F10" i="4"/>
  <c r="F11" i="4"/>
  <c r="F12" i="4"/>
  <c r="F14" i="4"/>
  <c r="F13" i="4"/>
  <c r="F15" i="4"/>
  <c r="F17" i="4"/>
  <c r="F19" i="4"/>
  <c r="F20" i="4"/>
  <c r="F21" i="4"/>
  <c r="F22" i="4"/>
  <c r="F23" i="4"/>
  <c r="F25" i="4"/>
  <c r="F27" i="4"/>
  <c r="F28" i="4"/>
  <c r="F29" i="4"/>
  <c r="F32" i="4"/>
  <c r="F33" i="4"/>
  <c r="F34" i="4"/>
  <c r="F35" i="4"/>
  <c r="F36" i="4"/>
  <c r="F37" i="4"/>
  <c r="F38" i="4"/>
  <c r="F39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Q21" i="4"/>
  <c r="A21" i="4"/>
  <c r="Q19" i="4"/>
  <c r="A19" i="4"/>
  <c r="Q35" i="4"/>
  <c r="A35" i="4"/>
  <c r="Q8" i="4"/>
  <c r="Q9" i="4"/>
  <c r="Q10" i="4"/>
  <c r="Q11" i="4"/>
  <c r="Q12" i="4"/>
  <c r="Q14" i="4"/>
  <c r="Q13" i="4"/>
  <c r="Q15" i="4"/>
  <c r="Q57" i="4"/>
  <c r="Q17" i="4"/>
  <c r="Q20" i="4"/>
  <c r="Q22" i="4"/>
  <c r="Q23" i="4"/>
  <c r="Q25" i="4"/>
  <c r="Q27" i="4"/>
  <c r="Q28" i="4"/>
  <c r="Q29" i="4"/>
  <c r="Q31" i="4"/>
  <c r="Q32" i="4"/>
  <c r="Q33" i="4"/>
  <c r="Q34" i="4"/>
  <c r="Q36" i="4"/>
  <c r="Q37" i="4"/>
  <c r="Q38" i="4"/>
  <c r="Q39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8" i="4"/>
  <c r="Q59" i="4"/>
  <c r="Q60" i="4"/>
  <c r="Q61" i="4"/>
  <c r="Q7" i="4"/>
  <c r="A61" i="4"/>
  <c r="A8" i="4"/>
  <c r="A9" i="4"/>
  <c r="A10" i="4"/>
  <c r="A11" i="4"/>
  <c r="A12" i="4"/>
  <c r="A14" i="4"/>
  <c r="A13" i="4"/>
  <c r="A15" i="4"/>
  <c r="A57" i="4"/>
  <c r="A17" i="4"/>
  <c r="A20" i="4"/>
  <c r="A22" i="4"/>
  <c r="A23" i="4"/>
  <c r="A25" i="4"/>
  <c r="A27" i="4"/>
  <c r="A28" i="4"/>
  <c r="A29" i="4"/>
  <c r="A31" i="4"/>
  <c r="A32" i="4"/>
  <c r="A33" i="4"/>
  <c r="A34" i="4"/>
  <c r="A36" i="4"/>
  <c r="A37" i="4"/>
  <c r="A38" i="4"/>
  <c r="A39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8" i="4"/>
  <c r="A59" i="4"/>
  <c r="A60" i="4"/>
  <c r="A7" i="4"/>
  <c r="D40" i="9" l="1"/>
  <c r="D40" i="2"/>
  <c r="D39" i="9"/>
  <c r="D39" i="2"/>
  <c r="D37" i="9"/>
  <c r="D37" i="2"/>
  <c r="D10" i="2"/>
  <c r="D10" i="9"/>
  <c r="D58" i="9"/>
  <c r="D58" i="2"/>
  <c r="D45" i="9"/>
  <c r="D45" i="2"/>
  <c r="D32" i="9"/>
  <c r="D32" i="2"/>
  <c r="D35" i="9"/>
  <c r="D35" i="2"/>
  <c r="D54" i="9"/>
  <c r="D54" i="2"/>
  <c r="D31" i="9"/>
  <c r="D31" i="2"/>
  <c r="D30" i="9"/>
  <c r="D30" i="2"/>
  <c r="D38" i="9"/>
  <c r="D38" i="2"/>
  <c r="D57" i="9"/>
  <c r="D57" i="2"/>
  <c r="D25" i="9"/>
  <c r="D25" i="2"/>
  <c r="D22" i="9"/>
  <c r="D22" i="2"/>
  <c r="D51" i="2"/>
  <c r="D51" i="9"/>
  <c r="D29" i="9"/>
  <c r="D29" i="2"/>
  <c r="D11" i="9"/>
  <c r="D11" i="2"/>
  <c r="D55" i="9"/>
  <c r="D55" i="2"/>
  <c r="D46" i="9"/>
  <c r="D46" i="2"/>
  <c r="D56" i="9"/>
  <c r="D56" i="2"/>
  <c r="D24" i="9"/>
  <c r="D24" i="2"/>
  <c r="D19" i="9"/>
  <c r="D19" i="2"/>
  <c r="D50" i="9"/>
  <c r="D50" i="2"/>
  <c r="D27" i="9"/>
  <c r="D27" i="2"/>
  <c r="D60" i="2"/>
  <c r="D60" i="9"/>
  <c r="D62" i="9"/>
  <c r="D62" i="2"/>
  <c r="D33" i="9"/>
  <c r="D33" i="2"/>
  <c r="D21" i="9"/>
  <c r="D21" i="2"/>
  <c r="D17" i="9"/>
  <c r="D17" i="2"/>
  <c r="D49" i="9"/>
  <c r="D49" i="2"/>
  <c r="D28" i="9"/>
  <c r="D28" i="2"/>
  <c r="D52" i="9"/>
  <c r="D52" i="2"/>
  <c r="D16" i="9"/>
  <c r="D16" i="2"/>
  <c r="D48" i="9"/>
  <c r="D48" i="2"/>
  <c r="D59" i="9"/>
  <c r="D59" i="2"/>
  <c r="D36" i="9"/>
  <c r="D36" i="2"/>
  <c r="D34" i="9"/>
  <c r="D34" i="2"/>
  <c r="D14" i="9"/>
  <c r="D14" i="2"/>
  <c r="D47" i="9"/>
  <c r="D47" i="2"/>
  <c r="D23" i="9"/>
  <c r="D23" i="2"/>
  <c r="D13" i="2"/>
  <c r="D13" i="9"/>
  <c r="D43" i="9"/>
  <c r="D43" i="2"/>
  <c r="D26" i="9"/>
  <c r="D26" i="2"/>
  <c r="D53" i="9"/>
  <c r="D53" i="2"/>
  <c r="D44" i="9"/>
  <c r="D44" i="2"/>
  <c r="D61" i="9"/>
  <c r="D61" i="2"/>
  <c r="D12" i="9"/>
  <c r="D12" i="2"/>
  <c r="D41" i="9"/>
  <c r="D41" i="2"/>
  <c r="D63" i="9"/>
  <c r="D63" i="2"/>
  <c r="D15" i="9"/>
  <c r="D15" i="2"/>
  <c r="C53" i="1"/>
  <c r="C41" i="1"/>
  <c r="C52" i="1"/>
  <c r="C29" i="1"/>
  <c r="C50" i="1"/>
  <c r="C43" i="1"/>
  <c r="C11" i="1"/>
  <c r="J7" i="1"/>
  <c r="C45" i="1"/>
  <c r="C21" i="1"/>
  <c r="C13" i="1"/>
  <c r="C20" i="1"/>
  <c r="C51" i="1"/>
  <c r="C61" i="1"/>
  <c r="C49" i="1"/>
  <c r="C36" i="1"/>
  <c r="C35" i="1"/>
  <c r="C54" i="1"/>
  <c r="C30" i="1"/>
  <c r="C46" i="1"/>
  <c r="C39" i="1"/>
  <c r="I9" i="2"/>
  <c r="C60" i="1"/>
  <c r="C28" i="1"/>
  <c r="C15" i="1"/>
  <c r="F62" i="4"/>
  <c r="P62" i="4"/>
  <c r="K62" i="4"/>
  <c r="C30" i="9" l="1"/>
  <c r="C30" i="2"/>
  <c r="C62" i="9"/>
  <c r="C62" i="2"/>
  <c r="C17" i="9"/>
  <c r="C17" i="2"/>
  <c r="D9" i="9"/>
  <c r="D9" i="2"/>
  <c r="C31" i="9"/>
  <c r="C31" i="2"/>
  <c r="C41" i="9"/>
  <c r="C41" i="2"/>
  <c r="C38" i="9"/>
  <c r="C38" i="2"/>
  <c r="C45" i="9"/>
  <c r="C45" i="2"/>
  <c r="C55" i="9"/>
  <c r="C55" i="2"/>
  <c r="C23" i="9"/>
  <c r="C23" i="2"/>
  <c r="C13" i="2"/>
  <c r="C13" i="9"/>
  <c r="C54" i="9"/>
  <c r="C54" i="2"/>
  <c r="C47" i="9"/>
  <c r="C47" i="2"/>
  <c r="C52" i="9"/>
  <c r="C52" i="2"/>
  <c r="C56" i="9"/>
  <c r="C56" i="2"/>
  <c r="C37" i="9"/>
  <c r="C37" i="2"/>
  <c r="C51" i="2"/>
  <c r="C51" i="9"/>
  <c r="C53" i="9"/>
  <c r="C53" i="2"/>
  <c r="C48" i="9"/>
  <c r="C48" i="2"/>
  <c r="C43" i="9"/>
  <c r="C43" i="2"/>
  <c r="C22" i="9"/>
  <c r="C22" i="2"/>
  <c r="C32" i="9"/>
  <c r="C32" i="2"/>
  <c r="C63" i="9"/>
  <c r="C63" i="2"/>
  <c r="C15" i="9"/>
  <c r="C15" i="2"/>
  <c r="C17" i="1"/>
  <c r="C48" i="1"/>
  <c r="C56" i="1"/>
  <c r="C10" i="1"/>
  <c r="C23" i="1"/>
  <c r="C26" i="1"/>
  <c r="C55" i="1"/>
  <c r="C24" i="1"/>
  <c r="C27" i="1"/>
  <c r="C31" i="1"/>
  <c r="C42" i="1"/>
  <c r="C37" i="1"/>
  <c r="C38" i="1"/>
  <c r="C25" i="1"/>
  <c r="C9" i="1"/>
  <c r="C12" i="1"/>
  <c r="C8" i="1"/>
  <c r="C14" i="9" l="1"/>
  <c r="C14" i="2"/>
  <c r="C39" i="9"/>
  <c r="C39" i="2"/>
  <c r="C27" i="9"/>
  <c r="C27" i="2"/>
  <c r="C11" i="9"/>
  <c r="C11" i="2"/>
  <c r="C33" i="9"/>
  <c r="C33" i="2"/>
  <c r="C25" i="9"/>
  <c r="C25" i="2"/>
  <c r="C9" i="10" s="1"/>
  <c r="C10" i="2"/>
  <c r="E9" i="10" s="1"/>
  <c r="C10" i="9"/>
  <c r="C40" i="9"/>
  <c r="C40" i="2"/>
  <c r="C12" i="9"/>
  <c r="C12" i="2"/>
  <c r="C19" i="9"/>
  <c r="C19" i="2"/>
  <c r="C44" i="9"/>
  <c r="C44" i="2"/>
  <c r="C28" i="9"/>
  <c r="C28" i="2"/>
  <c r="C58" i="9"/>
  <c r="C58" i="2"/>
  <c r="C29" i="9"/>
  <c r="C29" i="2"/>
  <c r="C26" i="9"/>
  <c r="C26" i="2"/>
  <c r="C57" i="9"/>
  <c r="C57" i="2"/>
  <c r="C50" i="9"/>
  <c r="C50" i="2"/>
  <c r="H9" i="10"/>
  <c r="I9" i="10"/>
  <c r="H9" i="3"/>
  <c r="H12" i="3"/>
  <c r="H12" i="10" l="1"/>
  <c r="D11" i="10"/>
  <c r="H10" i="10"/>
  <c r="I10" i="10"/>
  <c r="E11" i="10"/>
  <c r="F40" i="9" s="1"/>
  <c r="C12" i="10"/>
  <c r="G12" i="10" s="1"/>
  <c r="K12" i="10" s="1"/>
  <c r="E12" i="10"/>
  <c r="F55" i="9" s="1"/>
  <c r="I11" i="10"/>
  <c r="D12" i="10"/>
  <c r="G11" i="9" s="1"/>
  <c r="D9" i="10"/>
  <c r="G24" i="9" s="1"/>
  <c r="D10" i="10"/>
  <c r="C12" i="3"/>
  <c r="C11" i="3"/>
  <c r="G11" i="3" s="1"/>
  <c r="K11" i="3" s="1"/>
  <c r="C9" i="3"/>
  <c r="C10" i="3"/>
  <c r="G10" i="3" s="1"/>
  <c r="E10" i="10"/>
  <c r="F58" i="9" s="1"/>
  <c r="C10" i="10"/>
  <c r="G10" i="10" s="1"/>
  <c r="C11" i="10"/>
  <c r="G11" i="10" s="1"/>
  <c r="K11" i="10" s="1"/>
  <c r="I12" i="10"/>
  <c r="H11" i="10"/>
  <c r="F23" i="9"/>
  <c r="F54" i="9"/>
  <c r="F19" i="9"/>
  <c r="F20" i="9"/>
  <c r="F50" i="9"/>
  <c r="F39" i="9"/>
  <c r="F57" i="9"/>
  <c r="F62" i="9"/>
  <c r="F27" i="9"/>
  <c r="F10" i="9"/>
  <c r="F29" i="9"/>
  <c r="F18" i="9"/>
  <c r="F15" i="9"/>
  <c r="F48" i="9"/>
  <c r="F37" i="9"/>
  <c r="F33" i="9"/>
  <c r="F44" i="9"/>
  <c r="F38" i="9"/>
  <c r="F25" i="9"/>
  <c r="F60" i="9"/>
  <c r="F34" i="9"/>
  <c r="F16" i="9"/>
  <c r="F9" i="9"/>
  <c r="F49" i="9"/>
  <c r="F59" i="9"/>
  <c r="F24" i="9"/>
  <c r="F21" i="9"/>
  <c r="F35" i="9"/>
  <c r="F46" i="9"/>
  <c r="F61" i="9"/>
  <c r="F36" i="9"/>
  <c r="E12" i="3"/>
  <c r="E9" i="3"/>
  <c r="F42" i="2" s="1"/>
  <c r="I11" i="3"/>
  <c r="D10" i="3"/>
  <c r="H10" i="3"/>
  <c r="H11" i="3"/>
  <c r="D11" i="3"/>
  <c r="E11" i="3"/>
  <c r="I9" i="3"/>
  <c r="D9" i="3"/>
  <c r="G42" i="2" s="1"/>
  <c r="I10" i="3"/>
  <c r="D12" i="3"/>
  <c r="I12" i="3"/>
  <c r="E10" i="3"/>
  <c r="F28" i="9" l="1"/>
  <c r="F43" i="9"/>
  <c r="F13" i="9"/>
  <c r="F41" i="9"/>
  <c r="F52" i="9"/>
  <c r="F63" i="9"/>
  <c r="F12" i="9"/>
  <c r="F56" i="9"/>
  <c r="F22" i="9"/>
  <c r="F31" i="9"/>
  <c r="F45" i="9"/>
  <c r="G61" i="9"/>
  <c r="F26" i="9"/>
  <c r="F53" i="9"/>
  <c r="F32" i="9"/>
  <c r="F30" i="9"/>
  <c r="G31" i="9"/>
  <c r="G32" i="9"/>
  <c r="G48" i="9"/>
  <c r="G37" i="9"/>
  <c r="G55" i="9"/>
  <c r="G60" i="9"/>
  <c r="G59" i="9"/>
  <c r="G21" i="9"/>
  <c r="G16" i="9"/>
  <c r="G22" i="9"/>
  <c r="G9" i="9"/>
  <c r="G38" i="9"/>
  <c r="G53" i="9"/>
  <c r="G34" i="9"/>
  <c r="G44" i="9"/>
  <c r="G36" i="9"/>
  <c r="G63" i="9"/>
  <c r="D13" i="10"/>
  <c r="G26" i="9"/>
  <c r="G51" i="9"/>
  <c r="G49" i="9"/>
  <c r="G33" i="9"/>
  <c r="G30" i="9"/>
  <c r="G45" i="9"/>
  <c r="G46" i="9"/>
  <c r="G25" i="9"/>
  <c r="G35" i="9"/>
  <c r="F17" i="9"/>
  <c r="E13" i="10"/>
  <c r="F47" i="9"/>
  <c r="F14" i="9"/>
  <c r="F51" i="9"/>
  <c r="F11" i="9"/>
  <c r="I13" i="10"/>
  <c r="G9" i="10"/>
  <c r="K9" i="10" s="1"/>
  <c r="J9" i="10" s="1"/>
  <c r="G15" i="9"/>
  <c r="G54" i="9"/>
  <c r="G27" i="9"/>
  <c r="G62" i="9"/>
  <c r="G57" i="9"/>
  <c r="G19" i="9"/>
  <c r="G28" i="9"/>
  <c r="K10" i="10"/>
  <c r="J10" i="10" s="1"/>
  <c r="G23" i="9"/>
  <c r="J11" i="10"/>
  <c r="K19" i="9" s="1"/>
  <c r="G41" i="9"/>
  <c r="G52" i="9"/>
  <c r="G40" i="9"/>
  <c r="C13" i="10"/>
  <c r="J12" i="10"/>
  <c r="G12" i="9"/>
  <c r="G18" i="9"/>
  <c r="G56" i="9"/>
  <c r="G43" i="9"/>
  <c r="G13" i="9"/>
  <c r="G39" i="9"/>
  <c r="H13" i="10"/>
  <c r="G47" i="9"/>
  <c r="G20" i="9"/>
  <c r="C13" i="3"/>
  <c r="G17" i="9"/>
  <c r="G50" i="9"/>
  <c r="G14" i="9"/>
  <c r="G29" i="9"/>
  <c r="G58" i="9"/>
  <c r="G10" i="9"/>
  <c r="G60" i="2"/>
  <c r="G61" i="2"/>
  <c r="G46" i="2"/>
  <c r="G16" i="2"/>
  <c r="G34" i="2"/>
  <c r="G36" i="2"/>
  <c r="G21" i="2"/>
  <c r="G59" i="2"/>
  <c r="G49" i="2"/>
  <c r="G35" i="2"/>
  <c r="G24" i="2"/>
  <c r="G11" i="2"/>
  <c r="G44" i="2"/>
  <c r="G45" i="2"/>
  <c r="G30" i="2"/>
  <c r="G63" i="2"/>
  <c r="G31" i="2"/>
  <c r="G48" i="2"/>
  <c r="G32" i="2"/>
  <c r="G53" i="2"/>
  <c r="G37" i="2"/>
  <c r="G38" i="2"/>
  <c r="G55" i="2"/>
  <c r="G26" i="2"/>
  <c r="G33" i="2"/>
  <c r="G22" i="2"/>
  <c r="G25" i="2"/>
  <c r="G10" i="2"/>
  <c r="G51" i="2"/>
  <c r="G47" i="2"/>
  <c r="G14" i="2"/>
  <c r="G17" i="2"/>
  <c r="G58" i="2"/>
  <c r="G27" i="2"/>
  <c r="G28" i="2"/>
  <c r="G29" i="2"/>
  <c r="G62" i="2"/>
  <c r="G12" i="2"/>
  <c r="G13" i="2"/>
  <c r="G50" i="2"/>
  <c r="G52" i="2"/>
  <c r="G15" i="2"/>
  <c r="G18" i="2"/>
  <c r="G19" i="2"/>
  <c r="G20" i="2"/>
  <c r="G54" i="2"/>
  <c r="G39" i="2"/>
  <c r="G56" i="2"/>
  <c r="G40" i="2"/>
  <c r="G57" i="2"/>
  <c r="G41" i="2"/>
  <c r="G43" i="2"/>
  <c r="G23" i="2"/>
  <c r="F47" i="2"/>
  <c r="F14" i="2"/>
  <c r="F17" i="2"/>
  <c r="F58" i="2"/>
  <c r="F12" i="2"/>
  <c r="F28" i="2"/>
  <c r="F13" i="2"/>
  <c r="F29" i="2"/>
  <c r="F62" i="2"/>
  <c r="F15" i="2"/>
  <c r="F50" i="2"/>
  <c r="F18" i="2"/>
  <c r="F19" i="2"/>
  <c r="F52" i="2"/>
  <c r="F54" i="2"/>
  <c r="F20" i="2"/>
  <c r="F23" i="2"/>
  <c r="F39" i="2"/>
  <c r="F56" i="2"/>
  <c r="F40" i="2"/>
  <c r="F57" i="2"/>
  <c r="F41" i="2"/>
  <c r="F43" i="2"/>
  <c r="F27" i="2"/>
  <c r="F61" i="2"/>
  <c r="F46" i="2"/>
  <c r="F9" i="2"/>
  <c r="F16" i="2"/>
  <c r="F49" i="2"/>
  <c r="F34" i="2"/>
  <c r="F35" i="2"/>
  <c r="F36" i="2"/>
  <c r="F21" i="2"/>
  <c r="F24" i="2"/>
  <c r="F59" i="2"/>
  <c r="F60" i="2"/>
  <c r="F11" i="2"/>
  <c r="F45" i="2"/>
  <c r="F63" i="2"/>
  <c r="F30" i="2"/>
  <c r="F31" i="2"/>
  <c r="F48" i="2"/>
  <c r="F32" i="2"/>
  <c r="F33" i="2"/>
  <c r="F51" i="2"/>
  <c r="F38" i="2"/>
  <c r="F55" i="2"/>
  <c r="F53" i="2"/>
  <c r="F37" i="2"/>
  <c r="F22" i="2"/>
  <c r="F44" i="2"/>
  <c r="F25" i="2"/>
  <c r="F10" i="2"/>
  <c r="F26" i="2"/>
  <c r="G12" i="3"/>
  <c r="K12" i="3" s="1"/>
  <c r="J12" i="3" s="1"/>
  <c r="K10" i="3"/>
  <c r="J10" i="3" s="1"/>
  <c r="I13" i="3"/>
  <c r="H13" i="3"/>
  <c r="G9" i="2"/>
  <c r="D13" i="3"/>
  <c r="E13" i="3"/>
  <c r="J11" i="3"/>
  <c r="J42" i="9" l="1"/>
  <c r="K42" i="9"/>
  <c r="K26" i="9"/>
  <c r="G13" i="10"/>
  <c r="K14" i="9"/>
  <c r="J28" i="9"/>
  <c r="K25" i="9"/>
  <c r="J20" i="9"/>
  <c r="J57" i="9"/>
  <c r="K41" i="9"/>
  <c r="K28" i="9"/>
  <c r="K13" i="9"/>
  <c r="K54" i="9"/>
  <c r="K18" i="9"/>
  <c r="K10" i="9"/>
  <c r="K12" i="9"/>
  <c r="K23" i="9"/>
  <c r="J10" i="9"/>
  <c r="J56" i="9"/>
  <c r="K48" i="9"/>
  <c r="J18" i="9"/>
  <c r="J29" i="9"/>
  <c r="K27" i="9"/>
  <c r="J52" i="9"/>
  <c r="J50" i="9"/>
  <c r="J23" i="9"/>
  <c r="J47" i="9"/>
  <c r="K58" i="9"/>
  <c r="J58" i="9"/>
  <c r="J14" i="9"/>
  <c r="K51" i="9"/>
  <c r="K44" i="9"/>
  <c r="K45" i="9"/>
  <c r="J39" i="9"/>
  <c r="K47" i="9"/>
  <c r="J27" i="9"/>
  <c r="J13" i="9"/>
  <c r="K40" i="9"/>
  <c r="K20" i="9"/>
  <c r="J40" i="9"/>
  <c r="K17" i="9"/>
  <c r="J54" i="9"/>
  <c r="K57" i="9"/>
  <c r="K56" i="9"/>
  <c r="J19" i="9"/>
  <c r="L19" i="9" s="1"/>
  <c r="J63" i="9"/>
  <c r="J11" i="9"/>
  <c r="K39" i="9"/>
  <c r="J12" i="9"/>
  <c r="J51" i="9"/>
  <c r="K53" i="9"/>
  <c r="J44" i="9"/>
  <c r="J55" i="9"/>
  <c r="J30" i="9"/>
  <c r="K37" i="9"/>
  <c r="K38" i="9"/>
  <c r="K30" i="9"/>
  <c r="J17" i="9"/>
  <c r="J13" i="10"/>
  <c r="K11" i="9"/>
  <c r="K33" i="9"/>
  <c r="J32" i="9"/>
  <c r="J26" i="9"/>
  <c r="L26" i="9" s="1"/>
  <c r="J48" i="9"/>
  <c r="J38" i="9"/>
  <c r="J15" i="9"/>
  <c r="K43" i="9"/>
  <c r="K15" i="9"/>
  <c r="K50" i="9"/>
  <c r="K62" i="9"/>
  <c r="J41" i="9"/>
  <c r="J25" i="9"/>
  <c r="K32" i="9"/>
  <c r="J53" i="9"/>
  <c r="J43" i="9"/>
  <c r="K55" i="9"/>
  <c r="J33" i="9"/>
  <c r="J37" i="9"/>
  <c r="K29" i="9"/>
  <c r="K52" i="9"/>
  <c r="L52" i="9" s="1"/>
  <c r="J62" i="9"/>
  <c r="J31" i="9"/>
  <c r="K22" i="9"/>
  <c r="K31" i="9"/>
  <c r="K63" i="9"/>
  <c r="J22" i="9"/>
  <c r="J45" i="9"/>
  <c r="K36" i="9"/>
  <c r="K34" i="9"/>
  <c r="J60" i="9"/>
  <c r="K61" i="9"/>
  <c r="K59" i="9"/>
  <c r="J36" i="9"/>
  <c r="K24" i="9"/>
  <c r="J21" i="9"/>
  <c r="J59" i="9"/>
  <c r="J34" i="9"/>
  <c r="J35" i="9"/>
  <c r="K49" i="9"/>
  <c r="K46" i="9"/>
  <c r="J46" i="9"/>
  <c r="K16" i="9"/>
  <c r="J49" i="9"/>
  <c r="J9" i="9"/>
  <c r="K60" i="9"/>
  <c r="J24" i="9"/>
  <c r="J61" i="9"/>
  <c r="K9" i="9"/>
  <c r="K21" i="9"/>
  <c r="K35" i="9"/>
  <c r="J16" i="9"/>
  <c r="K12" i="2"/>
  <c r="K32" i="2"/>
  <c r="K50" i="2"/>
  <c r="J56" i="2"/>
  <c r="K48" i="2"/>
  <c r="K15" i="2"/>
  <c r="J39" i="2"/>
  <c r="K31" i="2"/>
  <c r="K62" i="2"/>
  <c r="J54" i="2"/>
  <c r="K27" i="2"/>
  <c r="K29" i="2"/>
  <c r="J20" i="2"/>
  <c r="K43" i="2"/>
  <c r="K13" i="2"/>
  <c r="J19" i="2"/>
  <c r="K41" i="2"/>
  <c r="K40" i="2"/>
  <c r="K30" i="2"/>
  <c r="J18" i="2"/>
  <c r="J15" i="2"/>
  <c r="K28" i="2"/>
  <c r="K57" i="2"/>
  <c r="K39" i="2"/>
  <c r="K56" i="2"/>
  <c r="J17" i="2"/>
  <c r="J63" i="2"/>
  <c r="J14" i="2"/>
  <c r="J30" i="2"/>
  <c r="J47" i="2"/>
  <c r="J45" i="2"/>
  <c r="J51" i="2"/>
  <c r="J44" i="2"/>
  <c r="J10" i="2"/>
  <c r="J11" i="2"/>
  <c r="J25" i="2"/>
  <c r="J22" i="2"/>
  <c r="K58" i="2"/>
  <c r="J52" i="2"/>
  <c r="J33" i="2"/>
  <c r="K26" i="2"/>
  <c r="K25" i="2"/>
  <c r="K17" i="2"/>
  <c r="J50" i="2"/>
  <c r="J26" i="2"/>
  <c r="K14" i="2"/>
  <c r="J13" i="2"/>
  <c r="J55" i="2"/>
  <c r="K44" i="2"/>
  <c r="K37" i="2"/>
  <c r="K23" i="2"/>
  <c r="K47" i="2"/>
  <c r="J12" i="2"/>
  <c r="J38" i="2"/>
  <c r="K45" i="2"/>
  <c r="K22" i="2"/>
  <c r="K20" i="2"/>
  <c r="J23" i="2"/>
  <c r="J62" i="2"/>
  <c r="J37" i="2"/>
  <c r="K63" i="2"/>
  <c r="K10" i="2"/>
  <c r="K53" i="2"/>
  <c r="K55" i="2"/>
  <c r="K54" i="2"/>
  <c r="J43" i="2"/>
  <c r="J29" i="2"/>
  <c r="J53" i="2"/>
  <c r="K38" i="2"/>
  <c r="K52" i="2"/>
  <c r="J41" i="2"/>
  <c r="J28" i="2"/>
  <c r="J32" i="2"/>
  <c r="K51" i="2"/>
  <c r="K19" i="2"/>
  <c r="J57" i="2"/>
  <c r="J27" i="2"/>
  <c r="J48" i="2"/>
  <c r="K11" i="2"/>
  <c r="K33" i="2"/>
  <c r="K18" i="2"/>
  <c r="J40" i="2"/>
  <c r="J58" i="2"/>
  <c r="J31" i="2"/>
  <c r="G9" i="3"/>
  <c r="G13" i="3" s="1"/>
  <c r="L42" i="9" l="1"/>
  <c r="L44" i="9"/>
  <c r="L27" i="9"/>
  <c r="L29" i="9"/>
  <c r="L14" i="9"/>
  <c r="L23" i="9"/>
  <c r="L51" i="9"/>
  <c r="L13" i="9"/>
  <c r="L47" i="9"/>
  <c r="L12" i="9"/>
  <c r="L57" i="9"/>
  <c r="L28" i="9"/>
  <c r="L33" i="9"/>
  <c r="L10" i="9"/>
  <c r="L25" i="9"/>
  <c r="L18" i="9"/>
  <c r="L40" i="9"/>
  <c r="L41" i="9"/>
  <c r="L58" i="9"/>
  <c r="L50" i="9"/>
  <c r="L31" i="9"/>
  <c r="L15" i="9"/>
  <c r="L48" i="9"/>
  <c r="L56" i="9"/>
  <c r="L32" i="9"/>
  <c r="L54" i="9"/>
  <c r="L45" i="9"/>
  <c r="L22" i="9"/>
  <c r="L20" i="9"/>
  <c r="L39" i="9"/>
  <c r="L63" i="9"/>
  <c r="L55" i="9"/>
  <c r="L11" i="9"/>
  <c r="L43" i="9"/>
  <c r="L53" i="9"/>
  <c r="L17" i="9"/>
  <c r="L30" i="9"/>
  <c r="L62" i="9"/>
  <c r="L38" i="9"/>
  <c r="L37" i="9"/>
  <c r="L40" i="2"/>
  <c r="L46" i="9"/>
  <c r="L36" i="9"/>
  <c r="L49" i="9"/>
  <c r="L16" i="9"/>
  <c r="L34" i="9"/>
  <c r="L59" i="9"/>
  <c r="L21" i="9"/>
  <c r="L60" i="9"/>
  <c r="L61" i="9"/>
  <c r="L24" i="9"/>
  <c r="L35" i="9"/>
  <c r="L14" i="2"/>
  <c r="L57" i="2"/>
  <c r="L27" i="2"/>
  <c r="L30" i="2"/>
  <c r="L28" i="2"/>
  <c r="L63" i="2"/>
  <c r="L13" i="2"/>
  <c r="L50" i="2"/>
  <c r="L62" i="2"/>
  <c r="L17" i="2"/>
  <c r="L32" i="2"/>
  <c r="L39" i="2"/>
  <c r="L48" i="2"/>
  <c r="L12" i="2"/>
  <c r="L18" i="2"/>
  <c r="L19" i="2"/>
  <c r="L56" i="2"/>
  <c r="L43" i="2"/>
  <c r="L23" i="2"/>
  <c r="L54" i="2"/>
  <c r="L20" i="2"/>
  <c r="L41" i="2"/>
  <c r="L31" i="2"/>
  <c r="L15" i="2"/>
  <c r="L29" i="2"/>
  <c r="L47" i="2"/>
  <c r="L33" i="2"/>
  <c r="L25" i="2"/>
  <c r="L26" i="2"/>
  <c r="L52" i="2"/>
  <c r="L22" i="2"/>
  <c r="L11" i="2"/>
  <c r="L58" i="2"/>
  <c r="L44" i="2"/>
  <c r="L10" i="2"/>
  <c r="L37" i="2"/>
  <c r="L38" i="2"/>
  <c r="L45" i="2"/>
  <c r="L51" i="2"/>
  <c r="L55" i="2"/>
  <c r="L53" i="2"/>
  <c r="K9" i="3"/>
  <c r="J9" i="3" l="1"/>
  <c r="K42" i="2" l="1"/>
  <c r="J42" i="2"/>
  <c r="L42" i="2" s="1"/>
  <c r="J13" i="3"/>
  <c r="K9" i="2"/>
  <c r="J36" i="2"/>
  <c r="J60" i="2"/>
  <c r="K35" i="2"/>
  <c r="J61" i="2"/>
  <c r="J24" i="2"/>
  <c r="J59" i="2"/>
  <c r="K49" i="2"/>
  <c r="J21" i="2"/>
  <c r="K21" i="2"/>
  <c r="K59" i="2"/>
  <c r="K60" i="2"/>
  <c r="K36" i="2"/>
  <c r="K61" i="2"/>
  <c r="K46" i="2"/>
  <c r="J16" i="2"/>
  <c r="K24" i="2"/>
  <c r="J35" i="2"/>
  <c r="K34" i="2"/>
  <c r="J49" i="2"/>
  <c r="J34" i="2"/>
  <c r="K16" i="2"/>
  <c r="J46" i="2"/>
  <c r="J9" i="2"/>
  <c r="L61" i="2" l="1"/>
  <c r="L9" i="9"/>
  <c r="L59" i="2"/>
  <c r="L36" i="2"/>
  <c r="L49" i="2"/>
  <c r="L9" i="2"/>
  <c r="L46" i="2"/>
  <c r="L21" i="2"/>
  <c r="L60" i="2"/>
  <c r="L35" i="2"/>
  <c r="L16" i="2"/>
  <c r="L34" i="2"/>
  <c r="L24" i="2"/>
</calcChain>
</file>

<file path=xl/sharedStrings.xml><?xml version="1.0" encoding="utf-8"?>
<sst xmlns="http://schemas.openxmlformats.org/spreadsheetml/2006/main" count="911" uniqueCount="341">
  <si>
    <t>Partes Contratantes</t>
  </si>
  <si>
    <t>Enlatado</t>
  </si>
  <si>
    <t>Total</t>
  </si>
  <si>
    <t xml:space="preserve">Angola </t>
  </si>
  <si>
    <t xml:space="preserve">Barbados </t>
  </si>
  <si>
    <t>Côte d'Ivoire</t>
  </si>
  <si>
    <t>Ghana</t>
  </si>
  <si>
    <t>Guinea Ecuatorial</t>
  </si>
  <si>
    <t>Honduras</t>
  </si>
  <si>
    <t xml:space="preserve">Namibia </t>
  </si>
  <si>
    <t>Sâo Tomé e Príncipe</t>
  </si>
  <si>
    <t>Uruguay</t>
  </si>
  <si>
    <t>Venezuela</t>
  </si>
  <si>
    <t>X</t>
  </si>
  <si>
    <t>Grupos</t>
  </si>
  <si>
    <t>Captura +</t>
  </si>
  <si>
    <t>% de cada</t>
  </si>
  <si>
    <t>Parte</t>
  </si>
  <si>
    <t>% del</t>
  </si>
  <si>
    <t>Cuotas</t>
  </si>
  <si>
    <t>Otras</t>
  </si>
  <si>
    <t>A</t>
  </si>
  <si>
    <t>% Captura +</t>
  </si>
  <si>
    <t>Cuota</t>
  </si>
  <si>
    <t>Cuota por</t>
  </si>
  <si>
    <t xml:space="preserve">Total </t>
  </si>
  <si>
    <t>B</t>
  </si>
  <si>
    <t>D</t>
  </si>
  <si>
    <t>C</t>
  </si>
  <si>
    <t>TOTAL</t>
  </si>
  <si>
    <t>---</t>
  </si>
  <si>
    <t>C. Variables</t>
  </si>
  <si>
    <t>Contratante</t>
  </si>
  <si>
    <t>Algérie</t>
  </si>
  <si>
    <t>Brazil</t>
  </si>
  <si>
    <t>Canada</t>
  </si>
  <si>
    <t>China, People's Rep. of</t>
  </si>
  <si>
    <t>Korea, Rep. of</t>
  </si>
  <si>
    <t>United States</t>
  </si>
  <si>
    <t>France (St. P. &amp; M.)</t>
  </si>
  <si>
    <t>Gabon</t>
  </si>
  <si>
    <t>Iceland</t>
  </si>
  <si>
    <t>Japan</t>
  </si>
  <si>
    <t xml:space="preserve">Libya </t>
  </si>
  <si>
    <t>Maroc</t>
  </si>
  <si>
    <t>Mexico</t>
  </si>
  <si>
    <t>Panama</t>
  </si>
  <si>
    <t>Russia</t>
  </si>
  <si>
    <t>South Africa</t>
  </si>
  <si>
    <t>Trinidad &amp; Tobago</t>
  </si>
  <si>
    <t>Tunisie</t>
  </si>
  <si>
    <t>-</t>
  </si>
  <si>
    <t>Philippines, Rep. of</t>
  </si>
  <si>
    <t>Norway</t>
  </si>
  <si>
    <t>Libya</t>
  </si>
  <si>
    <t>Namibia</t>
  </si>
  <si>
    <t>Angola</t>
  </si>
  <si>
    <t>Barbados</t>
  </si>
  <si>
    <t>Guinea, Rep. of</t>
  </si>
  <si>
    <t>Guatemala, Rep. de</t>
  </si>
  <si>
    <t>Nicaragua, Rep. de</t>
  </si>
  <si>
    <t>Chapters / Chapitres / Capítulos</t>
  </si>
  <si>
    <t>TOTAL BUDGET / BUDGET TOTAL / PRESUPUESTO TOTAL</t>
  </si>
  <si>
    <t>Parties</t>
  </si>
  <si>
    <t>Catch</t>
  </si>
  <si>
    <t>Canning</t>
  </si>
  <si>
    <t>Prise</t>
  </si>
  <si>
    <t>Conserve</t>
  </si>
  <si>
    <t>Partes</t>
  </si>
  <si>
    <t>Captura</t>
  </si>
  <si>
    <t>Senegal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</si>
  <si>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</si>
  <si>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</si>
  <si>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</si>
  <si>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</si>
  <si>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</si>
  <si>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</si>
  <si>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</si>
  <si>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</si>
  <si>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</si>
  <si>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Contracting Parties</t>
  </si>
  <si>
    <t>Parties contractantes</t>
  </si>
  <si>
    <t>Captura + Enlatado</t>
  </si>
  <si>
    <t>Catch + Canning</t>
  </si>
  <si>
    <t>Total Panels</t>
  </si>
  <si>
    <t>Total Sous-commissions</t>
  </si>
  <si>
    <t>Total Subcomisiones</t>
  </si>
  <si>
    <t>Contracting</t>
  </si>
  <si>
    <t>Party</t>
  </si>
  <si>
    <t>Catch +</t>
  </si>
  <si>
    <t>% Catch +</t>
  </si>
  <si>
    <t>% Member +</t>
  </si>
  <si>
    <t>Membership</t>
  </si>
  <si>
    <t>Panel</t>
  </si>
  <si>
    <t>Variable fees</t>
  </si>
  <si>
    <t>Variables fees</t>
  </si>
  <si>
    <t>Partie</t>
  </si>
  <si>
    <t>Contractante</t>
  </si>
  <si>
    <t>Capture +</t>
  </si>
  <si>
    <t>% Capture +</t>
  </si>
  <si>
    <t>% Membre +</t>
  </si>
  <si>
    <t>Cotisation par</t>
  </si>
  <si>
    <t>Cotisation</t>
  </si>
  <si>
    <t>% Miembro +</t>
  </si>
  <si>
    <t>Groupes</t>
  </si>
  <si>
    <t>% de chaque</t>
  </si>
  <si>
    <t>% du</t>
  </si>
  <si>
    <t>Cotisations</t>
  </si>
  <si>
    <t>Autres</t>
  </si>
  <si>
    <t>Groups</t>
  </si>
  <si>
    <t xml:space="preserve">Catch + </t>
  </si>
  <si>
    <t>% of each</t>
  </si>
  <si>
    <t>% of the</t>
  </si>
  <si>
    <t>Panels</t>
  </si>
  <si>
    <t>Other</t>
  </si>
  <si>
    <t>Capture + Mise conserve</t>
  </si>
  <si>
    <t>Exchange rate: / Taux de change: / Cambio: 1  €=</t>
  </si>
  <si>
    <t>Belize</t>
  </si>
  <si>
    <t>Saint Vincent and Grenadines</t>
  </si>
  <si>
    <t>Syrian Arab Republic</t>
  </si>
  <si>
    <t>Egypt</t>
  </si>
  <si>
    <t>Nigeria</t>
  </si>
  <si>
    <t>Table 2 / Tableau 2 / Tabla 2</t>
  </si>
  <si>
    <t>Albania</t>
  </si>
  <si>
    <t>Panel membership: Panel 1 = Tropical tunas; Panel 2 = Temperate tunas-North; Panel 3 = Temperate tunas-South; and Panel 4 = Other species</t>
  </si>
  <si>
    <t>Membres appartenant aux Sous-commissions: Sous-commission 1 = Thonidés tropicaux; Sous-commission 2 = Thonidés tempérés-nord; Sous-commission 3 = Thonidés tempérés-sud; et Sous-commission 4 = Autres espèces</t>
  </si>
  <si>
    <t>Miembros que pertenecen a las Subcomisiones: Subcomisión 1 = Túnidos tropicales; Subcomisión 2 = Túnidos templados - norte; Subcomisión 3 = Túnidos templados - sur; y Subcomisión 4 = Otras especies</t>
  </si>
  <si>
    <t>Table 2</t>
  </si>
  <si>
    <t xml:space="preserve">Tableau 2 </t>
  </si>
  <si>
    <t>Tabla 2</t>
  </si>
  <si>
    <t>Percentage of catch and canning within the group in which the member is a part</t>
  </si>
  <si>
    <t xml:space="preserve">Pourcentage de capture et de mise en conserve au sein du groupe auquel elle appartient </t>
  </si>
  <si>
    <t>Porcentaje de captura y enlatado dentro del grupo del que forma parte</t>
  </si>
  <si>
    <t>Pourcentage au titre de membre de la Commission et des Sous-commissions au sein du groupe auquel elle appartient</t>
  </si>
  <si>
    <t>Percentage for Commission membership and Panel membership within the group in which the member is a part</t>
  </si>
  <si>
    <t>Porcentaje por miembro y subcomisiones dentro del grupo del que forma parte</t>
  </si>
  <si>
    <t>US$ 1,000 annual contribution for Commission membership</t>
  </si>
  <si>
    <t>1.000 $USD de contribution annuelle au titre de Membre de la Commission</t>
  </si>
  <si>
    <t>1.000 $USA de contribución anual en concepto de miembro de la Comisión</t>
  </si>
  <si>
    <t>US$ 1,000 annual contribution for each Panel membership in which the member belongs</t>
  </si>
  <si>
    <t>1.000 $USD de contribution annuelle pour chaque Sous-commission à laquelle le pays appartient</t>
  </si>
  <si>
    <t>1.000 $USA de contribución anual por cada Subcomisión a la que pertenece el país</t>
  </si>
  <si>
    <t>Variable fee in proportion to the percentage as a member of the Commission and Panels</t>
  </si>
  <si>
    <t>Cotisation variable en fonction du pourcentage au titre de membre de la Commission et des Sous-commissions</t>
  </si>
  <si>
    <t>Cuota variable en proporción al porcentaje como miembro de la Comisión y Subcomisiones</t>
  </si>
  <si>
    <t>Variable fee in proportion to the percentage according to catch and canning</t>
  </si>
  <si>
    <t>Cotisation variable en fonction du pourcentage selon la capture et la mise en conserve</t>
  </si>
  <si>
    <t>Cuota variable en proporción al porcentaje según captura y enlatado</t>
  </si>
  <si>
    <t>Total contribution</t>
  </si>
  <si>
    <t>Contribution totale</t>
  </si>
  <si>
    <t>Contribución total</t>
  </si>
  <si>
    <t>Number of Contracting Parties per Group (Table 2)</t>
  </si>
  <si>
    <t>Nombre de Parties contractantes par Groupe (Tableau 2)</t>
  </si>
  <si>
    <t>Number of Panels within each Group</t>
  </si>
  <si>
    <t>Nombre des Sous-commissions au sein de chaque Group</t>
  </si>
  <si>
    <t>Número de subcomisiones dentro de cada Grupo</t>
  </si>
  <si>
    <t>Total catch and canning, in t, of each Group</t>
  </si>
  <si>
    <t>Total de capture et de mise en conserve, en t, de chaque Groupe</t>
  </si>
  <si>
    <t>Total de captura y enlatado, en t, de cada Grupo</t>
  </si>
  <si>
    <t xml:space="preserve">Percentage of the budget financed by each member of each Group according to the Madrid Protocol </t>
  </si>
  <si>
    <t>Pourcentage du budget payé par chaque membre de chaque Groupe, conformément au Protocole de Madrid</t>
  </si>
  <si>
    <t>Porcentaje del presupuesto financiado por cada miembro de cada Grupo según lo acordado en el Protocolo de Madrid</t>
  </si>
  <si>
    <t>Percentage of the budget financed for each Group</t>
  </si>
  <si>
    <t>Pourcentage du budget payé par chaque Groupe / Porcentaje del presupuesto financiado por cada Grupo</t>
  </si>
  <si>
    <t>Porcentaje del presupuesto financiado por cada Grupo</t>
  </si>
  <si>
    <t>Commission membership fees within each Group</t>
  </si>
  <si>
    <t>Cotisations au titre de Membres de la Commission au sein de chaque Groupe</t>
  </si>
  <si>
    <t>Cuotas por Miembros de la Comisión dentro de cada Grupo</t>
  </si>
  <si>
    <t xml:space="preserve">Panel membership within each Group </t>
  </si>
  <si>
    <t>Cotisations au titre de membre des Sous-commissions au sein de chaque Groupe</t>
  </si>
  <si>
    <t>Cuotas por Subcomisiones dentro de cada Grupo</t>
  </si>
  <si>
    <t>Other fees: 1/3 for Commission and Panel membership and 2/3 for catch and canning</t>
  </si>
  <si>
    <t xml:space="preserve">Autres cotisations: 1/3 au titre de Membre de la Commission et des Sous-commissions, et 2/3 au titre de capture et de mise en conserve </t>
  </si>
  <si>
    <t>Otras cuotas: 1/3 por Miembro de la Comisión y Subcomisiones, y 2/3 por captura y enlatado</t>
  </si>
  <si>
    <t>ANNEX: Legends / ANNEXE: Légendes / ANEXO: Leyendas</t>
  </si>
  <si>
    <t>Sierra Leone</t>
  </si>
  <si>
    <t>Mauritania</t>
  </si>
  <si>
    <t xml:space="preserve">Group A: Members with developed market economy, as defined by the United Nations Conference on Trade and Development (UNCTAD) / Group B: Members whose GNP per capita exceeds US$ 4,000 and whose combined catches and canning of tuna exceeds 5,000 t / Group C: Members whose GNP per capita exceeds US$ 4,000 or whose combined catches and canning of tuna exceeds 5,000 t / Group D: Members whose GNP per capita does not exceed US$ 4,000, and whose combined catches and canning of tuna does not exceed 5,000 t                                                                                                                                                       </t>
  </si>
  <si>
    <t>Groupe A: Membres avec économie de marché développée, selon la définition de la Conférence des Nations unies sur le Commerce et le Développement (UNCTAD) / Groupe B: Membres avec un PNB par habitant dépassant 4.000$ USD et des captures et une production de conserve de thonidés combinées dépassant 5.000 t / Groupe C: Membres avec un PNB par habitant dépassant 4.000$ USD ou des captures et une production de conserve de thonidés combinées dépassant 5.000 t / Groupe D: Membres dont le PNB par habitant ne dépasse pas 4.000$ USD, et dont les captures et la production de conserve de thonidés combinées ne dépassent pas 5.000 t</t>
  </si>
  <si>
    <t>Grupo A: Miembros con economía de mercado desarrollada, según definición de la Conferencia de las Naciones Unidas para el Comercio y Desarrollo (UNCTAD) / Grupo B: Miembros con PNB per cápita superior a 4.000$ USA y capturas y conservas combinadas de túnidos que excedan de las 5.000 t / Grupo C: Miembros con PNB per cápita superior a 4.000$ USA o capturas y conservas combinadas de túnidos que excedan de las 5.000 t / Grupo D: Miembros cuyo PNB per cápita no sea superior a 4.000 $ USA, y cuyas capturas y conservas combinadas de túnidos no excedan de las 5.000 t</t>
  </si>
  <si>
    <t>Union Européenne</t>
  </si>
  <si>
    <t xml:space="preserve">t = Obtained from the database, because there was no official communication // Quantités obtenus de la base de données en raison de l'absence de déclaration officielle // Cifras obtenidas de la base de datos, donde no había comunicación oficial. </t>
  </si>
  <si>
    <t>Liberia</t>
  </si>
  <si>
    <t>Curaçao</t>
  </si>
  <si>
    <t>Partes contratantes</t>
  </si>
  <si>
    <t>contratante</t>
  </si>
  <si>
    <t>El Salvador</t>
  </si>
  <si>
    <t>Cabo Verde</t>
  </si>
  <si>
    <r>
      <t>Groups</t>
    </r>
    <r>
      <rPr>
        <b/>
        <vertAlign val="superscript"/>
        <sz val="9"/>
        <rFont val="Cambria"/>
        <family val="1"/>
        <scheme val="major"/>
      </rPr>
      <t>a</t>
    </r>
  </si>
  <si>
    <r>
      <t>GNP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1991</t>
    </r>
  </si>
  <si>
    <r>
      <t>Catch</t>
    </r>
    <r>
      <rPr>
        <b/>
        <vertAlign val="superscript"/>
        <sz val="9"/>
        <rFont val="Cambria"/>
        <family val="1"/>
        <scheme val="major"/>
      </rPr>
      <t>c</t>
    </r>
  </si>
  <si>
    <r>
      <t>Canning</t>
    </r>
    <r>
      <rPr>
        <b/>
        <vertAlign val="superscript"/>
        <sz val="9"/>
        <rFont val="Cambria"/>
        <family val="1"/>
        <scheme val="major"/>
      </rPr>
      <t>d</t>
    </r>
  </si>
  <si>
    <r>
      <t>Panels</t>
    </r>
    <r>
      <rPr>
        <b/>
        <vertAlign val="superscript"/>
        <sz val="9"/>
        <rFont val="Cambria"/>
        <family val="1"/>
        <scheme val="major"/>
      </rPr>
      <t>e</t>
    </r>
  </si>
  <si>
    <r>
      <t>Groupes</t>
    </r>
    <r>
      <rPr>
        <b/>
        <vertAlign val="superscript"/>
        <sz val="9"/>
        <rFont val="Cambria"/>
        <family val="1"/>
        <scheme val="major"/>
      </rPr>
      <t>a</t>
    </r>
  </si>
  <si>
    <r>
      <t>PNB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1991</t>
    </r>
  </si>
  <si>
    <r>
      <t>Capture</t>
    </r>
    <r>
      <rPr>
        <b/>
        <vertAlign val="superscript"/>
        <sz val="9"/>
        <rFont val="Cambria"/>
        <family val="1"/>
        <scheme val="major"/>
      </rPr>
      <t>c</t>
    </r>
  </si>
  <si>
    <r>
      <t>Mise conserve</t>
    </r>
    <r>
      <rPr>
        <b/>
        <vertAlign val="superscript"/>
        <sz val="9"/>
        <rFont val="Cambria"/>
        <family val="1"/>
        <scheme val="major"/>
      </rPr>
      <t>d</t>
    </r>
  </si>
  <si>
    <r>
      <t>Sous-commissions</t>
    </r>
    <r>
      <rPr>
        <b/>
        <vertAlign val="superscript"/>
        <sz val="9"/>
        <rFont val="Cambria"/>
        <family val="1"/>
        <scheme val="major"/>
      </rPr>
      <t>e</t>
    </r>
  </si>
  <si>
    <r>
      <t>Grupos</t>
    </r>
    <r>
      <rPr>
        <b/>
        <vertAlign val="superscript"/>
        <sz val="9"/>
        <rFont val="Cambria"/>
        <family val="1"/>
        <scheme val="major"/>
      </rPr>
      <t>a</t>
    </r>
  </si>
  <si>
    <r>
      <t>PNB</t>
    </r>
    <r>
      <rPr>
        <b/>
        <vertAlign val="superscript"/>
        <sz val="9"/>
        <rFont val="Cambria"/>
        <family val="1"/>
        <scheme val="major"/>
      </rPr>
      <t xml:space="preserve">b </t>
    </r>
    <r>
      <rPr>
        <b/>
        <sz val="9"/>
        <rFont val="Cambria"/>
        <family val="1"/>
        <scheme val="major"/>
      </rPr>
      <t>1991</t>
    </r>
  </si>
  <si>
    <r>
      <t>Captura</t>
    </r>
    <r>
      <rPr>
        <b/>
        <vertAlign val="superscript"/>
        <sz val="9"/>
        <rFont val="Cambria"/>
        <family val="1"/>
        <scheme val="major"/>
      </rPr>
      <t>c</t>
    </r>
  </si>
  <si>
    <r>
      <t>Enlatado</t>
    </r>
    <r>
      <rPr>
        <b/>
        <vertAlign val="superscript"/>
        <sz val="9"/>
        <rFont val="Cambria"/>
        <family val="1"/>
        <scheme val="major"/>
      </rPr>
      <t>d</t>
    </r>
  </si>
  <si>
    <r>
      <t>Subcomisiones</t>
    </r>
    <r>
      <rPr>
        <b/>
        <vertAlign val="superscript"/>
        <sz val="9"/>
        <rFont val="Cambria"/>
        <family val="1"/>
        <scheme val="major"/>
      </rPr>
      <t>e</t>
    </r>
  </si>
  <si>
    <r>
      <t>a), b), c), d), e)</t>
    </r>
    <r>
      <rPr>
        <sz val="9"/>
        <rFont val="Cambria"/>
        <family val="1"/>
        <scheme val="major"/>
      </rPr>
      <t xml:space="preserve">: See the legends in the </t>
    </r>
    <r>
      <rPr>
        <b/>
        <sz val="9"/>
        <rFont val="Cambria"/>
        <family val="1"/>
        <scheme val="major"/>
      </rPr>
      <t>Annex</t>
    </r>
    <r>
      <rPr>
        <sz val="9"/>
        <rFont val="Cambria"/>
        <family val="1"/>
        <scheme val="major"/>
      </rPr>
      <t xml:space="preserve"> / Voir les légendes à l'</t>
    </r>
    <r>
      <rPr>
        <b/>
        <sz val="9"/>
        <rFont val="Cambria"/>
        <family val="1"/>
        <scheme val="major"/>
      </rPr>
      <t>Annexe</t>
    </r>
    <r>
      <rPr>
        <sz val="9"/>
        <rFont val="Cambria"/>
        <family val="1"/>
        <scheme val="major"/>
      </rPr>
      <t xml:space="preserve"> / Ver las leyendas en el </t>
    </r>
    <r>
      <rPr>
        <b/>
        <sz val="9"/>
        <rFont val="Cambria"/>
        <family val="1"/>
        <scheme val="major"/>
      </rPr>
      <t>Anexo</t>
    </r>
  </si>
  <si>
    <r>
      <t>Group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</si>
  <si>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</si>
  <si>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</si>
  <si>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b</t>
    </r>
  </si>
  <si>
    <r>
      <t>Panels</t>
    </r>
    <r>
      <rPr>
        <b/>
        <vertAlign val="superscript"/>
        <sz val="9"/>
        <rFont val="Cambria"/>
        <family val="1"/>
        <scheme val="major"/>
      </rPr>
      <t>c</t>
    </r>
  </si>
  <si>
    <r>
      <t>fee</t>
    </r>
    <r>
      <rPr>
        <b/>
        <vertAlign val="superscript"/>
        <sz val="9"/>
        <rFont val="Cambria"/>
        <family val="1"/>
        <scheme val="major"/>
      </rPr>
      <t>d</t>
    </r>
  </si>
  <si>
    <r>
      <t>Membership</t>
    </r>
    <r>
      <rPr>
        <b/>
        <vertAlign val="superscript"/>
        <sz val="9"/>
        <rFont val="Cambria"/>
        <family val="1"/>
        <scheme val="major"/>
      </rPr>
      <t>e</t>
    </r>
  </si>
  <si>
    <r>
      <t>for Member</t>
    </r>
    <r>
      <rPr>
        <b/>
        <vertAlign val="superscript"/>
        <sz val="9"/>
        <rFont val="Cambria"/>
        <family val="1"/>
        <scheme val="major"/>
      </rPr>
      <t>f</t>
    </r>
  </si>
  <si>
    <r>
      <t>Catch-Canning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</si>
  <si>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h</t>
    </r>
  </si>
  <si>
    <r>
      <t>Groupe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</si>
  <si>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a</t>
    </r>
  </si>
  <si>
    <r>
      <t>Sous-com.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</si>
  <si>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b</t>
    </r>
  </si>
  <si>
    <r>
      <t>Sous-com.</t>
    </r>
    <r>
      <rPr>
        <b/>
        <vertAlign val="superscript"/>
        <sz val="9"/>
        <rFont val="Cambria"/>
        <family val="1"/>
        <scheme val="major"/>
      </rPr>
      <t>c</t>
    </r>
  </si>
  <si>
    <r>
      <t>Membre</t>
    </r>
    <r>
      <rPr>
        <b/>
        <vertAlign val="superscript"/>
        <sz val="9"/>
        <rFont val="Cambria"/>
        <family val="1"/>
        <scheme val="major"/>
      </rPr>
      <t>d</t>
    </r>
  </si>
  <si>
    <r>
      <t>Sous-com.</t>
    </r>
    <r>
      <rPr>
        <b/>
        <vertAlign val="superscript"/>
        <sz val="9"/>
        <rFont val="Cambria"/>
        <family val="1"/>
        <scheme val="major"/>
      </rPr>
      <t>e</t>
    </r>
  </si>
  <si>
    <r>
      <t>par Membre</t>
    </r>
    <r>
      <rPr>
        <b/>
        <vertAlign val="superscript"/>
        <sz val="9"/>
        <rFont val="Cambria"/>
        <family val="1"/>
        <scheme val="major"/>
      </rPr>
      <t>f</t>
    </r>
  </si>
  <si>
    <r>
      <t>Capt. et Cons.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</si>
  <si>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</si>
  <si>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r>
      <t>Grupo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</si>
  <si>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a</t>
    </r>
  </si>
  <si>
    <r>
      <t>Subcom.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</si>
  <si>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b</t>
    </r>
  </si>
  <si>
    <r>
      <t>Subcomis.</t>
    </r>
    <r>
      <rPr>
        <b/>
        <vertAlign val="superscript"/>
        <sz val="9"/>
        <rFont val="Cambria"/>
        <family val="1"/>
        <scheme val="major"/>
      </rPr>
      <t>c</t>
    </r>
  </si>
  <si>
    <r>
      <t>Miembro</t>
    </r>
    <r>
      <rPr>
        <b/>
        <vertAlign val="superscript"/>
        <sz val="9"/>
        <rFont val="Cambria"/>
        <family val="1"/>
        <scheme val="major"/>
      </rPr>
      <t>d</t>
    </r>
  </si>
  <si>
    <r>
      <t>Subcom.</t>
    </r>
    <r>
      <rPr>
        <b/>
        <vertAlign val="superscript"/>
        <sz val="9"/>
        <rFont val="Cambria"/>
        <family val="1"/>
        <scheme val="major"/>
      </rPr>
      <t>e</t>
    </r>
  </si>
  <si>
    <r>
      <t>por Miembro</t>
    </r>
    <r>
      <rPr>
        <b/>
        <vertAlign val="superscript"/>
        <sz val="9"/>
        <rFont val="Cambria"/>
        <family val="1"/>
        <scheme val="major"/>
      </rPr>
      <t>f</t>
    </r>
  </si>
  <si>
    <r>
      <t>Capt. y Enlat.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</si>
  <si>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h</t>
    </r>
  </si>
  <si>
    <r>
      <t>a), b), c), d), e), f), g), h):</t>
    </r>
    <r>
      <rPr>
        <sz val="8"/>
        <rFont val="Cambria"/>
        <family val="1"/>
        <scheme val="major"/>
      </rPr>
      <t xml:space="preserve"> See the legends in the </t>
    </r>
    <r>
      <rPr>
        <b/>
        <sz val="8"/>
        <rFont val="Cambria"/>
        <family val="1"/>
        <scheme val="major"/>
      </rPr>
      <t>Annex</t>
    </r>
    <r>
      <rPr>
        <sz val="8"/>
        <rFont val="Cambria"/>
        <family val="1"/>
        <scheme val="major"/>
      </rPr>
      <t xml:space="preserve"> / Voir les légendes à l'</t>
    </r>
    <r>
      <rPr>
        <b/>
        <sz val="8"/>
        <rFont val="Cambria"/>
        <family val="1"/>
        <scheme val="major"/>
      </rPr>
      <t>Annexe</t>
    </r>
    <r>
      <rPr>
        <sz val="8"/>
        <rFont val="Cambria"/>
        <family val="1"/>
        <scheme val="major"/>
      </rPr>
      <t xml:space="preserve"> / Ver las leyendas en el </t>
    </r>
    <r>
      <rPr>
        <b/>
        <sz val="8"/>
        <rFont val="Cambria"/>
        <family val="1"/>
        <scheme val="major"/>
      </rPr>
      <t>Anexo</t>
    </r>
  </si>
  <si>
    <r>
      <t>Parties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</si>
  <si>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b</t>
    </r>
  </si>
  <si>
    <r>
      <t>Canning</t>
    </r>
    <r>
      <rPr>
        <b/>
        <vertAlign val="superscript"/>
        <sz val="9"/>
        <rFont val="Cambria"/>
        <family val="1"/>
        <scheme val="major"/>
      </rPr>
      <t>c</t>
    </r>
  </si>
  <si>
    <r>
      <t>Party</t>
    </r>
    <r>
      <rPr>
        <b/>
        <vertAlign val="superscript"/>
        <sz val="9"/>
        <rFont val="Cambria"/>
        <family val="1"/>
        <scheme val="major"/>
      </rPr>
      <t>d</t>
    </r>
  </si>
  <si>
    <r>
      <t>Budget</t>
    </r>
    <r>
      <rPr>
        <b/>
        <vertAlign val="superscript"/>
        <sz val="9"/>
        <rFont val="Cambria"/>
        <family val="1"/>
        <scheme val="major"/>
      </rPr>
      <t>e</t>
    </r>
  </si>
  <si>
    <r>
      <t>Fees</t>
    </r>
    <r>
      <rPr>
        <b/>
        <vertAlign val="superscript"/>
        <sz val="9"/>
        <rFont val="Cambria"/>
        <family val="1"/>
        <scheme val="major"/>
      </rPr>
      <t>f</t>
    </r>
  </si>
  <si>
    <r>
      <t>fees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</si>
  <si>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i</t>
    </r>
  </si>
  <si>
    <r>
      <t>Sous-com.</t>
    </r>
    <r>
      <rPr>
        <b/>
        <vertAlign val="superscript"/>
        <sz val="9"/>
        <rFont val="Cambria"/>
        <family val="1"/>
        <scheme val="major"/>
      </rPr>
      <t>b</t>
    </r>
  </si>
  <si>
    <r>
      <t>Mise conserve</t>
    </r>
    <r>
      <rPr>
        <b/>
        <vertAlign val="superscript"/>
        <sz val="9"/>
        <rFont val="Cambria"/>
        <family val="1"/>
        <scheme val="major"/>
      </rPr>
      <t>c</t>
    </r>
  </si>
  <si>
    <r>
      <t>Partie</t>
    </r>
    <r>
      <rPr>
        <b/>
        <vertAlign val="superscript"/>
        <sz val="9"/>
        <rFont val="Cambria"/>
        <family val="1"/>
        <scheme val="major"/>
      </rPr>
      <t>d</t>
    </r>
  </si>
  <si>
    <r>
      <t>Cotisations</t>
    </r>
    <r>
      <rPr>
        <b/>
        <vertAlign val="superscript"/>
        <sz val="9"/>
        <rFont val="Cambria"/>
        <family val="1"/>
        <scheme val="major"/>
      </rPr>
      <t>f</t>
    </r>
  </si>
  <si>
    <r>
      <t>Sous-com.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</si>
  <si>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</si>
  <si>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r>
      <t>cotisations</t>
    </r>
    <r>
      <rPr>
        <b/>
        <vertAlign val="superscript"/>
        <sz val="9"/>
        <rFont val="Cambria"/>
        <family val="1"/>
        <scheme val="major"/>
      </rPr>
      <t>i</t>
    </r>
  </si>
  <si>
    <r>
      <t>Partes</t>
    </r>
    <r>
      <rPr>
        <b/>
        <vertAlign val="superscript"/>
        <sz val="9"/>
        <rFont val="Cambria"/>
        <family val="1"/>
        <scheme val="major"/>
      </rPr>
      <t>a</t>
    </r>
  </si>
  <si>
    <r>
      <t>Subcomis.</t>
    </r>
    <r>
      <rPr>
        <b/>
        <vertAlign val="superscript"/>
        <sz val="9"/>
        <rFont val="Cambria"/>
        <family val="1"/>
        <scheme val="major"/>
      </rPr>
      <t>b</t>
    </r>
  </si>
  <si>
    <r>
      <t>Enlatado</t>
    </r>
    <r>
      <rPr>
        <b/>
        <vertAlign val="superscript"/>
        <sz val="9"/>
        <rFont val="Cambria"/>
        <family val="1"/>
        <scheme val="major"/>
      </rPr>
      <t>c</t>
    </r>
  </si>
  <si>
    <r>
      <t>Parte</t>
    </r>
    <r>
      <rPr>
        <b/>
        <vertAlign val="superscript"/>
        <sz val="9"/>
        <rFont val="Cambria"/>
        <family val="1"/>
        <scheme val="major"/>
      </rPr>
      <t>d</t>
    </r>
  </si>
  <si>
    <r>
      <t>Presupuesto</t>
    </r>
    <r>
      <rPr>
        <b/>
        <vertAlign val="superscript"/>
        <sz val="9"/>
        <rFont val="Cambria"/>
        <family val="1"/>
        <scheme val="major"/>
      </rPr>
      <t>e</t>
    </r>
  </si>
  <si>
    <r>
      <t>Cuotas</t>
    </r>
    <r>
      <rPr>
        <b/>
        <vertAlign val="superscript"/>
        <sz val="9"/>
        <rFont val="Cambria"/>
        <family val="1"/>
        <scheme val="major"/>
      </rPr>
      <t>f</t>
    </r>
  </si>
  <si>
    <r>
      <t>Subcomis.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</si>
  <si>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i</t>
    </r>
  </si>
  <si>
    <r>
      <t>a), b), c), d), e), f), g), h), i)</t>
    </r>
    <r>
      <rPr>
        <sz val="9"/>
        <rFont val="Cambria"/>
        <family val="1"/>
        <scheme val="major"/>
      </rPr>
      <t xml:space="preserve">: See the legends in the </t>
    </r>
    <r>
      <rPr>
        <b/>
        <sz val="9"/>
        <rFont val="Cambria"/>
        <family val="1"/>
        <scheme val="major"/>
      </rPr>
      <t>Annex</t>
    </r>
    <r>
      <rPr>
        <sz val="9"/>
        <rFont val="Cambria"/>
        <family val="1"/>
        <scheme val="major"/>
      </rPr>
      <t xml:space="preserve"> / Voir les légendes à l'</t>
    </r>
    <r>
      <rPr>
        <b/>
        <sz val="9"/>
        <rFont val="Cambria"/>
        <family val="1"/>
        <scheme val="major"/>
      </rPr>
      <t>Annexe</t>
    </r>
    <r>
      <rPr>
        <sz val="9"/>
        <rFont val="Cambria"/>
        <family val="1"/>
        <scheme val="major"/>
      </rPr>
      <t xml:space="preserve"> / Ver las leyendas en el </t>
    </r>
    <r>
      <rPr>
        <b/>
        <sz val="9"/>
        <rFont val="Cambria"/>
        <family val="1"/>
        <scheme val="major"/>
      </rPr>
      <t>Anexo</t>
    </r>
  </si>
  <si>
    <t>Guinée-Bissau</t>
  </si>
  <si>
    <t>Grenada</t>
  </si>
  <si>
    <t>Gambia</t>
  </si>
  <si>
    <t xml:space="preserve">United Kingdom of Great Britain and Northern Ireland </t>
  </si>
  <si>
    <t>Türkiye</t>
  </si>
  <si>
    <t>Costa Rica</t>
  </si>
  <si>
    <t>Número de Partes contratantes por Grupo (Tabla 2)</t>
  </si>
  <si>
    <t>e) Special Meeting Participation Fund / Fonds spécial pour la participation aux réunions / Fondo especial para la participación en reuniones</t>
  </si>
  <si>
    <t>ANNÉE 2027</t>
  </si>
  <si>
    <t>AÑO 2027</t>
  </si>
  <si>
    <t>ANNÉE 2026</t>
  </si>
  <si>
    <t>AÑO 2026</t>
  </si>
  <si>
    <t>a) Representation of ICCAT in other fora / Représentation de l'ICCAT dans d’autres enceintes / Representación de ICCAT en otros foros</t>
  </si>
  <si>
    <t>b) ICCAT meetings (staff) / Réunions de l’ICCAT (membres du personnel) / Runiones ICCAT (personal)</t>
  </si>
  <si>
    <t>d) COM and SCRS Officers (from developing ICCAT Contracting Parties) / Mandataires de la Commission et du SCRS (des Parties contractantes en développement de l’ICCAT) / Cargos de ICCAT (Partes contratantes en desarrollo de ICCAT)</t>
  </si>
  <si>
    <t>c) Commission/SCRS Chairs / Présidents de la Commission/du SCRS / Presidentes de ICCAT y SCRS</t>
  </si>
  <si>
    <t>a) Commission annual meeting / Réunion annuelle de la Commission / Reunión anual de la Comisión</t>
  </si>
  <si>
    <t>b) Commission intersessional meetings / Réunions intersessions de la Commission / Reuniones intersesiones de la Comisión</t>
  </si>
  <si>
    <t>c) SCRS annual meeting / Réunion annuelle du SCRS / Reunión anual del SCRS</t>
  </si>
  <si>
    <t>d) SCRS intersesional meeting / Réunions intersessions du SCRS  / Reuniones intersesiones del SCRS</t>
  </si>
  <si>
    <t>a) General expenses / Frais généraux / Gastos generales</t>
  </si>
  <si>
    <t>b) Software licences and cloud resources / Licences de logiciels et ressources en nuage / Licencias de software y recursos en la nube</t>
  </si>
  <si>
    <t>c) Computer hardware / Matériel informatique / Hardware informático</t>
  </si>
  <si>
    <t>d) Phone line-Internet domain / Ligne téléphonique – Domaine Internet  / Línea telefónica-Dominio de Internet</t>
  </si>
  <si>
    <r>
      <t>Table 1.</t>
    </r>
    <r>
      <rPr>
        <sz val="10"/>
        <rFont val="Cambria"/>
        <family val="1"/>
        <scheme val="major"/>
      </rPr>
      <t xml:space="preserve"> 2026-2027 ICCAT Draft Budget (Euros) /</t>
    </r>
    <r>
      <rPr>
        <b/>
        <sz val="10"/>
        <rFont val="Cambria"/>
        <family val="1"/>
        <scheme val="major"/>
      </rPr>
      <t xml:space="preserve"> Tableau 1.</t>
    </r>
    <r>
      <rPr>
        <sz val="10"/>
        <rFont val="Cambria"/>
        <family val="1"/>
        <scheme val="major"/>
      </rPr>
      <t xml:space="preserve"> Projet de budget de l'ICCAT de 2026-2027 (Euros) / </t>
    </r>
    <r>
      <rPr>
        <b/>
        <sz val="10"/>
        <rFont val="Cambria"/>
        <family val="1"/>
        <scheme val="major"/>
      </rPr>
      <t xml:space="preserve">Tabla 1. </t>
    </r>
    <r>
      <rPr>
        <sz val="10"/>
        <rFont val="Cambria"/>
        <family val="1"/>
        <scheme val="major"/>
      </rPr>
      <t xml:space="preserve">Proyecto de presupuesto de ICCAT 2026-2027 (euros) 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</si>
  <si>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</si>
  <si>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</si>
  <si>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</si>
  <si>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</si>
  <si>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</si>
  <si>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</si>
  <si>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</si>
  <si>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</si>
  <si>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</si>
  <si>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</si>
  <si>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Salaries / Salaires / Salarios </t>
  </si>
  <si>
    <t xml:space="preserve">Travel / Voyages / Viajes </t>
  </si>
  <si>
    <t>Meetings / Réunions / Reuniones</t>
  </si>
  <si>
    <t>Publicationes / Publications / Publicaciones</t>
  </si>
  <si>
    <t xml:space="preserve">Office Equipment / Équipement de bureau / Equipo de oficina </t>
  </si>
  <si>
    <t>Operating costs / Frais de fonctionnement / Costes operativos</t>
  </si>
  <si>
    <t>Science Envelope (ICCAT research programmes) / Enveloppe scientifique (programmes de recherche de l'ICCAT) / Dotación para la ciencia (programas de investigación de ICCAT)</t>
  </si>
  <si>
    <t xml:space="preserve">Consultations/services externes / Consultations/services externes / Consultorías/servicios externos </t>
  </si>
  <si>
    <t>Separation from Service Fund / Fonds de cessation de service / Fondo separación de servicio</t>
  </si>
  <si>
    <t xml:space="preserve">Contingencies / Contingences / Contingencias </t>
  </si>
  <si>
    <t>Sub-total Chapter 2 / Sous-total Chapitre 2 / Subtotal Capítulo 2</t>
  </si>
  <si>
    <t>Sub-total Chapter 3 / Sous-total Chapitre 3 / Subtotal Capítulo 3</t>
  </si>
  <si>
    <t>Sub-total Chapter 6 / Sous-total Chapitre 6 / Subtotal Capítulo 6</t>
  </si>
  <si>
    <t>Cuba</t>
  </si>
  <si>
    <t>t</t>
  </si>
  <si>
    <t>coo</t>
  </si>
  <si>
    <t>(Data updated until 5 June 2025 // Données actualisées au 5 juin 2025 // Datos actualizados a 5 de junio de 2025)</t>
  </si>
  <si>
    <t>coo = Transfer of the latest data received // Transfert des dernières données reçues/ // Traspaso de los últimos datos recibidos</t>
  </si>
  <si>
    <r>
      <t>GNP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2023</t>
    </r>
  </si>
  <si>
    <r>
      <t>PNB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2023</t>
    </r>
  </si>
  <si>
    <r>
      <t>PNB</t>
    </r>
    <r>
      <rPr>
        <b/>
        <vertAlign val="superscript"/>
        <sz val="9"/>
        <rFont val="Cambria"/>
        <family val="1"/>
        <scheme val="major"/>
      </rPr>
      <t xml:space="preserve">b </t>
    </r>
    <r>
      <rPr>
        <b/>
        <sz val="9"/>
        <rFont val="Cambria"/>
        <family val="1"/>
        <scheme val="major"/>
      </rPr>
      <t>2023</t>
    </r>
  </si>
  <si>
    <t>ANNÉE 2025</t>
  </si>
  <si>
    <t>AÑO 2025</t>
  </si>
  <si>
    <t>%</t>
  </si>
  <si>
    <t xml:space="preserve">Average 2021-2022-2023 Catches (t) </t>
  </si>
  <si>
    <t>Average 2021-2022-2023 Canning (t)</t>
  </si>
  <si>
    <t>Moyenne Captures 2021-2022-2023 (t)</t>
  </si>
  <si>
    <t>Moyenne Mise en conserve 2021-2022-2023 (t)</t>
  </si>
  <si>
    <t>Promedio Enlatado 2021-2022-2023 (t)</t>
  </si>
  <si>
    <t>Table 3 and 5 / Tableau 3 et 5 / Tabla 3  y 5</t>
  </si>
  <si>
    <t>Table 4 and 6 / Tableau 4 et 6 / Tabla 4 y 6</t>
  </si>
  <si>
    <r>
      <t xml:space="preserve">Table 2. </t>
    </r>
    <r>
      <rPr>
        <sz val="10"/>
        <rFont val="Cambria"/>
        <family val="1"/>
        <scheme val="major"/>
      </rPr>
      <t xml:space="preserve">Basic information to calculate the Contracting Party contributions in 2026-2027 / </t>
    </r>
    <r>
      <rPr>
        <b/>
        <sz val="10"/>
        <rFont val="Cambria"/>
        <family val="1"/>
        <scheme val="major"/>
      </rPr>
      <t xml:space="preserve">Tableau 2. </t>
    </r>
    <r>
      <rPr>
        <sz val="10"/>
        <rFont val="Cambria"/>
        <family val="1"/>
        <scheme val="major"/>
      </rPr>
      <t xml:space="preserve">Information de base pour calculer les contributions des Parties contractantes en 2026-2027 / </t>
    </r>
    <r>
      <rPr>
        <b/>
        <sz val="10"/>
        <rFont val="Cambria"/>
        <family val="1"/>
        <scheme val="major"/>
      </rPr>
      <t xml:space="preserve">Tabla 2. </t>
    </r>
    <r>
      <rPr>
        <sz val="10"/>
        <rFont val="Cambria"/>
        <family val="1"/>
        <scheme val="major"/>
      </rPr>
      <t>Información básica para calcular las contribuciones de las Partes contratantes en 2026-2027</t>
    </r>
  </si>
  <si>
    <r>
      <t>Table 3.</t>
    </r>
    <r>
      <rPr>
        <sz val="10"/>
        <rFont val="Cambria"/>
        <family val="1"/>
        <scheme val="major"/>
      </rPr>
      <t xml:space="preserve"> Contracting Party contributions 2026 (euros) / </t>
    </r>
    <r>
      <rPr>
        <b/>
        <sz val="10"/>
        <rFont val="Cambria"/>
        <family val="1"/>
        <scheme val="major"/>
      </rPr>
      <t xml:space="preserve">Tableau 3. </t>
    </r>
    <r>
      <rPr>
        <sz val="10"/>
        <rFont val="Cambria"/>
        <family val="1"/>
        <scheme val="major"/>
      </rPr>
      <t xml:space="preserve">Contributions des Parties contractantes 2026 (euros) /  </t>
    </r>
    <r>
      <rPr>
        <b/>
        <sz val="10"/>
        <rFont val="Cambria"/>
        <family val="1"/>
        <scheme val="major"/>
      </rPr>
      <t xml:space="preserve">Tabla 3. </t>
    </r>
    <r>
      <rPr>
        <sz val="10"/>
        <rFont val="Cambria"/>
        <family val="1"/>
        <scheme val="major"/>
      </rPr>
      <t xml:space="preserve">Contribuciones de las Partes contratantes 2026 (euros) </t>
    </r>
  </si>
  <si>
    <r>
      <t xml:space="preserve">Table 4. </t>
    </r>
    <r>
      <rPr>
        <sz val="10"/>
        <rFont val="Cambria"/>
        <family val="1"/>
        <scheme val="major"/>
      </rPr>
      <t xml:space="preserve">Contributions by group 2026. Fees expressed in euros / </t>
    </r>
    <r>
      <rPr>
        <b/>
        <sz val="10"/>
        <rFont val="Cambria"/>
        <family val="1"/>
        <scheme val="major"/>
      </rPr>
      <t xml:space="preserve">Tableau 4. </t>
    </r>
    <r>
      <rPr>
        <sz val="10"/>
        <rFont val="Cambria"/>
        <family val="1"/>
        <scheme val="major"/>
      </rPr>
      <t>Contributions par groupe 2026. Cotisations exprimées en euros /</t>
    </r>
    <r>
      <rPr>
        <b/>
        <sz val="10"/>
        <rFont val="Cambria"/>
        <family val="1"/>
        <scheme val="major"/>
      </rPr>
      <t xml:space="preserve"> Tabla 4. </t>
    </r>
    <r>
      <rPr>
        <sz val="10"/>
        <rFont val="Cambria"/>
        <family val="1"/>
        <scheme val="major"/>
      </rPr>
      <t xml:space="preserve">Contribuciones por grupo 2026. Cuotas expresadas en euros </t>
    </r>
  </si>
  <si>
    <t>GNP: Gross National Product per capita in US$. Source: UNCTAD / GNP with values adjusted to 1991 using a multiplier of 2,22 (Source: CPI Inflation/Bureau of Labor Statistics/United States Department of Labor)</t>
  </si>
  <si>
    <t>PNB: Produit National Brut par habitant en US$. Source: UNCTAD / PNB avec des valeurs ajustées à 1991 en utilisant un multiplicateur de 2,22 (Source: CPI Inflation/Bureau of Labor Statistics/United States Department of Labor)</t>
  </si>
  <si>
    <t>PNB: Producto Nacional Bruto per cápita en US$. Fuente: UNCTAD / PNB con valores ajustados a 1991 usando un multiplicador de 2,22 (Source: CPI Inflation/Bureau of Labor Statistics/United States Department of Labor)</t>
  </si>
  <si>
    <t>Promedio de capturas 2021-2022-2023 (t)</t>
  </si>
  <si>
    <r>
      <t>Table 5.</t>
    </r>
    <r>
      <rPr>
        <sz val="10"/>
        <rFont val="Cambria"/>
        <family val="1"/>
        <scheme val="major"/>
      </rPr>
      <t xml:space="preserve"> Contracting Party contributions 2027 (euros) / </t>
    </r>
    <r>
      <rPr>
        <b/>
        <sz val="10"/>
        <rFont val="Cambria"/>
        <family val="1"/>
        <scheme val="major"/>
      </rPr>
      <t xml:space="preserve">Tableau 5. </t>
    </r>
    <r>
      <rPr>
        <sz val="10"/>
        <rFont val="Cambria"/>
        <family val="1"/>
        <scheme val="major"/>
      </rPr>
      <t xml:space="preserve">Contributions des Parties contractantes 2027 (euros) /  </t>
    </r>
    <r>
      <rPr>
        <b/>
        <sz val="10"/>
        <rFont val="Cambria"/>
        <family val="1"/>
        <scheme val="major"/>
      </rPr>
      <t xml:space="preserve">Tabla 5. </t>
    </r>
    <r>
      <rPr>
        <sz val="10"/>
        <rFont val="Cambria"/>
        <family val="1"/>
        <scheme val="major"/>
      </rPr>
      <t xml:space="preserve">Contribuciones de las Partes contratantes 2027 (euros) </t>
    </r>
  </si>
  <si>
    <r>
      <t xml:space="preserve">Table 6. </t>
    </r>
    <r>
      <rPr>
        <sz val="10"/>
        <rFont val="Cambria"/>
        <family val="1"/>
        <scheme val="major"/>
      </rPr>
      <t xml:space="preserve">Contributions by group 2027. Fees expressed in euros / </t>
    </r>
    <r>
      <rPr>
        <b/>
        <sz val="10"/>
        <rFont val="Cambria"/>
        <family val="1"/>
        <scheme val="major"/>
      </rPr>
      <t xml:space="preserve">Tableau 6. </t>
    </r>
    <r>
      <rPr>
        <sz val="10"/>
        <rFont val="Cambria"/>
        <family val="1"/>
        <scheme val="major"/>
      </rPr>
      <t>Contributions par groupe 2027. Cotisations exprimées en euros /</t>
    </r>
    <r>
      <rPr>
        <b/>
        <sz val="10"/>
        <rFont val="Cambria"/>
        <family val="1"/>
        <scheme val="major"/>
      </rPr>
      <t xml:space="preserve"> Tabla 6. </t>
    </r>
    <r>
      <rPr>
        <sz val="10"/>
        <rFont val="Cambria"/>
        <family val="1"/>
        <scheme val="major"/>
      </rPr>
      <t xml:space="preserve">Contribuciones por grupo 2027. Cuotas expresadas en euros </t>
    </r>
  </si>
  <si>
    <r>
      <t xml:space="preserve">Table 7. </t>
    </r>
    <r>
      <rPr>
        <sz val="10"/>
        <rFont val="Cambria"/>
        <family val="1"/>
        <scheme val="major"/>
      </rPr>
      <t xml:space="preserve">Catch and canning figures (in t) of the Contracting Parties / </t>
    </r>
    <r>
      <rPr>
        <b/>
        <sz val="10"/>
        <rFont val="Cambria"/>
        <family val="1"/>
        <scheme val="major"/>
      </rPr>
      <t xml:space="preserve">Tableau 7. </t>
    </r>
    <r>
      <rPr>
        <sz val="10"/>
        <rFont val="Cambria"/>
        <family val="1"/>
        <scheme val="major"/>
      </rPr>
      <t xml:space="preserve">Quantités de capture et de mise en conserve (en t) des Parties contractantes / </t>
    </r>
    <r>
      <rPr>
        <b/>
        <sz val="10"/>
        <rFont val="Cambria"/>
        <family val="1"/>
        <scheme val="major"/>
      </rPr>
      <t xml:space="preserve">Tabla 7. </t>
    </r>
    <r>
      <rPr>
        <sz val="10"/>
        <rFont val="Cambria"/>
        <family val="1"/>
        <scheme val="major"/>
      </rPr>
      <t xml:space="preserve">Cifras de captura y enlatado (en t) de las Partes contratantes. </t>
    </r>
  </si>
  <si>
    <t>Les calculs de ce tableau ne sont pas soulignés afin d'améliorer la lisibilité des données.</t>
  </si>
  <si>
    <t>The calculations in the table are not underlined to improve data readibility.</t>
  </si>
  <si>
    <t>Los cálculos de esta tabla no están subrayados, para una mayor legibilidad de los datos.</t>
  </si>
  <si>
    <r>
      <t>US$ (</t>
    </r>
    <r>
      <rPr>
        <u/>
        <sz val="9"/>
        <rFont val="Cambria"/>
        <family val="1"/>
        <scheme val="major"/>
      </rPr>
      <t>11/</t>
    </r>
    <r>
      <rPr>
        <sz val="9"/>
        <rFont val="Cambria"/>
        <family val="1"/>
        <scheme val="major"/>
      </rPr>
      <t>2025)</t>
    </r>
  </si>
  <si>
    <r>
      <t>US$ (</t>
    </r>
    <r>
      <rPr>
        <u/>
        <sz val="9"/>
        <rFont val="Cambria"/>
        <family val="1"/>
        <scheme val="major"/>
      </rPr>
      <t>11</t>
    </r>
    <r>
      <rPr>
        <sz val="9"/>
        <rFont val="Cambria"/>
        <family val="1"/>
        <scheme val="major"/>
      </rPr>
      <t>/2025)</t>
    </r>
  </si>
  <si>
    <t>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</si>
</sst>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0"/>
      <name val="Arial"/>
    </font>
    <font>
      <sz val="8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i/>
      <sz val="9"/>
      <name val="Cambria"/>
      <family val="1"/>
      <scheme val="major"/>
    </font>
    <font>
      <b/>
      <vertAlign val="superscript"/>
      <sz val="9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sz val="7"/>
      <name val="Cambria"/>
      <family val="1"/>
      <scheme val="major"/>
    </font>
    <font>
      <i/>
      <sz val="7"/>
      <name val="Cambria"/>
      <family val="1"/>
      <scheme val="major"/>
    </font>
    <font>
      <sz val="9"/>
      <color theme="1"/>
      <name val="Cambria"/>
      <family val="1"/>
    </font>
    <font>
      <u/>
      <sz val="9"/>
      <name val="Cambria"/>
      <family val="1"/>
      <scheme val="major"/>
    </font>
    <font>
      <b/>
      <u/>
      <sz val="9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5" fillId="0" borderId="0" xfId="0" applyFont="1" applyAlignment="1">
      <alignment horizontal="center" vertical="center"/>
    </xf>
    <xf numFmtId="10" fontId="4" fillId="0" borderId="0" xfId="0" quotePrefix="1" applyNumberFormat="1" applyFont="1" applyAlignment="1">
      <alignment horizontal="right" vertical="center"/>
    </xf>
    <xf numFmtId="10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10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9" fillId="0" borderId="0" xfId="0" applyFont="1"/>
    <xf numFmtId="4" fontId="3" fillId="0" borderId="0" xfId="0" applyNumberFormat="1" applyFont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0" fontId="3" fillId="0" borderId="1" xfId="0" applyFont="1" applyBorder="1"/>
    <xf numFmtId="3" fontId="3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/>
    <xf numFmtId="4" fontId="4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right"/>
    </xf>
    <xf numFmtId="1" fontId="6" fillId="0" borderId="0" xfId="0" applyNumberFormat="1" applyFont="1" applyAlignment="1">
      <alignment vertical="center"/>
    </xf>
    <xf numFmtId="1" fontId="6" fillId="0" borderId="4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6" fillId="0" borderId="0" xfId="0" applyFont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3" fontId="4" fillId="0" borderId="7" xfId="0" applyNumberFormat="1" applyFont="1" applyBorder="1" applyAlignment="1">
      <alignment vertical="center"/>
    </xf>
    <xf numFmtId="3" fontId="4" fillId="0" borderId="0" xfId="0" applyNumberFormat="1" applyFont="1"/>
    <xf numFmtId="3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1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8" fillId="0" borderId="0" xfId="0" applyNumberFormat="1" applyFont="1"/>
    <xf numFmtId="0" fontId="10" fillId="0" borderId="0" xfId="0" applyFont="1"/>
    <xf numFmtId="3" fontId="10" fillId="0" borderId="0" xfId="0" applyNumberFormat="1" applyFont="1"/>
    <xf numFmtId="4" fontId="10" fillId="0" borderId="0" xfId="0" applyNumberFormat="1" applyFont="1"/>
    <xf numFmtId="0" fontId="11" fillId="0" borderId="0" xfId="0" applyFont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3" fontId="13" fillId="0" borderId="6" xfId="0" applyNumberFormat="1" applyFont="1" applyBorder="1" applyAlignment="1">
      <alignment vertical="center"/>
    </xf>
    <xf numFmtId="3" fontId="13" fillId="0" borderId="7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1" xfId="0" applyFont="1" applyBorder="1"/>
    <xf numFmtId="1" fontId="5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 indent="2"/>
    </xf>
    <xf numFmtId="4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 indent="4"/>
    </xf>
    <xf numFmtId="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2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right" vertical="top"/>
    </xf>
    <xf numFmtId="4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4" fillId="0" borderId="0" xfId="1" applyNumberFormat="1" applyFont="1" applyFill="1"/>
    <xf numFmtId="10" fontId="4" fillId="0" borderId="0" xfId="0" applyNumberFormat="1" applyFont="1"/>
    <xf numFmtId="0" fontId="2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topLeftCell="A15" zoomScaleNormal="100" workbookViewId="0">
      <selection activeCell="E36" sqref="E36:E39"/>
    </sheetView>
  </sheetViews>
  <sheetFormatPr defaultColWidth="11.33203125" defaultRowHeight="11.6" x14ac:dyDescent="0.25"/>
  <cols>
    <col min="1" max="1" width="3.58203125" style="1" customWidth="1"/>
    <col min="2" max="2" width="83.33203125" style="1" customWidth="1"/>
    <col min="3" max="3" width="14.58203125" style="1" customWidth="1"/>
    <col min="4" max="4" width="10.08203125" style="1" customWidth="1"/>
    <col min="5" max="5" width="14.58203125" style="1" customWidth="1"/>
    <col min="6" max="6" width="10.08203125" style="1" customWidth="1"/>
    <col min="7" max="7" width="14.58203125" style="1" customWidth="1"/>
    <col min="8" max="16384" width="11.33203125" style="1"/>
  </cols>
  <sheetData>
    <row r="1" spans="1:8" ht="25.5" customHeight="1" x14ac:dyDescent="0.3">
      <c r="A1" s="147" t="s">
        <v>283</v>
      </c>
      <c r="B1" s="147"/>
      <c r="C1" s="147"/>
      <c r="D1" s="147"/>
      <c r="E1" s="147"/>
      <c r="F1" s="147"/>
      <c r="G1" s="147"/>
    </row>
    <row r="2" spans="1:8" ht="6.05" customHeight="1" x14ac:dyDescent="0.25">
      <c r="A2" s="130"/>
      <c r="B2" s="130"/>
      <c r="C2" s="130"/>
      <c r="D2" s="130"/>
      <c r="E2" s="130"/>
      <c r="F2" s="130"/>
      <c r="G2" s="130"/>
    </row>
    <row r="3" spans="1:8" ht="25.25" customHeight="1" x14ac:dyDescent="0.25">
      <c r="A3" s="2"/>
      <c r="C3" s="131">
        <v>2025</v>
      </c>
      <c r="D3" s="131" t="s">
        <v>317</v>
      </c>
      <c r="E3" s="131">
        <v>2026</v>
      </c>
      <c r="F3" s="131" t="s">
        <v>317</v>
      </c>
      <c r="G3" s="131">
        <v>2027</v>
      </c>
    </row>
    <row r="4" spans="1:8" ht="25.25" customHeight="1" x14ac:dyDescent="0.25">
      <c r="A4" s="2"/>
      <c r="C4" s="131" t="s">
        <v>315</v>
      </c>
      <c r="D4" s="131" t="s">
        <v>317</v>
      </c>
      <c r="E4" s="131" t="s">
        <v>269</v>
      </c>
      <c r="F4" s="131" t="s">
        <v>317</v>
      </c>
      <c r="G4" s="131" t="s">
        <v>267</v>
      </c>
    </row>
    <row r="5" spans="1:8" ht="25.25" customHeight="1" x14ac:dyDescent="0.25">
      <c r="A5" s="3" t="s">
        <v>61</v>
      </c>
      <c r="B5" s="130"/>
      <c r="C5" s="132" t="s">
        <v>316</v>
      </c>
      <c r="D5" s="132" t="s">
        <v>317</v>
      </c>
      <c r="E5" s="132" t="s">
        <v>270</v>
      </c>
      <c r="F5" s="132" t="s">
        <v>317</v>
      </c>
      <c r="G5" s="132" t="s">
        <v>268</v>
      </c>
    </row>
    <row r="6" spans="1:8" ht="12.45" customHeight="1" x14ac:dyDescent="0.25">
      <c r="B6" s="2"/>
      <c r="C6" s="5"/>
      <c r="D6" s="5"/>
      <c r="E6" s="5"/>
      <c r="F6" s="5"/>
      <c r="G6" s="5"/>
    </row>
    <row r="7" spans="1:8" ht="12.45" customHeight="1" x14ac:dyDescent="0.25">
      <c r="A7" s="72" t="s">
        <v>284</v>
      </c>
      <c r="B7" s="17" t="s">
        <v>294</v>
      </c>
      <c r="C7" s="6">
        <v>4327135.22</v>
      </c>
      <c r="D7" s="133">
        <f>E7/C7-1</f>
        <v>3.4990773872788816E-2</v>
      </c>
      <c r="E7" s="6">
        <v>4478545.03</v>
      </c>
      <c r="F7" s="133">
        <f>G7/E7-1</f>
        <v>3.0000000000000027E-2</v>
      </c>
      <c r="G7" s="6">
        <f>E7*1.03</f>
        <v>4612901.3809000002</v>
      </c>
      <c r="H7" s="82"/>
    </row>
    <row r="8" spans="1:8" ht="12.45" customHeight="1" x14ac:dyDescent="0.25">
      <c r="A8" s="72" t="s">
        <v>285</v>
      </c>
      <c r="B8" s="17" t="s">
        <v>295</v>
      </c>
      <c r="C8" s="6"/>
      <c r="D8" s="133"/>
      <c r="E8" s="6"/>
      <c r="F8" s="133"/>
      <c r="G8" s="6">
        <f t="shared" ref="G8:G13" si="0">E8*1.03</f>
        <v>0</v>
      </c>
      <c r="H8" s="6"/>
    </row>
    <row r="9" spans="1:8" ht="24.8" customHeight="1" x14ac:dyDescent="0.25">
      <c r="A9" s="72"/>
      <c r="B9" s="134" t="s">
        <v>271</v>
      </c>
      <c r="C9" s="6">
        <v>61095.39</v>
      </c>
      <c r="D9" s="133">
        <f t="shared" ref="D9:F34" si="1">E9/C9-1</f>
        <v>-0.33006827520046933</v>
      </c>
      <c r="E9" s="135">
        <v>40929.74</v>
      </c>
      <c r="F9" s="133">
        <f t="shared" si="1"/>
        <v>3.0000000000000027E-2</v>
      </c>
      <c r="G9" s="6">
        <f t="shared" si="0"/>
        <v>42157.6322</v>
      </c>
      <c r="H9" s="6"/>
    </row>
    <row r="10" spans="1:8" ht="12.45" customHeight="1" x14ac:dyDescent="0.25">
      <c r="A10" s="72"/>
      <c r="B10" s="134" t="s">
        <v>272</v>
      </c>
      <c r="C10" s="6">
        <v>143604.60999999999</v>
      </c>
      <c r="D10" s="133">
        <f t="shared" si="1"/>
        <v>-0.13745101915600055</v>
      </c>
      <c r="E10" s="135">
        <v>123866.01</v>
      </c>
      <c r="F10" s="133">
        <f t="shared" si="1"/>
        <v>3.0000000000000027E-2</v>
      </c>
      <c r="G10" s="6">
        <f t="shared" si="0"/>
        <v>127581.9903</v>
      </c>
    </row>
    <row r="11" spans="1:8" ht="12.45" customHeight="1" x14ac:dyDescent="0.25">
      <c r="A11" s="72"/>
      <c r="B11" s="134" t="s">
        <v>274</v>
      </c>
      <c r="C11" s="6">
        <v>60000</v>
      </c>
      <c r="D11" s="133">
        <f t="shared" si="1"/>
        <v>-5.3568500000000019E-2</v>
      </c>
      <c r="E11" s="135">
        <v>56785.89</v>
      </c>
      <c r="F11" s="133">
        <f t="shared" si="1"/>
        <v>3.0000000000000027E-2</v>
      </c>
      <c r="G11" s="6">
        <f t="shared" si="0"/>
        <v>58489.466700000004</v>
      </c>
    </row>
    <row r="12" spans="1:8" ht="36" customHeight="1" x14ac:dyDescent="0.25">
      <c r="A12" s="72"/>
      <c r="B12" s="134" t="s">
        <v>273</v>
      </c>
      <c r="C12" s="6">
        <v>61800</v>
      </c>
      <c r="D12" s="133">
        <f t="shared" si="1"/>
        <v>0.77045825242718458</v>
      </c>
      <c r="E12" s="135">
        <v>109414.32</v>
      </c>
      <c r="F12" s="133">
        <f t="shared" si="1"/>
        <v>3.0000000000000027E-2</v>
      </c>
      <c r="G12" s="6">
        <f t="shared" si="0"/>
        <v>112696.74960000001</v>
      </c>
    </row>
    <row r="13" spans="1:8" ht="24.8" customHeight="1" x14ac:dyDescent="0.25">
      <c r="A13" s="72"/>
      <c r="B13" s="134" t="s">
        <v>266</v>
      </c>
      <c r="C13" s="6">
        <v>250000</v>
      </c>
      <c r="D13" s="133">
        <f t="shared" si="1"/>
        <v>0</v>
      </c>
      <c r="E13" s="6">
        <v>250000</v>
      </c>
      <c r="F13" s="133">
        <f t="shared" si="1"/>
        <v>3.0000000000000027E-2</v>
      </c>
      <c r="G13" s="6">
        <f t="shared" si="0"/>
        <v>257500</v>
      </c>
    </row>
    <row r="14" spans="1:8" ht="12.45" customHeight="1" x14ac:dyDescent="0.25">
      <c r="A14" s="72"/>
      <c r="B14" s="136" t="s">
        <v>304</v>
      </c>
      <c r="C14" s="137">
        <f>SUM(C9:C13)</f>
        <v>576500</v>
      </c>
      <c r="D14" s="138">
        <f>E14/C14-1</f>
        <v>7.798716392020788E-3</v>
      </c>
      <c r="E14" s="137">
        <f>SUM(E9:E13)</f>
        <v>580995.96</v>
      </c>
      <c r="F14" s="138">
        <f>G14/E14-1</f>
        <v>3.0000000000000027E-2</v>
      </c>
      <c r="G14" s="137">
        <f>SUM(G9:G13)</f>
        <v>598425.83880000003</v>
      </c>
    </row>
    <row r="15" spans="1:8" ht="12.45" customHeight="1" x14ac:dyDescent="0.25">
      <c r="A15" s="72" t="s">
        <v>286</v>
      </c>
      <c r="B15" s="139" t="s">
        <v>296</v>
      </c>
      <c r="C15" s="6"/>
      <c r="D15" s="133"/>
      <c r="E15" s="6"/>
      <c r="F15" s="133"/>
      <c r="G15" s="6"/>
      <c r="H15" s="6"/>
    </row>
    <row r="16" spans="1:8" ht="12.45" customHeight="1" x14ac:dyDescent="0.25">
      <c r="A16" s="72"/>
      <c r="B16" s="140" t="s">
        <v>275</v>
      </c>
      <c r="C16" s="6">
        <v>210000</v>
      </c>
      <c r="D16" s="133">
        <f t="shared" si="1"/>
        <v>0</v>
      </c>
      <c r="E16" s="6">
        <v>210000</v>
      </c>
      <c r="F16" s="133">
        <f t="shared" si="1"/>
        <v>3.0000000000000027E-2</v>
      </c>
      <c r="G16" s="6">
        <f>E16*1.03</f>
        <v>216300</v>
      </c>
      <c r="H16" s="82"/>
    </row>
    <row r="17" spans="1:9" ht="24.8" customHeight="1" x14ac:dyDescent="0.25">
      <c r="A17" s="72"/>
      <c r="B17" s="140" t="s">
        <v>276</v>
      </c>
      <c r="C17" s="6">
        <v>0</v>
      </c>
      <c r="D17" s="133">
        <v>0</v>
      </c>
      <c r="E17" s="6">
        <v>0</v>
      </c>
      <c r="F17" s="133">
        <v>0</v>
      </c>
      <c r="G17" s="6">
        <f t="shared" ref="G17:G19" si="2">E17*1.03</f>
        <v>0</v>
      </c>
      <c r="H17" s="82"/>
    </row>
    <row r="18" spans="1:9" ht="12.45" customHeight="1" x14ac:dyDescent="0.25">
      <c r="A18" s="72"/>
      <c r="B18" s="134" t="s">
        <v>277</v>
      </c>
      <c r="C18" s="6">
        <v>70340</v>
      </c>
      <c r="D18" s="133">
        <f t="shared" si="1"/>
        <v>1.4807506397497727E-2</v>
      </c>
      <c r="E18" s="6">
        <v>71381.56</v>
      </c>
      <c r="F18" s="133">
        <f t="shared" si="1"/>
        <v>3.0000000000000027E-2</v>
      </c>
      <c r="G18" s="6">
        <f t="shared" si="2"/>
        <v>73523.006800000003</v>
      </c>
    </row>
    <row r="19" spans="1:9" ht="12.45" customHeight="1" x14ac:dyDescent="0.25">
      <c r="A19" s="72"/>
      <c r="B19" s="134" t="s">
        <v>278</v>
      </c>
      <c r="C19" s="6">
        <v>228385</v>
      </c>
      <c r="D19" s="133">
        <f t="shared" si="1"/>
        <v>0.10235921798717085</v>
      </c>
      <c r="E19" s="135">
        <v>251762.31</v>
      </c>
      <c r="F19" s="133">
        <f t="shared" si="1"/>
        <v>3.0000000000000027E-2</v>
      </c>
      <c r="G19" s="6">
        <f t="shared" si="2"/>
        <v>259315.17930000002</v>
      </c>
    </row>
    <row r="20" spans="1:9" ht="12.45" customHeight="1" x14ac:dyDescent="0.25">
      <c r="A20" s="72"/>
      <c r="B20" s="136" t="s">
        <v>305</v>
      </c>
      <c r="C20" s="137">
        <f>SUM(C16:C19)</f>
        <v>508725</v>
      </c>
      <c r="D20" s="138">
        <f t="shared" si="1"/>
        <v>4.8000137598899206E-2</v>
      </c>
      <c r="E20" s="137">
        <f>SUM(E16:E19)</f>
        <v>533143.87</v>
      </c>
      <c r="F20" s="138">
        <f t="shared" si="1"/>
        <v>3.0000000000000027E-2</v>
      </c>
      <c r="G20" s="137">
        <f>SUM(G16:G19)</f>
        <v>549138.18610000005</v>
      </c>
    </row>
    <row r="21" spans="1:9" ht="12.45" customHeight="1" x14ac:dyDescent="0.25">
      <c r="A21" s="72" t="s">
        <v>287</v>
      </c>
      <c r="B21" s="2" t="s">
        <v>297</v>
      </c>
      <c r="C21" s="6">
        <v>15000</v>
      </c>
      <c r="D21" s="133">
        <f t="shared" si="1"/>
        <v>-3.3333333333333326E-2</v>
      </c>
      <c r="E21" s="6">
        <v>14500</v>
      </c>
      <c r="F21" s="133">
        <f t="shared" si="1"/>
        <v>3.0000000000000027E-2</v>
      </c>
      <c r="G21" s="6">
        <f>E21*1.03</f>
        <v>14935</v>
      </c>
      <c r="H21" s="6"/>
    </row>
    <row r="22" spans="1:9" ht="12.45" customHeight="1" x14ac:dyDescent="0.25">
      <c r="A22" s="72" t="s">
        <v>288</v>
      </c>
      <c r="B22" s="2" t="s">
        <v>298</v>
      </c>
      <c r="C22" s="6">
        <v>13000</v>
      </c>
      <c r="D22" s="133">
        <f t="shared" si="1"/>
        <v>-0.23076923076923073</v>
      </c>
      <c r="E22" s="6">
        <v>10000</v>
      </c>
      <c r="F22" s="133">
        <f t="shared" si="1"/>
        <v>3.0000000000000027E-2</v>
      </c>
      <c r="G22" s="6">
        <f t="shared" ref="G22:G27" si="3">E22*1.03</f>
        <v>10300</v>
      </c>
      <c r="H22" s="6"/>
    </row>
    <row r="23" spans="1:9" ht="12.45" customHeight="1" x14ac:dyDescent="0.25">
      <c r="A23" s="72" t="s">
        <v>289</v>
      </c>
      <c r="B23" s="2" t="s">
        <v>299</v>
      </c>
      <c r="C23" s="6"/>
      <c r="D23" s="133"/>
      <c r="E23" s="6"/>
      <c r="F23" s="133"/>
      <c r="G23" s="6">
        <f t="shared" si="3"/>
        <v>0</v>
      </c>
    </row>
    <row r="24" spans="1:9" ht="12.45" customHeight="1" x14ac:dyDescent="0.25">
      <c r="A24" s="72"/>
      <c r="B24" s="141" t="s">
        <v>279</v>
      </c>
      <c r="C24" s="6">
        <v>117754</v>
      </c>
      <c r="D24" s="133">
        <f t="shared" si="1"/>
        <v>-6.7938244136080295E-2</v>
      </c>
      <c r="E24" s="6">
        <f>125000-15246</f>
        <v>109754</v>
      </c>
      <c r="F24" s="133">
        <f t="shared" si="1"/>
        <v>3.0000000000000027E-2</v>
      </c>
      <c r="G24" s="6">
        <f t="shared" si="3"/>
        <v>113046.62000000001</v>
      </c>
    </row>
    <row r="25" spans="1:9" ht="24.8" customHeight="1" x14ac:dyDescent="0.25">
      <c r="A25" s="72"/>
      <c r="B25" s="134" t="s">
        <v>280</v>
      </c>
      <c r="C25" s="6">
        <v>149153.71</v>
      </c>
      <c r="D25" s="133">
        <f t="shared" si="1"/>
        <v>7.2718875045079345E-2</v>
      </c>
      <c r="E25" s="6">
        <v>160000</v>
      </c>
      <c r="F25" s="133">
        <f t="shared" si="1"/>
        <v>3.0000000000000027E-2</v>
      </c>
      <c r="G25" s="6">
        <f t="shared" si="3"/>
        <v>164800</v>
      </c>
    </row>
    <row r="26" spans="1:9" ht="12.45" customHeight="1" x14ac:dyDescent="0.25">
      <c r="A26" s="72"/>
      <c r="B26" s="141" t="s">
        <v>281</v>
      </c>
      <c r="C26" s="6">
        <v>38684.629999999997</v>
      </c>
      <c r="D26" s="133">
        <f t="shared" si="1"/>
        <v>-0.14694802561120524</v>
      </c>
      <c r="E26" s="6">
        <v>33000</v>
      </c>
      <c r="F26" s="133">
        <f t="shared" si="1"/>
        <v>3.0000000000000027E-2</v>
      </c>
      <c r="G26" s="6">
        <f t="shared" si="3"/>
        <v>33990</v>
      </c>
    </row>
    <row r="27" spans="1:9" ht="12.45" customHeight="1" x14ac:dyDescent="0.25">
      <c r="A27" s="72"/>
      <c r="B27" s="141" t="s">
        <v>282</v>
      </c>
      <c r="C27" s="6">
        <v>7500</v>
      </c>
      <c r="D27" s="133">
        <f t="shared" si="1"/>
        <v>0</v>
      </c>
      <c r="E27" s="6">
        <v>7500</v>
      </c>
      <c r="F27" s="133">
        <f t="shared" si="1"/>
        <v>3.0000000000000027E-2</v>
      </c>
      <c r="G27" s="6">
        <f t="shared" si="3"/>
        <v>7725</v>
      </c>
    </row>
    <row r="28" spans="1:9" ht="12.45" customHeight="1" x14ac:dyDescent="0.25">
      <c r="A28" s="72"/>
      <c r="B28" s="136" t="s">
        <v>306</v>
      </c>
      <c r="C28" s="137">
        <f>SUM(C24:C27)</f>
        <v>313092.33999999997</v>
      </c>
      <c r="D28" s="138">
        <f t="shared" si="1"/>
        <v>-9.0655044451102285E-3</v>
      </c>
      <c r="E28" s="137">
        <f>SUM(E24:E27)</f>
        <v>310254</v>
      </c>
      <c r="F28" s="138">
        <f t="shared" si="1"/>
        <v>3.0000000000000027E-2</v>
      </c>
      <c r="G28" s="137">
        <f>SUM(G24:G27)</f>
        <v>319561.62</v>
      </c>
    </row>
    <row r="29" spans="1:9" ht="24.8" customHeight="1" x14ac:dyDescent="0.25">
      <c r="A29" s="142" t="s">
        <v>290</v>
      </c>
      <c r="B29" s="60" t="s">
        <v>300</v>
      </c>
      <c r="C29" s="6">
        <v>0</v>
      </c>
      <c r="D29" s="133" t="s">
        <v>51</v>
      </c>
      <c r="E29" s="135">
        <v>250000</v>
      </c>
      <c r="F29" s="133">
        <f t="shared" si="1"/>
        <v>1.3138024800000001</v>
      </c>
      <c r="G29" s="135">
        <v>578450.62</v>
      </c>
      <c r="I29" s="7"/>
    </row>
    <row r="30" spans="1:9" ht="12.45" customHeight="1" x14ac:dyDescent="0.25">
      <c r="A30" s="72" t="s">
        <v>291</v>
      </c>
      <c r="B30" s="2" t="s">
        <v>301</v>
      </c>
      <c r="C30" s="6">
        <v>168550.8</v>
      </c>
      <c r="D30" s="133">
        <f t="shared" si="1"/>
        <v>-4.688141497993481E-2</v>
      </c>
      <c r="E30" s="6">
        <f>12210*4+17500+41089*1.02+16000*1.21*1.02+250*12+15246*1.02+1000*12+2100</f>
        <v>160648.9</v>
      </c>
      <c r="F30" s="133">
        <f t="shared" si="1"/>
        <v>3.0000000000000027E-2</v>
      </c>
      <c r="G30" s="6">
        <f t="shared" ref="G30:G32" si="4">E30*1.03</f>
        <v>165468.367</v>
      </c>
    </row>
    <row r="31" spans="1:9" ht="12.45" customHeight="1" x14ac:dyDescent="0.25">
      <c r="A31" s="72" t="s">
        <v>292</v>
      </c>
      <c r="B31" s="2" t="s">
        <v>302</v>
      </c>
      <c r="C31" s="6">
        <v>65468.14</v>
      </c>
      <c r="D31" s="133">
        <f t="shared" si="1"/>
        <v>0</v>
      </c>
      <c r="E31" s="6">
        <v>65468.14</v>
      </c>
      <c r="F31" s="133">
        <f t="shared" si="1"/>
        <v>3.0000000000000027E-2</v>
      </c>
      <c r="G31" s="6">
        <f t="shared" si="4"/>
        <v>67432.184200000003</v>
      </c>
    </row>
    <row r="32" spans="1:9" ht="12.45" customHeight="1" x14ac:dyDescent="0.25">
      <c r="A32" s="72" t="s">
        <v>293</v>
      </c>
      <c r="B32" s="2" t="s">
        <v>303</v>
      </c>
      <c r="C32" s="6">
        <v>5000</v>
      </c>
      <c r="D32" s="133">
        <f t="shared" si="1"/>
        <v>0</v>
      </c>
      <c r="E32" s="6">
        <v>5000</v>
      </c>
      <c r="F32" s="133">
        <f t="shared" si="1"/>
        <v>3.0000000000000027E-2</v>
      </c>
      <c r="G32" s="6">
        <f t="shared" si="4"/>
        <v>5150</v>
      </c>
    </row>
    <row r="33" spans="1:7" ht="12.45" customHeight="1" x14ac:dyDescent="0.25">
      <c r="B33" s="2"/>
      <c r="C33" s="6"/>
      <c r="D33" s="133"/>
      <c r="E33" s="6"/>
      <c r="F33" s="133"/>
      <c r="G33" s="6"/>
    </row>
    <row r="34" spans="1:7" s="9" customFormat="1" ht="12.45" customHeight="1" x14ac:dyDescent="0.25">
      <c r="A34" s="3" t="s">
        <v>62</v>
      </c>
      <c r="B34" s="3"/>
      <c r="C34" s="143">
        <f>C7+C14+C20+C21+C22+C28+C29+C30+C31+C32</f>
        <v>5992471.4999999991</v>
      </c>
      <c r="D34" s="144">
        <f t="shared" si="1"/>
        <v>6.9434522967694035E-2</v>
      </c>
      <c r="E34" s="143">
        <f>E7+E14+E20+E21+E22+E28+E29+E30+E31+E32</f>
        <v>6408555.9000000004</v>
      </c>
      <c r="F34" s="144">
        <f t="shared" si="1"/>
        <v>8.008158234213103E-2</v>
      </c>
      <c r="G34" s="143">
        <f>G7+G14+G20+G21+G22+G28+G29+G30+G31+G32</f>
        <v>6921763.1969999997</v>
      </c>
    </row>
    <row r="37" spans="1:7" x14ac:dyDescent="0.25">
      <c r="E37" s="7"/>
    </row>
    <row r="38" spans="1:7" x14ac:dyDescent="0.25">
      <c r="E38" s="145"/>
    </row>
    <row r="39" spans="1:7" x14ac:dyDescent="0.25">
      <c r="E39" s="146"/>
    </row>
    <row r="40" spans="1:7" x14ac:dyDescent="0.25">
      <c r="E40" s="7"/>
    </row>
  </sheetData>
  <mergeCells count="1">
    <mergeCell ref="A1:G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scale="84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2"/>
  <sheetViews>
    <sheetView showGridLines="0" topLeftCell="A48" zoomScale="115" zoomScaleNormal="115" workbookViewId="0">
      <selection activeCell="U33" sqref="U33"/>
    </sheetView>
  </sheetViews>
  <sheetFormatPr defaultColWidth="11.33203125" defaultRowHeight="13.05" x14ac:dyDescent="0.3"/>
  <cols>
    <col min="1" max="1" width="1.33203125" style="10" customWidth="1"/>
    <col min="2" max="2" width="20.6640625" style="10" customWidth="1"/>
    <col min="3" max="3" width="6.6640625" style="65" customWidth="1"/>
    <col min="4" max="6" width="8.6640625" style="10" customWidth="1"/>
    <col min="7" max="7" width="3.6640625" style="10" customWidth="1"/>
    <col min="8" max="8" width="8.6640625" style="63" customWidth="1"/>
    <col min="9" max="9" width="3.6640625" style="10" customWidth="1"/>
    <col min="10" max="10" width="12.33203125" style="10" customWidth="1"/>
    <col min="11" max="12" width="3.6640625" style="10" customWidth="1"/>
    <col min="13" max="15" width="3.33203125" style="10" customWidth="1"/>
    <col min="16" max="16" width="15.6640625" style="10" customWidth="1"/>
    <col min="17" max="17" width="20.6640625" style="10" customWidth="1"/>
    <col min="18" max="18" width="4.6640625" style="10" customWidth="1"/>
    <col min="19" max="16384" width="11.33203125" style="10"/>
  </cols>
  <sheetData>
    <row r="1" spans="1:18" ht="25.5" customHeight="1" x14ac:dyDescent="0.3">
      <c r="A1" s="147" t="s">
        <v>325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</row>
    <row r="2" spans="1:18" ht="6.05" customHeight="1" x14ac:dyDescent="0.3">
      <c r="A2" s="11"/>
      <c r="R2" s="62"/>
    </row>
    <row r="3" spans="1:18" s="9" customFormat="1" ht="12.45" customHeight="1" x14ac:dyDescent="0.25">
      <c r="A3" s="12"/>
      <c r="B3" s="57" t="s">
        <v>80</v>
      </c>
      <c r="C3" s="57" t="s">
        <v>188</v>
      </c>
      <c r="D3" s="57" t="s">
        <v>312</v>
      </c>
      <c r="E3" s="57" t="s">
        <v>189</v>
      </c>
      <c r="F3" s="57" t="s">
        <v>190</v>
      </c>
      <c r="G3" s="57"/>
      <c r="H3" s="66" t="s">
        <v>191</v>
      </c>
      <c r="I3" s="57"/>
      <c r="J3" s="57" t="s">
        <v>83</v>
      </c>
      <c r="K3" s="57"/>
      <c r="L3" s="148" t="s">
        <v>192</v>
      </c>
      <c r="M3" s="148"/>
      <c r="N3" s="148"/>
      <c r="O3" s="148"/>
      <c r="P3" s="57" t="s">
        <v>84</v>
      </c>
      <c r="Q3" s="57" t="s">
        <v>80</v>
      </c>
    </row>
    <row r="4" spans="1:18" s="9" customFormat="1" ht="12.45" customHeight="1" x14ac:dyDescent="0.25">
      <c r="A4" s="13"/>
      <c r="B4" s="35" t="s">
        <v>81</v>
      </c>
      <c r="C4" s="35" t="s">
        <v>193</v>
      </c>
      <c r="D4" s="35" t="s">
        <v>313</v>
      </c>
      <c r="E4" s="35" t="s">
        <v>194</v>
      </c>
      <c r="F4" s="35" t="s">
        <v>195</v>
      </c>
      <c r="G4" s="35"/>
      <c r="H4" s="67" t="s">
        <v>196</v>
      </c>
      <c r="I4" s="35"/>
      <c r="J4" s="35" t="s">
        <v>115</v>
      </c>
      <c r="K4" s="35"/>
      <c r="L4" s="149" t="s">
        <v>197</v>
      </c>
      <c r="M4" s="149"/>
      <c r="N4" s="149"/>
      <c r="O4" s="149"/>
      <c r="P4" s="35" t="s">
        <v>85</v>
      </c>
      <c r="Q4" s="35" t="s">
        <v>81</v>
      </c>
    </row>
    <row r="5" spans="1:18" s="9" customFormat="1" ht="12.45" customHeight="1" x14ac:dyDescent="0.25">
      <c r="A5" s="13"/>
      <c r="B5" s="35" t="s">
        <v>0</v>
      </c>
      <c r="C5" s="35" t="s">
        <v>198</v>
      </c>
      <c r="D5" s="35" t="s">
        <v>314</v>
      </c>
      <c r="E5" s="35" t="s">
        <v>199</v>
      </c>
      <c r="F5" s="35" t="s">
        <v>200</v>
      </c>
      <c r="G5" s="35"/>
      <c r="H5" s="67" t="s">
        <v>201</v>
      </c>
      <c r="I5" s="35"/>
      <c r="J5" s="35" t="s">
        <v>82</v>
      </c>
      <c r="K5" s="35"/>
      <c r="L5" s="149" t="s">
        <v>202</v>
      </c>
      <c r="M5" s="149"/>
      <c r="N5" s="149"/>
      <c r="O5" s="149"/>
      <c r="P5" s="35" t="s">
        <v>86</v>
      </c>
      <c r="Q5" s="35" t="s">
        <v>184</v>
      </c>
    </row>
    <row r="6" spans="1:18" s="9" customFormat="1" ht="12.45" customHeight="1" x14ac:dyDescent="0.25">
      <c r="A6" s="3"/>
      <c r="B6" s="14"/>
      <c r="C6" s="14"/>
      <c r="D6" s="14"/>
      <c r="E6" s="14"/>
      <c r="F6" s="14"/>
      <c r="G6" s="14"/>
      <c r="H6" s="68"/>
      <c r="I6" s="14"/>
      <c r="J6" s="14"/>
      <c r="K6" s="14"/>
      <c r="L6" s="14">
        <v>1</v>
      </c>
      <c r="M6" s="14">
        <v>2</v>
      </c>
      <c r="N6" s="14">
        <v>3</v>
      </c>
      <c r="O6" s="14">
        <v>4</v>
      </c>
      <c r="P6" s="14"/>
      <c r="Q6" s="14"/>
      <c r="R6" s="69"/>
    </row>
    <row r="7" spans="1:18" s="72" customFormat="1" ht="10.55" customHeight="1" x14ac:dyDescent="0.25">
      <c r="A7" s="15"/>
      <c r="B7" s="15" t="s">
        <v>123</v>
      </c>
      <c r="C7" s="5" t="s">
        <v>21</v>
      </c>
      <c r="D7" s="70">
        <v>8172</v>
      </c>
      <c r="E7" s="16">
        <f>D7/2.22</f>
        <v>3681.0810810810808</v>
      </c>
      <c r="F7" s="70">
        <f>ROUND(IF(('TABLA 7 CATCH AND CANNING'!B7+'TABLA 7 CATCH AND CANNING'!G7+'TABLA 7 CATCH AND CANNING'!L7)&gt;0,AVERAGE('TABLA 7 CATCH AND CANNING'!B7,'TABLA 7 CATCH AND CANNING'!G7,'TABLA 7 CATCH AND CANNING'!L7),0),0)</f>
        <v>193</v>
      </c>
      <c r="G7" s="70"/>
      <c r="H7" s="70">
        <f>ROUND(IF(('TABLA 7 CATCH AND CANNING'!D7+'TABLA 7 CATCH AND CANNING'!I7+'TABLA 7 CATCH AND CANNING'!N7)&gt;0,AVERAGE('TABLA 7 CATCH AND CANNING'!D7,'TABLA 7 CATCH AND CANNING'!I7,'TABLA 7 CATCH AND CANNING'!N7),0),0)</f>
        <v>0</v>
      </c>
      <c r="I7" s="70"/>
      <c r="J7" s="70">
        <f>F7+H7</f>
        <v>193</v>
      </c>
      <c r="K7" s="15"/>
      <c r="L7" s="5" t="s">
        <v>51</v>
      </c>
      <c r="M7" s="5" t="s">
        <v>13</v>
      </c>
      <c r="N7" s="5" t="s">
        <v>51</v>
      </c>
      <c r="O7" s="5" t="s">
        <v>51</v>
      </c>
      <c r="P7" s="5">
        <v>1</v>
      </c>
      <c r="Q7" s="17" t="s">
        <v>123</v>
      </c>
      <c r="R7" s="71"/>
    </row>
    <row r="8" spans="1:18" s="1" customFormat="1" ht="10.55" customHeight="1" x14ac:dyDescent="0.25">
      <c r="A8" s="2"/>
      <c r="B8" s="15" t="s">
        <v>33</v>
      </c>
      <c r="C8" s="5" t="str">
        <f t="shared" ref="C8:C61" si="0">IF(E8&gt;19000,"A",IF(AND(E8&gt;4000,J8&gt;5000),"B",IF(OR(E8&gt;4000,J8&gt;5000),"C",IF(AND(E8&lt;=4000,J8&lt;=5000),"D"))))</f>
        <v>C</v>
      </c>
      <c r="D8" s="16">
        <v>5364</v>
      </c>
      <c r="E8" s="16">
        <f t="shared" ref="E8:E61" si="1">D8/2.22</f>
        <v>2416.2162162162158</v>
      </c>
      <c r="F8" s="70">
        <f>ROUND(IF(('TABLA 7 CATCH AND CANNING'!B8+'TABLA 7 CATCH AND CANNING'!G8+'TABLA 7 CATCH AND CANNING'!L8)&gt;0,AVERAGE('TABLA 7 CATCH AND CANNING'!B8,'TABLA 7 CATCH AND CANNING'!G8,'TABLA 7 CATCH AND CANNING'!L8),0),0)</f>
        <v>6009</v>
      </c>
      <c r="G8" s="70"/>
      <c r="H8" s="70">
        <f>ROUND(IF(('TABLA 7 CATCH AND CANNING'!D8+'TABLA 7 CATCH AND CANNING'!I8+'TABLA 7 CATCH AND CANNING'!N8)&gt;0,AVERAGE('TABLA 7 CATCH AND CANNING'!D8,'TABLA 7 CATCH AND CANNING'!I8,'TABLA 7 CATCH AND CANNING'!N8),0),0)</f>
        <v>0</v>
      </c>
      <c r="I8" s="16"/>
      <c r="J8" s="70">
        <f t="shared" ref="J8:J61" si="2">F8+H8</f>
        <v>6009</v>
      </c>
      <c r="K8" s="16"/>
      <c r="L8" s="5" t="s">
        <v>51</v>
      </c>
      <c r="M8" s="5" t="s">
        <v>13</v>
      </c>
      <c r="N8" s="5" t="s">
        <v>51</v>
      </c>
      <c r="O8" s="5" t="s">
        <v>13</v>
      </c>
      <c r="P8" s="5">
        <v>2</v>
      </c>
      <c r="Q8" s="17" t="s">
        <v>33</v>
      </c>
      <c r="R8" s="71"/>
    </row>
    <row r="9" spans="1:18" s="1" customFormat="1" ht="10.55" customHeight="1" x14ac:dyDescent="0.25">
      <c r="A9" s="2"/>
      <c r="B9" s="15" t="s">
        <v>56</v>
      </c>
      <c r="C9" s="5" t="str">
        <f t="shared" si="0"/>
        <v>D</v>
      </c>
      <c r="D9" s="16">
        <v>2464</v>
      </c>
      <c r="E9" s="16">
        <f t="shared" si="1"/>
        <v>1109.9099099099099</v>
      </c>
      <c r="F9" s="70">
        <f>ROUND(IF(('TABLA 7 CATCH AND CANNING'!B9+'TABLA 7 CATCH AND CANNING'!G9+'TABLA 7 CATCH AND CANNING'!L9)&gt;0,AVERAGE('TABLA 7 CATCH AND CANNING'!B9,'TABLA 7 CATCH AND CANNING'!G9,'TABLA 7 CATCH AND CANNING'!L9),0),0)</f>
        <v>3853</v>
      </c>
      <c r="G9" s="70"/>
      <c r="H9" s="70">
        <f>ROUND(IF(('TABLA 7 CATCH AND CANNING'!D9+'TABLA 7 CATCH AND CANNING'!I9+'TABLA 7 CATCH AND CANNING'!N9)&gt;0,AVERAGE('TABLA 7 CATCH AND CANNING'!D9,'TABLA 7 CATCH AND CANNING'!I9,'TABLA 7 CATCH AND CANNING'!N9),0),0)</f>
        <v>0</v>
      </c>
      <c r="I9" s="16"/>
      <c r="J9" s="70">
        <f t="shared" si="2"/>
        <v>3853</v>
      </c>
      <c r="K9" s="16"/>
      <c r="L9" s="5" t="s">
        <v>13</v>
      </c>
      <c r="M9" s="5" t="s">
        <v>51</v>
      </c>
      <c r="N9" s="5" t="s">
        <v>13</v>
      </c>
      <c r="O9" s="5" t="s">
        <v>13</v>
      </c>
      <c r="P9" s="5">
        <v>3</v>
      </c>
      <c r="Q9" s="17" t="s">
        <v>3</v>
      </c>
      <c r="R9" s="71"/>
    </row>
    <row r="10" spans="1:18" s="1" customFormat="1" ht="10.55" customHeight="1" x14ac:dyDescent="0.25">
      <c r="A10" s="2"/>
      <c r="B10" s="15" t="s">
        <v>57</v>
      </c>
      <c r="C10" s="5" t="str">
        <f t="shared" si="0"/>
        <v>C</v>
      </c>
      <c r="D10" s="16">
        <v>23804</v>
      </c>
      <c r="E10" s="16">
        <f t="shared" si="1"/>
        <v>10722.522522522522</v>
      </c>
      <c r="F10" s="70">
        <f>ROUND(IF(('TABLA 7 CATCH AND CANNING'!B10+'TABLA 7 CATCH AND CANNING'!G10+'TABLA 7 CATCH AND CANNING'!L10)&gt;0,AVERAGE('TABLA 7 CATCH AND CANNING'!B10,'TABLA 7 CATCH AND CANNING'!G10,'TABLA 7 CATCH AND CANNING'!L10),0),0)</f>
        <v>321</v>
      </c>
      <c r="G10" s="70"/>
      <c r="H10" s="70">
        <f>ROUND(IF(('TABLA 7 CATCH AND CANNING'!D10+'TABLA 7 CATCH AND CANNING'!I10+'TABLA 7 CATCH AND CANNING'!N10)&gt;0,AVERAGE('TABLA 7 CATCH AND CANNING'!D10,'TABLA 7 CATCH AND CANNING'!I10,'TABLA 7 CATCH AND CANNING'!N10),0),0)</f>
        <v>0</v>
      </c>
      <c r="I10" s="16"/>
      <c r="J10" s="70">
        <f t="shared" si="2"/>
        <v>321</v>
      </c>
      <c r="K10" s="16"/>
      <c r="L10" s="5" t="s">
        <v>13</v>
      </c>
      <c r="M10" s="5" t="s">
        <v>51</v>
      </c>
      <c r="N10" s="5" t="s">
        <v>51</v>
      </c>
      <c r="O10" s="5" t="s">
        <v>13</v>
      </c>
      <c r="P10" s="5">
        <v>2</v>
      </c>
      <c r="Q10" s="17" t="s">
        <v>4</v>
      </c>
      <c r="R10" s="71"/>
    </row>
    <row r="11" spans="1:18" s="1" customFormat="1" ht="10.55" customHeight="1" x14ac:dyDescent="0.25">
      <c r="A11" s="2"/>
      <c r="B11" s="15" t="s">
        <v>117</v>
      </c>
      <c r="C11" s="5" t="str">
        <f t="shared" si="0"/>
        <v>C</v>
      </c>
      <c r="D11" s="16">
        <v>7489</v>
      </c>
      <c r="E11" s="16">
        <f t="shared" si="1"/>
        <v>3373.4234234234232</v>
      </c>
      <c r="F11" s="70">
        <f>ROUND(IF(('TABLA 7 CATCH AND CANNING'!B11+'TABLA 7 CATCH AND CANNING'!G11+'TABLA 7 CATCH AND CANNING'!L11)&gt;0,AVERAGE('TABLA 7 CATCH AND CANNING'!B11,'TABLA 7 CATCH AND CANNING'!G11,'TABLA 7 CATCH AND CANNING'!L11),0),0)</f>
        <v>33014</v>
      </c>
      <c r="G11" s="70"/>
      <c r="H11" s="70">
        <f>ROUND(IF(('TABLA 7 CATCH AND CANNING'!D11+'TABLA 7 CATCH AND CANNING'!I11+'TABLA 7 CATCH AND CANNING'!N11)&gt;0,AVERAGE('TABLA 7 CATCH AND CANNING'!D11,'TABLA 7 CATCH AND CANNING'!I11,'TABLA 7 CATCH AND CANNING'!N11),0),0)</f>
        <v>14376</v>
      </c>
      <c r="I11" s="16"/>
      <c r="J11" s="70">
        <f t="shared" si="2"/>
        <v>47390</v>
      </c>
      <c r="K11" s="16"/>
      <c r="L11" s="5" t="s">
        <v>13</v>
      </c>
      <c r="M11" s="5" t="s">
        <v>13</v>
      </c>
      <c r="N11" s="5" t="s">
        <v>13</v>
      </c>
      <c r="O11" s="5" t="s">
        <v>13</v>
      </c>
      <c r="P11" s="5">
        <v>4</v>
      </c>
      <c r="Q11" s="17" t="s">
        <v>117</v>
      </c>
      <c r="R11" s="71"/>
    </row>
    <row r="12" spans="1:18" s="1" customFormat="1" ht="10.55" customHeight="1" x14ac:dyDescent="0.25">
      <c r="A12" s="2"/>
      <c r="B12" s="15" t="s">
        <v>34</v>
      </c>
      <c r="C12" s="5" t="str">
        <f t="shared" si="0"/>
        <v>B</v>
      </c>
      <c r="D12" s="16">
        <v>10378</v>
      </c>
      <c r="E12" s="16">
        <f t="shared" si="1"/>
        <v>4674.7747747747744</v>
      </c>
      <c r="F12" s="70">
        <f>ROUND(IF(('TABLA 7 CATCH AND CANNING'!B12+'TABLA 7 CATCH AND CANNING'!G12+'TABLA 7 CATCH AND CANNING'!L12)&gt;0,AVERAGE('TABLA 7 CATCH AND CANNING'!B12,'TABLA 7 CATCH AND CANNING'!G12,'TABLA 7 CATCH AND CANNING'!L12),0),0)</f>
        <v>59017</v>
      </c>
      <c r="G12" s="70"/>
      <c r="H12" s="70">
        <f>ROUND(IF(('TABLA 7 CATCH AND CANNING'!D12+'TABLA 7 CATCH AND CANNING'!I12+'TABLA 7 CATCH AND CANNING'!N12)&gt;0,AVERAGE('TABLA 7 CATCH AND CANNING'!D12,'TABLA 7 CATCH AND CANNING'!I12,'TABLA 7 CATCH AND CANNING'!N12),0),0)</f>
        <v>5325</v>
      </c>
      <c r="I12" s="16"/>
      <c r="J12" s="70">
        <f t="shared" si="2"/>
        <v>64342</v>
      </c>
      <c r="K12" s="16"/>
      <c r="L12" s="5" t="s">
        <v>13</v>
      </c>
      <c r="M12" s="5" t="s">
        <v>51</v>
      </c>
      <c r="N12" s="5" t="s">
        <v>13</v>
      </c>
      <c r="O12" s="5" t="s">
        <v>13</v>
      </c>
      <c r="P12" s="5">
        <v>3</v>
      </c>
      <c r="Q12" s="17" t="s">
        <v>34</v>
      </c>
      <c r="R12" s="71"/>
    </row>
    <row r="13" spans="1:18" s="1" customFormat="1" ht="10.55" customHeight="1" x14ac:dyDescent="0.25">
      <c r="A13" s="2"/>
      <c r="B13" s="15" t="s">
        <v>187</v>
      </c>
      <c r="C13" s="5" t="str">
        <f t="shared" si="0"/>
        <v>C</v>
      </c>
      <c r="D13" s="16">
        <v>4961</v>
      </c>
      <c r="E13" s="16">
        <f t="shared" si="1"/>
        <v>2234.6846846846843</v>
      </c>
      <c r="F13" s="70">
        <f>ROUND(IF(('TABLA 7 CATCH AND CANNING'!B13+'TABLA 7 CATCH AND CANNING'!G13+'TABLA 7 CATCH AND CANNING'!L13)&gt;0,AVERAGE('TABLA 7 CATCH AND CANNING'!B13,'TABLA 7 CATCH AND CANNING'!G13,'TABLA 7 CATCH AND CANNING'!L13),0),0)</f>
        <v>4249</v>
      </c>
      <c r="G13" s="70"/>
      <c r="H13" s="70">
        <f>ROUND(IF(('TABLA 7 CATCH AND CANNING'!D13+'TABLA 7 CATCH AND CANNING'!I13+'TABLA 7 CATCH AND CANNING'!N13)&gt;0,AVERAGE('TABLA 7 CATCH AND CANNING'!D13,'TABLA 7 CATCH AND CANNING'!I13,'TABLA 7 CATCH AND CANNING'!N13),0),0)</f>
        <v>5633</v>
      </c>
      <c r="I13" s="16"/>
      <c r="J13" s="70">
        <f t="shared" si="2"/>
        <v>9882</v>
      </c>
      <c r="K13" s="16"/>
      <c r="L13" s="5" t="s">
        <v>13</v>
      </c>
      <c r="M13" s="5" t="s">
        <v>13</v>
      </c>
      <c r="N13" s="5" t="s">
        <v>51</v>
      </c>
      <c r="O13" s="5" t="s">
        <v>13</v>
      </c>
      <c r="P13" s="5">
        <v>3</v>
      </c>
      <c r="Q13" s="17" t="s">
        <v>187</v>
      </c>
      <c r="R13" s="71"/>
    </row>
    <row r="14" spans="1:18" s="1" customFormat="1" ht="10.55" customHeight="1" x14ac:dyDescent="0.25">
      <c r="A14" s="2"/>
      <c r="B14" s="15" t="s">
        <v>35</v>
      </c>
      <c r="C14" s="5" t="s">
        <v>21</v>
      </c>
      <c r="D14" s="16">
        <v>54517</v>
      </c>
      <c r="E14" s="16">
        <f t="shared" si="1"/>
        <v>24557.207207207204</v>
      </c>
      <c r="F14" s="70">
        <f>ROUND(IF(('TABLA 7 CATCH AND CANNING'!B14+'TABLA 7 CATCH AND CANNING'!G14+'TABLA 7 CATCH AND CANNING'!L14)&gt;0,AVERAGE('TABLA 7 CATCH AND CANNING'!B14,'TABLA 7 CATCH AND CANNING'!G14,'TABLA 7 CATCH AND CANNING'!L14),0),0)</f>
        <v>2966</v>
      </c>
      <c r="G14" s="70"/>
      <c r="H14" s="70">
        <f>ROUND(IF(('TABLA 7 CATCH AND CANNING'!D14+'TABLA 7 CATCH AND CANNING'!I14+'TABLA 7 CATCH AND CANNING'!N14)&gt;0,AVERAGE('TABLA 7 CATCH AND CANNING'!D14,'TABLA 7 CATCH AND CANNING'!I14,'TABLA 7 CATCH AND CANNING'!N14),0),0)</f>
        <v>0</v>
      </c>
      <c r="I14" s="16"/>
      <c r="J14" s="70">
        <f t="shared" si="2"/>
        <v>2966</v>
      </c>
      <c r="K14" s="16"/>
      <c r="L14" s="5" t="s">
        <v>13</v>
      </c>
      <c r="M14" s="5" t="s">
        <v>13</v>
      </c>
      <c r="N14" s="5" t="s">
        <v>51</v>
      </c>
      <c r="O14" s="5" t="s">
        <v>13</v>
      </c>
      <c r="P14" s="5">
        <v>3</v>
      </c>
      <c r="Q14" s="17" t="s">
        <v>35</v>
      </c>
      <c r="R14" s="71"/>
    </row>
    <row r="15" spans="1:18" s="1" customFormat="1" ht="10.55" customHeight="1" x14ac:dyDescent="0.25">
      <c r="A15" s="2"/>
      <c r="B15" s="15" t="s">
        <v>36</v>
      </c>
      <c r="C15" s="5" t="str">
        <f t="shared" si="0"/>
        <v>B</v>
      </c>
      <c r="D15" s="16">
        <v>12509</v>
      </c>
      <c r="E15" s="16">
        <f t="shared" si="1"/>
        <v>5634.6846846846838</v>
      </c>
      <c r="F15" s="70">
        <f>ROUND(IF(('TABLA 7 CATCH AND CANNING'!B15+'TABLA 7 CATCH AND CANNING'!G15+'TABLA 7 CATCH AND CANNING'!L15)&gt;0,AVERAGE('TABLA 7 CATCH AND CANNING'!B15,'TABLA 7 CATCH AND CANNING'!G15,'TABLA 7 CATCH AND CANNING'!L15),0),0)</f>
        <v>5204</v>
      </c>
      <c r="G15" s="70"/>
      <c r="H15" s="70">
        <f>ROUND(IF(('TABLA 7 CATCH AND CANNING'!D15+'TABLA 7 CATCH AND CANNING'!I15+'TABLA 7 CATCH AND CANNING'!N15)&gt;0,AVERAGE('TABLA 7 CATCH AND CANNING'!D15,'TABLA 7 CATCH AND CANNING'!I15,'TABLA 7 CATCH AND CANNING'!N15),0),0)</f>
        <v>0</v>
      </c>
      <c r="I15" s="16"/>
      <c r="J15" s="70">
        <f t="shared" si="2"/>
        <v>5204</v>
      </c>
      <c r="K15" s="16"/>
      <c r="L15" s="5" t="s">
        <v>13</v>
      </c>
      <c r="M15" s="5" t="s">
        <v>13</v>
      </c>
      <c r="N15" s="5" t="s">
        <v>13</v>
      </c>
      <c r="O15" s="5" t="s">
        <v>13</v>
      </c>
      <c r="P15" s="5">
        <v>4</v>
      </c>
      <c r="Q15" s="17" t="s">
        <v>36</v>
      </c>
      <c r="R15" s="71"/>
    </row>
    <row r="16" spans="1:18" s="1" customFormat="1" ht="10.55" customHeight="1" x14ac:dyDescent="0.25">
      <c r="A16" s="2"/>
      <c r="B16" s="15" t="s">
        <v>264</v>
      </c>
      <c r="C16" s="5" t="str">
        <f t="shared" si="0"/>
        <v>C</v>
      </c>
      <c r="D16" s="16">
        <v>16942</v>
      </c>
      <c r="E16" s="16">
        <f t="shared" si="1"/>
        <v>7631.5315315315311</v>
      </c>
      <c r="F16" s="70">
        <f>ROUND(IF(('TABLA 7 CATCH AND CANNING'!B16+'TABLA 7 CATCH AND CANNING'!G16+'TABLA 7 CATCH AND CANNING'!L16)&gt;0,AVERAGE('TABLA 7 CATCH AND CANNING'!B16,'TABLA 7 CATCH AND CANNING'!G16,'TABLA 7 CATCH AND CANNING'!L16),0),0)</f>
        <v>142</v>
      </c>
      <c r="G16" s="70"/>
      <c r="H16" s="70">
        <f>ROUND(IF(('TABLA 7 CATCH AND CANNING'!D16+'TABLA 7 CATCH AND CANNING'!I16+'TABLA 7 CATCH AND CANNING'!N16)&gt;0,AVERAGE('TABLA 7 CATCH AND CANNING'!D16,'TABLA 7 CATCH AND CANNING'!I16,'TABLA 7 CATCH AND CANNING'!N16),0),0)</f>
        <v>0</v>
      </c>
      <c r="I16" s="16"/>
      <c r="J16" s="70">
        <f t="shared" si="2"/>
        <v>142</v>
      </c>
      <c r="K16" s="16"/>
      <c r="L16" s="5" t="s">
        <v>13</v>
      </c>
      <c r="M16" s="5" t="s">
        <v>51</v>
      </c>
      <c r="N16" s="5" t="s">
        <v>51</v>
      </c>
      <c r="O16" s="5" t="s">
        <v>13</v>
      </c>
      <c r="P16" s="5">
        <v>2</v>
      </c>
      <c r="Q16" s="17" t="s">
        <v>264</v>
      </c>
      <c r="R16" s="71"/>
    </row>
    <row r="17" spans="1:18" s="1" customFormat="1" ht="10.55" customHeight="1" x14ac:dyDescent="0.25">
      <c r="A17" s="2"/>
      <c r="B17" s="15" t="s">
        <v>5</v>
      </c>
      <c r="C17" s="5" t="str">
        <f t="shared" si="0"/>
        <v>C</v>
      </c>
      <c r="D17" s="16">
        <v>2528</v>
      </c>
      <c r="E17" s="16">
        <f t="shared" si="1"/>
        <v>1138.7387387387387</v>
      </c>
      <c r="F17" s="70">
        <f>ROUND(IF(('TABLA 7 CATCH AND CANNING'!B17+'TABLA 7 CATCH AND CANNING'!G17+'TABLA 7 CATCH AND CANNING'!L17)&gt;0,AVERAGE('TABLA 7 CATCH AND CANNING'!B17,'TABLA 7 CATCH AND CANNING'!G17,'TABLA 7 CATCH AND CANNING'!L17),0),0)</f>
        <v>7771</v>
      </c>
      <c r="G17" s="70"/>
      <c r="H17" s="70">
        <f>ROUND(IF(('TABLA 7 CATCH AND CANNING'!D17+'TABLA 7 CATCH AND CANNING'!I17+'TABLA 7 CATCH AND CANNING'!N17)&gt;0,AVERAGE('TABLA 7 CATCH AND CANNING'!D17,'TABLA 7 CATCH AND CANNING'!I17,'TABLA 7 CATCH AND CANNING'!N17),0),0)</f>
        <v>11465</v>
      </c>
      <c r="I17" s="16"/>
      <c r="J17" s="70">
        <f t="shared" si="2"/>
        <v>19236</v>
      </c>
      <c r="K17" s="16"/>
      <c r="L17" s="5" t="s">
        <v>13</v>
      </c>
      <c r="M17" s="5" t="s">
        <v>51</v>
      </c>
      <c r="N17" s="5" t="s">
        <v>13</v>
      </c>
      <c r="O17" s="5" t="s">
        <v>13</v>
      </c>
      <c r="P17" s="5">
        <v>3</v>
      </c>
      <c r="Q17" s="17" t="s">
        <v>5</v>
      </c>
      <c r="R17" s="71"/>
    </row>
    <row r="18" spans="1:18" s="1" customFormat="1" ht="10.55" customHeight="1" x14ac:dyDescent="0.25">
      <c r="A18" s="2"/>
      <c r="B18" s="15" t="s">
        <v>307</v>
      </c>
      <c r="C18" s="5" t="str">
        <f t="shared" si="0"/>
        <v>C</v>
      </c>
      <c r="D18" s="16">
        <v>18329</v>
      </c>
      <c r="E18" s="16">
        <f t="shared" si="1"/>
        <v>8256.3063063063055</v>
      </c>
      <c r="F18" s="70"/>
      <c r="G18" s="70"/>
      <c r="H18" s="70">
        <f>ROUND(IF(('TABLA 7 CATCH AND CANNING'!D18+'TABLA 7 CATCH AND CANNING'!I18+'TABLA 7 CATCH AND CANNING'!N18)&gt;0,AVERAGE('TABLA 7 CATCH AND CANNING'!D18,'TABLA 7 CATCH AND CANNING'!I18,'TABLA 7 CATCH AND CANNING'!N18),0),0)</f>
        <v>0</v>
      </c>
      <c r="I18" s="16"/>
      <c r="J18" s="70">
        <f t="shared" si="2"/>
        <v>0</v>
      </c>
      <c r="K18" s="16"/>
      <c r="L18" s="5" t="s">
        <v>13</v>
      </c>
      <c r="M18" s="5" t="s">
        <v>13</v>
      </c>
      <c r="N18" s="5" t="s">
        <v>51</v>
      </c>
      <c r="O18" s="5" t="s">
        <v>13</v>
      </c>
      <c r="P18" s="5">
        <v>3</v>
      </c>
      <c r="Q18" s="17" t="s">
        <v>307</v>
      </c>
      <c r="R18" s="71"/>
    </row>
    <row r="19" spans="1:18" s="1" customFormat="1" ht="10.55" customHeight="1" x14ac:dyDescent="0.25">
      <c r="A19" s="2"/>
      <c r="B19" s="15" t="s">
        <v>183</v>
      </c>
      <c r="C19" s="5" t="s">
        <v>21</v>
      </c>
      <c r="D19" s="16">
        <v>63803</v>
      </c>
      <c r="E19" s="16">
        <f t="shared" si="1"/>
        <v>28740.090090090089</v>
      </c>
      <c r="F19" s="70">
        <f>ROUND(IF(('TABLA 7 CATCH AND CANNING'!B19+'TABLA 7 CATCH AND CANNING'!G19+'TABLA 7 CATCH AND CANNING'!L19)&gt;0,AVERAGE('TABLA 7 CATCH AND CANNING'!B19,'TABLA 7 CATCH AND CANNING'!G19,'TABLA 7 CATCH AND CANNING'!L19),0),0)</f>
        <v>11487</v>
      </c>
      <c r="G19" s="70"/>
      <c r="H19" s="70">
        <f>ROUND(IF(('TABLA 7 CATCH AND CANNING'!D19+'TABLA 7 CATCH AND CANNING'!I19+'TABLA 7 CATCH AND CANNING'!N19)&gt;0,AVERAGE('TABLA 7 CATCH AND CANNING'!D19,'TABLA 7 CATCH AND CANNING'!I19,'TABLA 7 CATCH AND CANNING'!N19),0),0)</f>
        <v>0</v>
      </c>
      <c r="I19" s="16"/>
      <c r="J19" s="70">
        <f t="shared" si="2"/>
        <v>11487</v>
      </c>
      <c r="K19" s="16"/>
      <c r="L19" s="5" t="s">
        <v>13</v>
      </c>
      <c r="M19" s="5" t="s">
        <v>51</v>
      </c>
      <c r="N19" s="5" t="s">
        <v>51</v>
      </c>
      <c r="O19" s="5" t="s">
        <v>51</v>
      </c>
      <c r="P19" s="5">
        <v>1</v>
      </c>
      <c r="Q19" s="17" t="s">
        <v>183</v>
      </c>
      <c r="R19" s="71"/>
    </row>
    <row r="20" spans="1:18" s="1" customFormat="1" ht="10.55" customHeight="1" x14ac:dyDescent="0.25">
      <c r="A20" s="2"/>
      <c r="B20" s="15" t="s">
        <v>120</v>
      </c>
      <c r="C20" s="5" t="str">
        <f t="shared" si="0"/>
        <v>D</v>
      </c>
      <c r="D20" s="16">
        <v>2895</v>
      </c>
      <c r="E20" s="16">
        <f t="shared" si="1"/>
        <v>1304.0540540540539</v>
      </c>
      <c r="F20" s="70">
        <f>ROUND(IF(('TABLA 7 CATCH AND CANNING'!B20+'TABLA 7 CATCH AND CANNING'!G20+'TABLA 7 CATCH AND CANNING'!L20)&gt;0,AVERAGE('TABLA 7 CATCH AND CANNING'!B20,'TABLA 7 CATCH AND CANNING'!G20,'TABLA 7 CATCH AND CANNING'!L20),0),0)</f>
        <v>489</v>
      </c>
      <c r="G20" s="70"/>
      <c r="H20" s="70">
        <f>ROUND(IF(('TABLA 7 CATCH AND CANNING'!D20+'TABLA 7 CATCH AND CANNING'!I20+'TABLA 7 CATCH AND CANNING'!N20)&gt;0,AVERAGE('TABLA 7 CATCH AND CANNING'!D20,'TABLA 7 CATCH AND CANNING'!I20,'TABLA 7 CATCH AND CANNING'!N20),0),0)</f>
        <v>0</v>
      </c>
      <c r="I20" s="16"/>
      <c r="J20" s="70">
        <f t="shared" si="2"/>
        <v>489</v>
      </c>
      <c r="K20" s="16"/>
      <c r="L20" s="5" t="s">
        <v>51</v>
      </c>
      <c r="M20" s="5" t="s">
        <v>13</v>
      </c>
      <c r="N20" s="5" t="s">
        <v>51</v>
      </c>
      <c r="O20" s="5" t="s">
        <v>13</v>
      </c>
      <c r="P20" s="5">
        <v>2</v>
      </c>
      <c r="Q20" s="17" t="s">
        <v>120</v>
      </c>
      <c r="R20" s="71"/>
    </row>
    <row r="21" spans="1:18" s="1" customFormat="1" ht="10.55" customHeight="1" x14ac:dyDescent="0.25">
      <c r="A21" s="2"/>
      <c r="B21" s="15" t="s">
        <v>186</v>
      </c>
      <c r="C21" s="5" t="str">
        <f t="shared" si="0"/>
        <v>C</v>
      </c>
      <c r="D21" s="16">
        <v>5391</v>
      </c>
      <c r="E21" s="16">
        <f t="shared" si="1"/>
        <v>2428.3783783783783</v>
      </c>
      <c r="F21" s="70">
        <f>ROUND(IF(('TABLA 7 CATCH AND CANNING'!B21+'TABLA 7 CATCH AND CANNING'!G21+'TABLA 7 CATCH AND CANNING'!L21)&gt;0,AVERAGE('TABLA 7 CATCH AND CANNING'!B21,'TABLA 7 CATCH AND CANNING'!G21,'TABLA 7 CATCH AND CANNING'!L21),0),0)</f>
        <v>17797</v>
      </c>
      <c r="G21" s="70"/>
      <c r="H21" s="70">
        <f>ROUND(IF(('TABLA 7 CATCH AND CANNING'!D21+'TABLA 7 CATCH AND CANNING'!I21+'TABLA 7 CATCH AND CANNING'!N21)&gt;0,AVERAGE('TABLA 7 CATCH AND CANNING'!D21,'TABLA 7 CATCH AND CANNING'!I21,'TABLA 7 CATCH AND CANNING'!N21),0),0)</f>
        <v>816</v>
      </c>
      <c r="I21" s="16"/>
      <c r="J21" s="70">
        <f t="shared" si="2"/>
        <v>18613</v>
      </c>
      <c r="K21" s="16"/>
      <c r="L21" s="5" t="s">
        <v>13</v>
      </c>
      <c r="M21" s="5" t="s">
        <v>51</v>
      </c>
      <c r="N21" s="5" t="s">
        <v>51</v>
      </c>
      <c r="O21" s="5" t="s">
        <v>51</v>
      </c>
      <c r="P21" s="5">
        <v>1</v>
      </c>
      <c r="Q21" s="17" t="s">
        <v>186</v>
      </c>
      <c r="R21" s="71"/>
    </row>
    <row r="22" spans="1:18" s="1" customFormat="1" ht="10.55" customHeight="1" x14ac:dyDescent="0.25">
      <c r="A22" s="2"/>
      <c r="B22" s="15" t="s">
        <v>39</v>
      </c>
      <c r="C22" s="5" t="s">
        <v>21</v>
      </c>
      <c r="D22" s="16">
        <v>44451</v>
      </c>
      <c r="E22" s="16">
        <f t="shared" si="1"/>
        <v>20022.97297297297</v>
      </c>
      <c r="F22" s="70">
        <f>ROUND(IF(('TABLA 7 CATCH AND CANNING'!B22+'TABLA 7 CATCH AND CANNING'!G22+'TABLA 7 CATCH AND CANNING'!L22)&gt;0,AVERAGE('TABLA 7 CATCH AND CANNING'!B22,'TABLA 7 CATCH AND CANNING'!G22,'TABLA 7 CATCH AND CANNING'!L22),0),0)</f>
        <v>77</v>
      </c>
      <c r="G22" s="70"/>
      <c r="H22" s="70">
        <f>ROUND(IF(('TABLA 7 CATCH AND CANNING'!D22+'TABLA 7 CATCH AND CANNING'!I22+'TABLA 7 CATCH AND CANNING'!N22)&gt;0,AVERAGE('TABLA 7 CATCH AND CANNING'!D22,'TABLA 7 CATCH AND CANNING'!I22,'TABLA 7 CATCH AND CANNING'!N22),0),0)</f>
        <v>0</v>
      </c>
      <c r="I22" s="16"/>
      <c r="J22" s="70">
        <f t="shared" si="2"/>
        <v>77</v>
      </c>
      <c r="K22" s="16"/>
      <c r="L22" s="5" t="s">
        <v>13</v>
      </c>
      <c r="M22" s="5" t="s">
        <v>13</v>
      </c>
      <c r="N22" s="5" t="s">
        <v>51</v>
      </c>
      <c r="O22" s="5" t="s">
        <v>13</v>
      </c>
      <c r="P22" s="5">
        <v>3</v>
      </c>
      <c r="Q22" s="17" t="s">
        <v>39</v>
      </c>
      <c r="R22" s="71"/>
    </row>
    <row r="23" spans="1:18" s="1" customFormat="1" ht="10.55" customHeight="1" x14ac:dyDescent="0.25">
      <c r="A23" s="2"/>
      <c r="B23" s="15" t="s">
        <v>40</v>
      </c>
      <c r="C23" s="5" t="str">
        <f t="shared" si="0"/>
        <v>D</v>
      </c>
      <c r="D23" s="16">
        <v>8071</v>
      </c>
      <c r="E23" s="16">
        <f t="shared" si="1"/>
        <v>3635.5855855855852</v>
      </c>
      <c r="F23" s="70">
        <f>ROUND(IF(('TABLA 7 CATCH AND CANNING'!B23+'TABLA 7 CATCH AND CANNING'!G23+'TABLA 7 CATCH AND CANNING'!L23)&gt;0,AVERAGE('TABLA 7 CATCH AND CANNING'!B23,'TABLA 7 CATCH AND CANNING'!G23,'TABLA 7 CATCH AND CANNING'!L23),0),0)</f>
        <v>258</v>
      </c>
      <c r="G23" s="70"/>
      <c r="H23" s="70">
        <f>ROUND(IF(('TABLA 7 CATCH AND CANNING'!D23+'TABLA 7 CATCH AND CANNING'!I23+'TABLA 7 CATCH AND CANNING'!N23)&gt;0,AVERAGE('TABLA 7 CATCH AND CANNING'!D23,'TABLA 7 CATCH AND CANNING'!I23,'TABLA 7 CATCH AND CANNING'!N23),0),0)</f>
        <v>0</v>
      </c>
      <c r="I23" s="16"/>
      <c r="J23" s="70">
        <f t="shared" si="2"/>
        <v>258</v>
      </c>
      <c r="K23" s="16"/>
      <c r="L23" s="5" t="s">
        <v>13</v>
      </c>
      <c r="M23" s="5" t="s">
        <v>51</v>
      </c>
      <c r="N23" s="5" t="s">
        <v>51</v>
      </c>
      <c r="O23" s="5" t="s">
        <v>13</v>
      </c>
      <c r="P23" s="5">
        <v>2</v>
      </c>
      <c r="Q23" s="17" t="s">
        <v>40</v>
      </c>
      <c r="R23" s="71"/>
    </row>
    <row r="24" spans="1:18" s="1" customFormat="1" ht="10.55" customHeight="1" x14ac:dyDescent="0.25">
      <c r="A24" s="2"/>
      <c r="B24" s="15" t="s">
        <v>261</v>
      </c>
      <c r="C24" s="5" t="str">
        <f t="shared" si="0"/>
        <v>D</v>
      </c>
      <c r="D24" s="16">
        <v>890</v>
      </c>
      <c r="E24" s="16">
        <f t="shared" si="1"/>
        <v>400.90090090090087</v>
      </c>
      <c r="F24" s="70">
        <f>ROUND(IF(('TABLA 7 CATCH AND CANNING'!B24+'TABLA 7 CATCH AND CANNING'!G24+'TABLA 7 CATCH AND CANNING'!L24)&gt;0,AVERAGE('TABLA 7 CATCH AND CANNING'!B24,'TABLA 7 CATCH AND CANNING'!G24,'TABLA 7 CATCH AND CANNING'!L24),0),0)</f>
        <v>3591</v>
      </c>
      <c r="G24" s="70"/>
      <c r="H24" s="70">
        <f>ROUND(IF(('TABLA 7 CATCH AND CANNING'!D24+'TABLA 7 CATCH AND CANNING'!I24+'TABLA 7 CATCH AND CANNING'!N24)&gt;0,AVERAGE('TABLA 7 CATCH AND CANNING'!D24,'TABLA 7 CATCH AND CANNING'!I24,'TABLA 7 CATCH AND CANNING'!N24),0),0)</f>
        <v>0</v>
      </c>
      <c r="I24" s="16"/>
      <c r="J24" s="70">
        <f t="shared" si="2"/>
        <v>3591</v>
      </c>
      <c r="K24" s="16"/>
      <c r="L24" s="5" t="s">
        <v>13</v>
      </c>
      <c r="M24" s="5" t="s">
        <v>51</v>
      </c>
      <c r="N24" s="5" t="s">
        <v>51</v>
      </c>
      <c r="O24" s="5" t="s">
        <v>13</v>
      </c>
      <c r="P24" s="5">
        <v>2</v>
      </c>
      <c r="Q24" s="17" t="s">
        <v>261</v>
      </c>
      <c r="R24" s="71"/>
    </row>
    <row r="25" spans="1:18" s="1" customFormat="1" ht="10.55" customHeight="1" x14ac:dyDescent="0.25">
      <c r="A25" s="2"/>
      <c r="B25" s="15" t="s">
        <v>6</v>
      </c>
      <c r="C25" s="5" t="str">
        <f t="shared" si="0"/>
        <v>C</v>
      </c>
      <c r="D25" s="16">
        <v>2260</v>
      </c>
      <c r="E25" s="16">
        <f t="shared" si="1"/>
        <v>1018.018018018018</v>
      </c>
      <c r="F25" s="70">
        <f>ROUND(IF(('TABLA 7 CATCH AND CANNING'!B25+'TABLA 7 CATCH AND CANNING'!G25+'TABLA 7 CATCH AND CANNING'!L25)&gt;0,AVERAGE('TABLA 7 CATCH AND CANNING'!B25,'TABLA 7 CATCH AND CANNING'!G25,'TABLA 7 CATCH AND CANNING'!L25),0),0)</f>
        <v>90974</v>
      </c>
      <c r="G25" s="70"/>
      <c r="H25" s="70">
        <f>ROUND(IF(('TABLA 7 CATCH AND CANNING'!D25+'TABLA 7 CATCH AND CANNING'!I25+'TABLA 7 CATCH AND CANNING'!N25)&gt;0,AVERAGE('TABLA 7 CATCH AND CANNING'!D25,'TABLA 7 CATCH AND CANNING'!I25,'TABLA 7 CATCH AND CANNING'!N25),0),0)</f>
        <v>35019</v>
      </c>
      <c r="I25" s="16"/>
      <c r="J25" s="70">
        <f t="shared" si="2"/>
        <v>125993</v>
      </c>
      <c r="K25" s="16"/>
      <c r="L25" s="5" t="s">
        <v>13</v>
      </c>
      <c r="M25" s="5" t="s">
        <v>51</v>
      </c>
      <c r="N25" s="5" t="s">
        <v>51</v>
      </c>
      <c r="O25" s="5" t="s">
        <v>51</v>
      </c>
      <c r="P25" s="5">
        <v>1</v>
      </c>
      <c r="Q25" s="17" t="s">
        <v>6</v>
      </c>
      <c r="R25" s="71"/>
    </row>
    <row r="26" spans="1:18" s="1" customFormat="1" ht="10.55" customHeight="1" x14ac:dyDescent="0.25">
      <c r="A26" s="2"/>
      <c r="B26" s="15" t="s">
        <v>260</v>
      </c>
      <c r="C26" s="5" t="str">
        <f t="shared" si="0"/>
        <v>C</v>
      </c>
      <c r="D26" s="16">
        <v>11246</v>
      </c>
      <c r="E26" s="16">
        <f t="shared" si="1"/>
        <v>5065.7657657657655</v>
      </c>
      <c r="F26" s="70">
        <f>ROUND(IF(('TABLA 7 CATCH AND CANNING'!B26+'TABLA 7 CATCH AND CANNING'!G26+'TABLA 7 CATCH AND CANNING'!L26)&gt;0,AVERAGE('TABLA 7 CATCH AND CANNING'!B26,'TABLA 7 CATCH AND CANNING'!G26,'TABLA 7 CATCH AND CANNING'!L26),0),0)</f>
        <v>1395</v>
      </c>
      <c r="G26" s="70"/>
      <c r="H26" s="70">
        <f>ROUND(IF(('TABLA 7 CATCH AND CANNING'!D26+'TABLA 7 CATCH AND CANNING'!I26+'TABLA 7 CATCH AND CANNING'!N26)&gt;0,AVERAGE('TABLA 7 CATCH AND CANNING'!D26,'TABLA 7 CATCH AND CANNING'!I26,'TABLA 7 CATCH AND CANNING'!N26),0),0)</f>
        <v>0</v>
      </c>
      <c r="I26" s="16"/>
      <c r="J26" s="70">
        <f t="shared" si="2"/>
        <v>1395</v>
      </c>
      <c r="K26" s="16"/>
      <c r="L26" s="5" t="s">
        <v>51</v>
      </c>
      <c r="M26" s="5" t="s">
        <v>51</v>
      </c>
      <c r="N26" s="5" t="s">
        <v>51</v>
      </c>
      <c r="O26" s="5" t="s">
        <v>51</v>
      </c>
      <c r="P26" s="5">
        <v>0</v>
      </c>
      <c r="Q26" s="17" t="s">
        <v>260</v>
      </c>
      <c r="R26" s="71"/>
    </row>
    <row r="27" spans="1:18" s="1" customFormat="1" ht="10.55" customHeight="1" x14ac:dyDescent="0.25">
      <c r="A27" s="2"/>
      <c r="B27" s="15" t="s">
        <v>59</v>
      </c>
      <c r="C27" s="5" t="str">
        <f t="shared" si="0"/>
        <v>C</v>
      </c>
      <c r="D27" s="16">
        <v>5763</v>
      </c>
      <c r="E27" s="16">
        <f t="shared" si="1"/>
        <v>2595.9459459459458</v>
      </c>
      <c r="F27" s="70">
        <f>ROUND(IF(('TABLA 7 CATCH AND CANNING'!B27+'TABLA 7 CATCH AND CANNING'!G27+'TABLA 7 CATCH AND CANNING'!L27)&gt;0,AVERAGE('TABLA 7 CATCH AND CANNING'!B27,'TABLA 7 CATCH AND CANNING'!G27,'TABLA 7 CATCH AND CANNING'!L27),0),0)</f>
        <v>10907</v>
      </c>
      <c r="G27" s="70"/>
      <c r="H27" s="70">
        <f>ROUND(IF(('TABLA 7 CATCH AND CANNING'!D27+'TABLA 7 CATCH AND CANNING'!I27+'TABLA 7 CATCH AND CANNING'!N27)&gt;0,AVERAGE('TABLA 7 CATCH AND CANNING'!D27,'TABLA 7 CATCH AND CANNING'!I27,'TABLA 7 CATCH AND CANNING'!N27),0),0)</f>
        <v>0</v>
      </c>
      <c r="I27" s="16"/>
      <c r="J27" s="70">
        <f t="shared" si="2"/>
        <v>10907</v>
      </c>
      <c r="K27" s="16"/>
      <c r="L27" s="5" t="s">
        <v>13</v>
      </c>
      <c r="M27" s="5" t="s">
        <v>51</v>
      </c>
      <c r="N27" s="5" t="s">
        <v>51</v>
      </c>
      <c r="O27" s="5" t="s">
        <v>13</v>
      </c>
      <c r="P27" s="5">
        <v>2</v>
      </c>
      <c r="Q27" s="17" t="s">
        <v>59</v>
      </c>
      <c r="R27" s="71"/>
    </row>
    <row r="28" spans="1:18" s="1" customFormat="1" ht="10.55" customHeight="1" x14ac:dyDescent="0.25">
      <c r="A28" s="2"/>
      <c r="B28" s="15" t="s">
        <v>7</v>
      </c>
      <c r="C28" s="5" t="str">
        <f t="shared" si="0"/>
        <v>D</v>
      </c>
      <c r="D28" s="16">
        <v>6558</v>
      </c>
      <c r="E28" s="16">
        <f t="shared" si="1"/>
        <v>2954.0540540540537</v>
      </c>
      <c r="F28" s="70">
        <f>ROUND(IF(('TABLA 7 CATCH AND CANNING'!B28+'TABLA 7 CATCH AND CANNING'!G28+'TABLA 7 CATCH AND CANNING'!L28)&gt;0,AVERAGE('TABLA 7 CATCH AND CANNING'!B28,'TABLA 7 CATCH AND CANNING'!G28,'TABLA 7 CATCH AND CANNING'!L28),0),0)</f>
        <v>214</v>
      </c>
      <c r="G28" s="70"/>
      <c r="H28" s="70">
        <f>ROUND(IF(('TABLA 7 CATCH AND CANNING'!D28+'TABLA 7 CATCH AND CANNING'!I28+'TABLA 7 CATCH AND CANNING'!N28)&gt;0,AVERAGE('TABLA 7 CATCH AND CANNING'!D28,'TABLA 7 CATCH AND CANNING'!I28,'TABLA 7 CATCH AND CANNING'!N28),0),0)</f>
        <v>0</v>
      </c>
      <c r="I28" s="16"/>
      <c r="J28" s="70">
        <f t="shared" si="2"/>
        <v>214</v>
      </c>
      <c r="K28" s="16"/>
      <c r="L28" s="5" t="s">
        <v>13</v>
      </c>
      <c r="M28" s="5" t="s">
        <v>51</v>
      </c>
      <c r="N28" s="5" t="s">
        <v>51</v>
      </c>
      <c r="O28" s="5" t="s">
        <v>13</v>
      </c>
      <c r="P28" s="5">
        <v>2</v>
      </c>
      <c r="Q28" s="17" t="s">
        <v>7</v>
      </c>
      <c r="R28" s="71"/>
    </row>
    <row r="29" spans="1:18" s="1" customFormat="1" ht="10.55" customHeight="1" x14ac:dyDescent="0.25">
      <c r="A29" s="2"/>
      <c r="B29" s="15" t="s">
        <v>58</v>
      </c>
      <c r="C29" s="5" t="str">
        <f t="shared" si="0"/>
        <v>D</v>
      </c>
      <c r="D29" s="16">
        <v>1597</v>
      </c>
      <c r="E29" s="16">
        <f t="shared" si="1"/>
        <v>719.36936936936934</v>
      </c>
      <c r="F29" s="70">
        <f>ROUND(IF(('TABLA 7 CATCH AND CANNING'!B29+'TABLA 7 CATCH AND CANNING'!G29+'TABLA 7 CATCH AND CANNING'!L29)&gt;0,AVERAGE('TABLA 7 CATCH AND CANNING'!B29,'TABLA 7 CATCH AND CANNING'!G29,'TABLA 7 CATCH AND CANNING'!L29),0),0)</f>
        <v>4219</v>
      </c>
      <c r="G29" s="70"/>
      <c r="H29" s="70">
        <f>ROUND(IF(('TABLA 7 CATCH AND CANNING'!D29+'TABLA 7 CATCH AND CANNING'!I29+'TABLA 7 CATCH AND CANNING'!N29)&gt;0,AVERAGE('TABLA 7 CATCH AND CANNING'!D29,'TABLA 7 CATCH AND CANNING'!I29,'TABLA 7 CATCH AND CANNING'!N29),0),0)</f>
        <v>0</v>
      </c>
      <c r="I29" s="16"/>
      <c r="J29" s="70">
        <f t="shared" si="2"/>
        <v>4219</v>
      </c>
      <c r="K29" s="16"/>
      <c r="L29" s="5" t="s">
        <v>13</v>
      </c>
      <c r="M29" s="5" t="s">
        <v>51</v>
      </c>
      <c r="N29" s="5" t="s">
        <v>51</v>
      </c>
      <c r="O29" s="5" t="s">
        <v>13</v>
      </c>
      <c r="P29" s="5">
        <v>2</v>
      </c>
      <c r="Q29" s="17" t="s">
        <v>58</v>
      </c>
      <c r="R29" s="71"/>
    </row>
    <row r="30" spans="1:18" s="1" customFormat="1" ht="10.55" customHeight="1" x14ac:dyDescent="0.25">
      <c r="A30" s="2"/>
      <c r="B30" s="15" t="s">
        <v>259</v>
      </c>
      <c r="C30" s="5" t="str">
        <f t="shared" si="0"/>
        <v>D</v>
      </c>
      <c r="D30" s="16">
        <v>855</v>
      </c>
      <c r="E30" s="16">
        <f t="shared" si="1"/>
        <v>385.1351351351351</v>
      </c>
      <c r="F30" s="70">
        <f>ROUND(IF(('TABLA 7 CATCH AND CANNING'!B31+'TABLA 7 CATCH AND CANNING'!G31+'TABLA 7 CATCH AND CANNING'!L31)&gt;0,AVERAGE('TABLA 7 CATCH AND CANNING'!B31,'TABLA 7 CATCH AND CANNING'!G31,'TABLA 7 CATCH AND CANNING'!L31),0),0)</f>
        <v>0</v>
      </c>
      <c r="G30" s="70"/>
      <c r="H30" s="70">
        <f>ROUND(IF(('TABLA 7 CATCH AND CANNING'!D30+'TABLA 7 CATCH AND CANNING'!I30+'TABLA 7 CATCH AND CANNING'!N30)&gt;0,AVERAGE('TABLA 7 CATCH AND CANNING'!D30,'TABLA 7 CATCH AND CANNING'!I30,'TABLA 7 CATCH AND CANNING'!N30),0),0)</f>
        <v>0</v>
      </c>
      <c r="I30" s="16"/>
      <c r="J30" s="70">
        <f t="shared" si="2"/>
        <v>0</v>
      </c>
      <c r="K30" s="16"/>
      <c r="L30" s="5" t="s">
        <v>13</v>
      </c>
      <c r="M30" s="5" t="s">
        <v>51</v>
      </c>
      <c r="N30" s="5" t="s">
        <v>51</v>
      </c>
      <c r="O30" s="5" t="s">
        <v>13</v>
      </c>
      <c r="P30" s="5">
        <v>2</v>
      </c>
      <c r="Q30" s="17" t="s">
        <v>259</v>
      </c>
      <c r="R30" s="71"/>
    </row>
    <row r="31" spans="1:18" s="1" customFormat="1" ht="10.55" customHeight="1" x14ac:dyDescent="0.25">
      <c r="A31" s="2"/>
      <c r="B31" s="15" t="s">
        <v>8</v>
      </c>
      <c r="C31" s="5" t="str">
        <f t="shared" si="0"/>
        <v>D</v>
      </c>
      <c r="D31" s="16">
        <v>3232</v>
      </c>
      <c r="E31" s="16">
        <f t="shared" si="1"/>
        <v>1455.8558558558557</v>
      </c>
      <c r="F31" s="70">
        <f>ROUND(IF(('TABLA 7 CATCH AND CANNING'!B31+'TABLA 7 CATCH AND CANNING'!G31+'TABLA 7 CATCH AND CANNING'!L31)&gt;0,AVERAGE('TABLA 7 CATCH AND CANNING'!B31,'TABLA 7 CATCH AND CANNING'!G31,'TABLA 7 CATCH AND CANNING'!L31),0),0)</f>
        <v>0</v>
      </c>
      <c r="G31" s="70"/>
      <c r="H31" s="70">
        <f>ROUND(IF(('TABLA 7 CATCH AND CANNING'!D31+'TABLA 7 CATCH AND CANNING'!I31+'TABLA 7 CATCH AND CANNING'!N31)&gt;0,AVERAGE('TABLA 7 CATCH AND CANNING'!D31,'TABLA 7 CATCH AND CANNING'!I31,'TABLA 7 CATCH AND CANNING'!N31),0),0)</f>
        <v>0</v>
      </c>
      <c r="I31" s="16"/>
      <c r="J31" s="70">
        <f t="shared" si="2"/>
        <v>0</v>
      </c>
      <c r="K31" s="16"/>
      <c r="L31" s="5" t="s">
        <v>13</v>
      </c>
      <c r="M31" s="5" t="s">
        <v>51</v>
      </c>
      <c r="N31" s="5" t="s">
        <v>51</v>
      </c>
      <c r="O31" s="5" t="s">
        <v>13</v>
      </c>
      <c r="P31" s="5">
        <v>2</v>
      </c>
      <c r="Q31" s="17" t="s">
        <v>8</v>
      </c>
      <c r="R31" s="71"/>
    </row>
    <row r="32" spans="1:18" s="1" customFormat="1" ht="10.55" customHeight="1" x14ac:dyDescent="0.25">
      <c r="A32" s="2"/>
      <c r="B32" s="15" t="s">
        <v>41</v>
      </c>
      <c r="C32" s="5" t="s">
        <v>21</v>
      </c>
      <c r="D32" s="16">
        <v>80827</v>
      </c>
      <c r="E32" s="16">
        <f t="shared" si="1"/>
        <v>36408.558558558558</v>
      </c>
      <c r="F32" s="70">
        <f>ROUND(IF(('TABLA 7 CATCH AND CANNING'!B32+'TABLA 7 CATCH AND CANNING'!G32+'TABLA 7 CATCH AND CANNING'!L32)&gt;0,AVERAGE('TABLA 7 CATCH AND CANNING'!B32,'TABLA 7 CATCH AND CANNING'!G32,'TABLA 7 CATCH AND CANNING'!L32),0),0)</f>
        <v>1</v>
      </c>
      <c r="G32" s="70"/>
      <c r="H32" s="70">
        <f>ROUND(IF(('TABLA 7 CATCH AND CANNING'!D32+'TABLA 7 CATCH AND CANNING'!I32+'TABLA 7 CATCH AND CANNING'!N32)&gt;0,AVERAGE('TABLA 7 CATCH AND CANNING'!D32,'TABLA 7 CATCH AND CANNING'!I32,'TABLA 7 CATCH AND CANNING'!N32),0),0)</f>
        <v>0</v>
      </c>
      <c r="I32" s="16"/>
      <c r="J32" s="70">
        <f t="shared" si="2"/>
        <v>1</v>
      </c>
      <c r="K32" s="16"/>
      <c r="L32" s="5" t="s">
        <v>51</v>
      </c>
      <c r="M32" s="5" t="s">
        <v>13</v>
      </c>
      <c r="N32" s="5" t="s">
        <v>51</v>
      </c>
      <c r="O32" s="5" t="s">
        <v>51</v>
      </c>
      <c r="P32" s="5">
        <v>1</v>
      </c>
      <c r="Q32" s="17" t="s">
        <v>41</v>
      </c>
      <c r="R32" s="71"/>
    </row>
    <row r="33" spans="1:18" s="1" customFormat="1" ht="10.55" customHeight="1" x14ac:dyDescent="0.25">
      <c r="A33" s="2"/>
      <c r="B33" s="15" t="s">
        <v>42</v>
      </c>
      <c r="C33" s="5" t="s">
        <v>21</v>
      </c>
      <c r="D33" s="16">
        <v>33806</v>
      </c>
      <c r="E33" s="16">
        <f t="shared" si="1"/>
        <v>15227.927927927927</v>
      </c>
      <c r="F33" s="70">
        <f>ROUND(IF(('TABLA 7 CATCH AND CANNING'!B33+'TABLA 7 CATCH AND CANNING'!G33+'TABLA 7 CATCH AND CANNING'!L33)&gt;0,AVERAGE('TABLA 7 CATCH AND CANNING'!B33,'TABLA 7 CATCH AND CANNING'!G33,'TABLA 7 CATCH AND CANNING'!L33),0),0)</f>
        <v>27664</v>
      </c>
      <c r="G33" s="70"/>
      <c r="H33" s="70">
        <f>ROUND(IF(('TABLA 7 CATCH AND CANNING'!D33+'TABLA 7 CATCH AND CANNING'!I33+'TABLA 7 CATCH AND CANNING'!N33)&gt;0,AVERAGE('TABLA 7 CATCH AND CANNING'!D33,'TABLA 7 CATCH AND CANNING'!I33,'TABLA 7 CATCH AND CANNING'!N33),0),0)</f>
        <v>0</v>
      </c>
      <c r="I33" s="16"/>
      <c r="J33" s="70">
        <f t="shared" si="2"/>
        <v>27664</v>
      </c>
      <c r="K33" s="16"/>
      <c r="L33" s="5" t="s">
        <v>13</v>
      </c>
      <c r="M33" s="5" t="s">
        <v>13</v>
      </c>
      <c r="N33" s="5" t="s">
        <v>13</v>
      </c>
      <c r="O33" s="5" t="s">
        <v>13</v>
      </c>
      <c r="P33" s="5">
        <v>4</v>
      </c>
      <c r="Q33" s="17" t="s">
        <v>42</v>
      </c>
      <c r="R33" s="71"/>
    </row>
    <row r="34" spans="1:18" s="1" customFormat="1" ht="10.55" customHeight="1" x14ac:dyDescent="0.25">
      <c r="A34" s="2"/>
      <c r="B34" s="15" t="s">
        <v>37</v>
      </c>
      <c r="C34" s="5" t="s">
        <v>21</v>
      </c>
      <c r="D34" s="16">
        <v>35538</v>
      </c>
      <c r="E34" s="16">
        <f t="shared" si="1"/>
        <v>16008.108108108107</v>
      </c>
      <c r="F34" s="70">
        <f>ROUND(IF(('TABLA 7 CATCH AND CANNING'!B34+'TABLA 7 CATCH AND CANNING'!G34+'TABLA 7 CATCH AND CANNING'!L34)&gt;0,AVERAGE('TABLA 7 CATCH AND CANNING'!B34,'TABLA 7 CATCH AND CANNING'!G34,'TABLA 7 CATCH AND CANNING'!L34),0),0)</f>
        <v>2920</v>
      </c>
      <c r="G34" s="70"/>
      <c r="H34" s="70">
        <f>ROUND(IF(('TABLA 7 CATCH AND CANNING'!D34+'TABLA 7 CATCH AND CANNING'!I34+'TABLA 7 CATCH AND CANNING'!N34)&gt;0,AVERAGE('TABLA 7 CATCH AND CANNING'!D34,'TABLA 7 CATCH AND CANNING'!I34,'TABLA 7 CATCH AND CANNING'!N34),0),0)</f>
        <v>0</v>
      </c>
      <c r="I34" s="16"/>
      <c r="J34" s="70">
        <f t="shared" si="2"/>
        <v>2920</v>
      </c>
      <c r="K34" s="16"/>
      <c r="L34" s="5" t="s">
        <v>13</v>
      </c>
      <c r="M34" s="5" t="s">
        <v>13</v>
      </c>
      <c r="N34" s="5" t="s">
        <v>13</v>
      </c>
      <c r="O34" s="5" t="s">
        <v>13</v>
      </c>
      <c r="P34" s="5">
        <v>4</v>
      </c>
      <c r="Q34" s="17" t="s">
        <v>37</v>
      </c>
      <c r="R34" s="71"/>
    </row>
    <row r="35" spans="1:18" s="1" customFormat="1" ht="10.55" customHeight="1" x14ac:dyDescent="0.25">
      <c r="A35" s="2"/>
      <c r="B35" s="15" t="s">
        <v>182</v>
      </c>
      <c r="C35" s="5" t="str">
        <f t="shared" si="0"/>
        <v>D</v>
      </c>
      <c r="D35" s="16">
        <v>917</v>
      </c>
      <c r="E35" s="16">
        <f t="shared" si="1"/>
        <v>413.06306306306305</v>
      </c>
      <c r="F35" s="70">
        <f>ROUND(IF(('TABLA 7 CATCH AND CANNING'!B35+'TABLA 7 CATCH AND CANNING'!G35+'TABLA 7 CATCH AND CANNING'!L35)&gt;0,AVERAGE('TABLA 7 CATCH AND CANNING'!B35,'TABLA 7 CATCH AND CANNING'!G35,'TABLA 7 CATCH AND CANNING'!L35),0),0)</f>
        <v>228</v>
      </c>
      <c r="G35" s="70"/>
      <c r="H35" s="70">
        <f>ROUND(IF(('TABLA 7 CATCH AND CANNING'!D35+'TABLA 7 CATCH AND CANNING'!I35+'TABLA 7 CATCH AND CANNING'!N35)&gt;0,AVERAGE('TABLA 7 CATCH AND CANNING'!D35,'TABLA 7 CATCH AND CANNING'!I35,'TABLA 7 CATCH AND CANNING'!N35),0),0)</f>
        <v>0</v>
      </c>
      <c r="I35" s="16"/>
      <c r="J35" s="70">
        <f t="shared" si="2"/>
        <v>228</v>
      </c>
      <c r="K35" s="16"/>
      <c r="L35" s="5" t="s">
        <v>13</v>
      </c>
      <c r="M35" s="5" t="s">
        <v>51</v>
      </c>
      <c r="N35" s="5" t="s">
        <v>51</v>
      </c>
      <c r="O35" s="5" t="s">
        <v>13</v>
      </c>
      <c r="P35" s="5">
        <v>2</v>
      </c>
      <c r="Q35" s="17" t="s">
        <v>182</v>
      </c>
      <c r="R35" s="71"/>
    </row>
    <row r="36" spans="1:18" s="1" customFormat="1" ht="10.55" customHeight="1" x14ac:dyDescent="0.25">
      <c r="A36" s="2"/>
      <c r="B36" s="15" t="s">
        <v>54</v>
      </c>
      <c r="C36" s="5" t="str">
        <f t="shared" si="0"/>
        <v>D</v>
      </c>
      <c r="D36" s="16">
        <v>6027</v>
      </c>
      <c r="E36" s="16">
        <f t="shared" si="1"/>
        <v>2714.8648648648646</v>
      </c>
      <c r="F36" s="70">
        <f>ROUND(IF(('TABLA 7 CATCH AND CANNING'!B36+'TABLA 7 CATCH AND CANNING'!G36+'TABLA 7 CATCH AND CANNING'!L36)&gt;0,AVERAGE('TABLA 7 CATCH AND CANNING'!B36,'TABLA 7 CATCH AND CANNING'!G36,'TABLA 7 CATCH AND CANNING'!L36),0),0)</f>
        <v>2668</v>
      </c>
      <c r="G36" s="70"/>
      <c r="H36" s="70">
        <f>ROUND(IF(('TABLA 7 CATCH AND CANNING'!D36+'TABLA 7 CATCH AND CANNING'!I36+'TABLA 7 CATCH AND CANNING'!N36)&gt;0,AVERAGE('TABLA 7 CATCH AND CANNING'!D36,'TABLA 7 CATCH AND CANNING'!I36,'TABLA 7 CATCH AND CANNING'!N36),0),0)</f>
        <v>1350</v>
      </c>
      <c r="I36" s="16"/>
      <c r="J36" s="70">
        <f t="shared" si="2"/>
        <v>4018</v>
      </c>
      <c r="K36" s="16"/>
      <c r="L36" s="5" t="s">
        <v>13</v>
      </c>
      <c r="M36" s="5" t="s">
        <v>13</v>
      </c>
      <c r="N36" s="5" t="s">
        <v>51</v>
      </c>
      <c r="O36" s="5" t="s">
        <v>13</v>
      </c>
      <c r="P36" s="5">
        <v>3</v>
      </c>
      <c r="Q36" s="17" t="s">
        <v>43</v>
      </c>
      <c r="R36" s="71"/>
    </row>
    <row r="37" spans="1:18" s="1" customFormat="1" ht="10.55" customHeight="1" x14ac:dyDescent="0.25">
      <c r="A37" s="2"/>
      <c r="B37" s="15" t="s">
        <v>44</v>
      </c>
      <c r="C37" s="5" t="str">
        <f t="shared" si="0"/>
        <v>C</v>
      </c>
      <c r="D37" s="16">
        <v>3830</v>
      </c>
      <c r="E37" s="16">
        <f t="shared" si="1"/>
        <v>1725.2252252252251</v>
      </c>
      <c r="F37" s="70">
        <f>ROUND(IF(('TABLA 7 CATCH AND CANNING'!B37+'TABLA 7 CATCH AND CANNING'!G37+'TABLA 7 CATCH AND CANNING'!L37)&gt;0,AVERAGE('TABLA 7 CATCH AND CANNING'!B37,'TABLA 7 CATCH AND CANNING'!G37,'TABLA 7 CATCH AND CANNING'!L37),0),0)</f>
        <v>26464</v>
      </c>
      <c r="G37" s="70"/>
      <c r="H37" s="70">
        <f>ROUND(IF(('TABLA 7 CATCH AND CANNING'!D37+'TABLA 7 CATCH AND CANNING'!I37+'TABLA 7 CATCH AND CANNING'!N37)&gt;0,AVERAGE('TABLA 7 CATCH AND CANNING'!D37,'TABLA 7 CATCH AND CANNING'!I37,'TABLA 7 CATCH AND CANNING'!N37),0),0)</f>
        <v>957</v>
      </c>
      <c r="I37" s="16"/>
      <c r="J37" s="70">
        <f t="shared" si="2"/>
        <v>27421</v>
      </c>
      <c r="K37" s="16"/>
      <c r="L37" s="5" t="s">
        <v>13</v>
      </c>
      <c r="M37" s="5" t="s">
        <v>13</v>
      </c>
      <c r="N37" s="5" t="s">
        <v>51</v>
      </c>
      <c r="O37" s="5" t="s">
        <v>13</v>
      </c>
      <c r="P37" s="5">
        <v>3</v>
      </c>
      <c r="Q37" s="17" t="s">
        <v>44</v>
      </c>
      <c r="R37" s="71"/>
    </row>
    <row r="38" spans="1:18" s="1" customFormat="1" ht="10.55" customHeight="1" x14ac:dyDescent="0.25">
      <c r="A38" s="2"/>
      <c r="B38" s="15" t="s">
        <v>176</v>
      </c>
      <c r="C38" s="5" t="str">
        <f t="shared" si="0"/>
        <v>C</v>
      </c>
      <c r="D38" s="16">
        <v>2121</v>
      </c>
      <c r="E38" s="16">
        <f t="shared" si="1"/>
        <v>955.4054054054053</v>
      </c>
      <c r="F38" s="70">
        <f>ROUND(IF(('TABLA 7 CATCH AND CANNING'!B38+'TABLA 7 CATCH AND CANNING'!G38+'TABLA 7 CATCH AND CANNING'!L38)&gt;0,AVERAGE('TABLA 7 CATCH AND CANNING'!B38,'TABLA 7 CATCH AND CANNING'!G38,'TABLA 7 CATCH AND CANNING'!L38),0),0)</f>
        <v>15455</v>
      </c>
      <c r="G38" s="70"/>
      <c r="H38" s="70">
        <f>ROUND(IF(('TABLA 7 CATCH AND CANNING'!D38+'TABLA 7 CATCH AND CANNING'!I38+'TABLA 7 CATCH AND CANNING'!N38)&gt;0,AVERAGE('TABLA 7 CATCH AND CANNING'!D38,'TABLA 7 CATCH AND CANNING'!I38,'TABLA 7 CATCH AND CANNING'!N38),0),0)</f>
        <v>5330</v>
      </c>
      <c r="I38" s="16"/>
      <c r="J38" s="70">
        <f t="shared" si="2"/>
        <v>20785</v>
      </c>
      <c r="K38" s="16"/>
      <c r="L38" s="5" t="s">
        <v>13</v>
      </c>
      <c r="M38" s="5" t="s">
        <v>13</v>
      </c>
      <c r="N38" s="5" t="s">
        <v>51</v>
      </c>
      <c r="O38" s="5" t="s">
        <v>13</v>
      </c>
      <c r="P38" s="5">
        <v>3</v>
      </c>
      <c r="Q38" s="17" t="s">
        <v>176</v>
      </c>
      <c r="R38" s="71"/>
    </row>
    <row r="39" spans="1:18" s="1" customFormat="1" ht="10.55" customHeight="1" x14ac:dyDescent="0.25">
      <c r="A39" s="2"/>
      <c r="B39" s="15" t="s">
        <v>45</v>
      </c>
      <c r="C39" s="5" t="str">
        <f t="shared" si="0"/>
        <v>C</v>
      </c>
      <c r="D39" s="16">
        <v>13826</v>
      </c>
      <c r="E39" s="16">
        <f t="shared" si="1"/>
        <v>6227.9279279279272</v>
      </c>
      <c r="F39" s="70">
        <f>ROUND(IF(('TABLA 7 CATCH AND CANNING'!B39+'TABLA 7 CATCH AND CANNING'!G39+'TABLA 7 CATCH AND CANNING'!L39)&gt;0,AVERAGE('TABLA 7 CATCH AND CANNING'!B39,'TABLA 7 CATCH AND CANNING'!G39,'TABLA 7 CATCH AND CANNING'!L39),0),0)</f>
        <v>3451</v>
      </c>
      <c r="G39" s="70"/>
      <c r="H39" s="70">
        <f>ROUND(IF(('TABLA 7 CATCH AND CANNING'!D39+'TABLA 7 CATCH AND CANNING'!I39+'TABLA 7 CATCH AND CANNING'!N39)&gt;0,AVERAGE('TABLA 7 CATCH AND CANNING'!D39,'TABLA 7 CATCH AND CANNING'!I39,'TABLA 7 CATCH AND CANNING'!N39),0),0)</f>
        <v>0</v>
      </c>
      <c r="I39" s="16"/>
      <c r="J39" s="70">
        <f t="shared" si="2"/>
        <v>3451</v>
      </c>
      <c r="K39" s="16"/>
      <c r="L39" s="5" t="s">
        <v>13</v>
      </c>
      <c r="M39" s="5" t="s">
        <v>13</v>
      </c>
      <c r="N39" s="5" t="s">
        <v>51</v>
      </c>
      <c r="O39" s="5" t="s">
        <v>13</v>
      </c>
      <c r="P39" s="5">
        <v>3</v>
      </c>
      <c r="Q39" s="17" t="s">
        <v>45</v>
      </c>
      <c r="R39" s="71"/>
    </row>
    <row r="40" spans="1:18" s="1" customFormat="1" ht="10.55" customHeight="1" x14ac:dyDescent="0.25">
      <c r="A40" s="2"/>
      <c r="B40" s="122" t="s">
        <v>340</v>
      </c>
      <c r="C40" s="118" t="s">
        <v>21</v>
      </c>
      <c r="D40" s="119">
        <v>11885</v>
      </c>
      <c r="E40" s="119">
        <f t="shared" si="1"/>
        <v>5353.603603603603</v>
      </c>
      <c r="F40" s="120">
        <f>ROUND(IF(('TABLA 7 CATCH AND CANNING'!B40+'TABLA 7 CATCH AND CANNING'!G40+'TABLA 7 CATCH AND CANNING'!L40)&gt;0,AVERAGE('TABLA 7 CATCH AND CANNING'!B40,'TABLA 7 CATCH AND CANNING'!G40,'TABLA 7 CATCH AND CANNING'!L40),0),0)</f>
        <v>0</v>
      </c>
      <c r="G40" s="120"/>
      <c r="H40" s="120">
        <f>ROUND(IF(('TABLA 7 CATCH AND CANNING'!D40+'TABLA 7 CATCH AND CANNING'!I40+'TABLA 7 CATCH AND CANNING'!N40)&gt;0,AVERAGE('TABLA 7 CATCH AND CANNING'!D40,'TABLA 7 CATCH AND CANNING'!I40,'TABLA 7 CATCH AND CANNING'!N40),0),0)</f>
        <v>0</v>
      </c>
      <c r="I40" s="119"/>
      <c r="J40" s="120">
        <f t="shared" si="2"/>
        <v>0</v>
      </c>
      <c r="K40" s="119"/>
      <c r="L40" s="118" t="s">
        <v>51</v>
      </c>
      <c r="M40" s="118" t="s">
        <v>51</v>
      </c>
      <c r="N40" s="118" t="s">
        <v>51</v>
      </c>
      <c r="O40" s="118" t="s">
        <v>51</v>
      </c>
      <c r="P40" s="118">
        <v>0</v>
      </c>
      <c r="Q40" s="121" t="s">
        <v>340</v>
      </c>
      <c r="R40" s="71"/>
    </row>
    <row r="41" spans="1:18" s="1" customFormat="1" ht="10.55" customHeight="1" x14ac:dyDescent="0.25">
      <c r="A41" s="2"/>
      <c r="B41" s="15" t="s">
        <v>55</v>
      </c>
      <c r="C41" s="5" t="str">
        <f t="shared" si="0"/>
        <v>C</v>
      </c>
      <c r="D41" s="16">
        <v>4168</v>
      </c>
      <c r="E41" s="16">
        <f t="shared" si="1"/>
        <v>1877.4774774774774</v>
      </c>
      <c r="F41" s="70">
        <f>ROUND(IF(('TABLA 7 CATCH AND CANNING'!B41+'TABLA 7 CATCH AND CANNING'!G41+'TABLA 7 CATCH AND CANNING'!L41)&gt;0,AVERAGE('TABLA 7 CATCH AND CANNING'!B41,'TABLA 7 CATCH AND CANNING'!G41,'TABLA 7 CATCH AND CANNING'!L41),0),0)</f>
        <v>13933</v>
      </c>
      <c r="G41" s="70"/>
      <c r="H41" s="70">
        <f>ROUND(IF(('TABLA 7 CATCH AND CANNING'!D41+'TABLA 7 CATCH AND CANNING'!I41+'TABLA 7 CATCH AND CANNING'!N41)&gt;0,AVERAGE('TABLA 7 CATCH AND CANNING'!D41,'TABLA 7 CATCH AND CANNING'!I41,'TABLA 7 CATCH AND CANNING'!N41),0),0)</f>
        <v>0</v>
      </c>
      <c r="I41" s="16"/>
      <c r="J41" s="70">
        <f t="shared" si="2"/>
        <v>13933</v>
      </c>
      <c r="K41" s="16"/>
      <c r="L41" s="5" t="s">
        <v>13</v>
      </c>
      <c r="M41" s="5" t="s">
        <v>13</v>
      </c>
      <c r="N41" s="5" t="s">
        <v>13</v>
      </c>
      <c r="O41" s="5" t="s">
        <v>13</v>
      </c>
      <c r="P41" s="5">
        <v>4</v>
      </c>
      <c r="Q41" s="17" t="s">
        <v>9</v>
      </c>
      <c r="R41" s="71"/>
    </row>
    <row r="42" spans="1:18" s="1" customFormat="1" ht="10.55" customHeight="1" x14ac:dyDescent="0.25">
      <c r="A42" s="2"/>
      <c r="B42" s="15" t="s">
        <v>60</v>
      </c>
      <c r="C42" s="5" t="str">
        <f t="shared" si="0"/>
        <v>D</v>
      </c>
      <c r="D42" s="16">
        <v>2613</v>
      </c>
      <c r="E42" s="16">
        <f t="shared" si="1"/>
        <v>1177.0270270270269</v>
      </c>
      <c r="F42" s="70">
        <f>ROUND(IF(('TABLA 7 CATCH AND CANNING'!B42+'TABLA 7 CATCH AND CANNING'!G42+'TABLA 7 CATCH AND CANNING'!L42)&gt;0,AVERAGE('TABLA 7 CATCH AND CANNING'!B42,'TABLA 7 CATCH AND CANNING'!G42,'TABLA 7 CATCH AND CANNING'!L42),0),0)</f>
        <v>0</v>
      </c>
      <c r="G42" s="70"/>
      <c r="H42" s="70">
        <f>ROUND(IF(('TABLA 7 CATCH AND CANNING'!D42+'TABLA 7 CATCH AND CANNING'!I42+'TABLA 7 CATCH AND CANNING'!N42)&gt;0,AVERAGE('TABLA 7 CATCH AND CANNING'!D42,'TABLA 7 CATCH AND CANNING'!I42,'TABLA 7 CATCH AND CANNING'!N42),0),0)</f>
        <v>0</v>
      </c>
      <c r="I42" s="16"/>
      <c r="J42" s="70">
        <f t="shared" si="2"/>
        <v>0</v>
      </c>
      <c r="K42" s="16"/>
      <c r="L42" s="5" t="s">
        <v>13</v>
      </c>
      <c r="M42" s="5" t="s">
        <v>51</v>
      </c>
      <c r="N42" s="5" t="s">
        <v>51</v>
      </c>
      <c r="O42" s="5" t="s">
        <v>51</v>
      </c>
      <c r="P42" s="5">
        <v>1</v>
      </c>
      <c r="Q42" s="17" t="s">
        <v>60</v>
      </c>
      <c r="R42" s="71"/>
    </row>
    <row r="43" spans="1:18" s="1" customFormat="1" ht="10.55" customHeight="1" x14ac:dyDescent="0.25">
      <c r="A43" s="2"/>
      <c r="B43" s="15" t="s">
        <v>121</v>
      </c>
      <c r="C43" s="5" t="str">
        <f t="shared" si="0"/>
        <v>D</v>
      </c>
      <c r="D43" s="16">
        <v>1646</v>
      </c>
      <c r="E43" s="16">
        <f t="shared" si="1"/>
        <v>741.44144144144138</v>
      </c>
      <c r="F43" s="70">
        <f>ROUND(IF(('TABLA 7 CATCH AND CANNING'!B43+'TABLA 7 CATCH AND CANNING'!G43+'TABLA 7 CATCH AND CANNING'!L43)&gt;0,AVERAGE('TABLA 7 CATCH AND CANNING'!B43,'TABLA 7 CATCH AND CANNING'!G43,'TABLA 7 CATCH AND CANNING'!L43),0),0)</f>
        <v>0</v>
      </c>
      <c r="G43" s="70"/>
      <c r="H43" s="70">
        <f>ROUND(IF(('TABLA 7 CATCH AND CANNING'!D43+'TABLA 7 CATCH AND CANNING'!I43+'TABLA 7 CATCH AND CANNING'!N43)&gt;0,AVERAGE('TABLA 7 CATCH AND CANNING'!D43,'TABLA 7 CATCH AND CANNING'!I43,'TABLA 7 CATCH AND CANNING'!N43),0),0)</f>
        <v>0</v>
      </c>
      <c r="I43" s="16"/>
      <c r="J43" s="70">
        <f t="shared" si="2"/>
        <v>0</v>
      </c>
      <c r="K43" s="16"/>
      <c r="L43" s="5" t="s">
        <v>13</v>
      </c>
      <c r="M43" s="5" t="s">
        <v>51</v>
      </c>
      <c r="N43" s="5" t="s">
        <v>13</v>
      </c>
      <c r="O43" s="5" t="s">
        <v>13</v>
      </c>
      <c r="P43" s="5">
        <v>3</v>
      </c>
      <c r="Q43" s="17" t="s">
        <v>121</v>
      </c>
      <c r="R43" s="71"/>
    </row>
    <row r="44" spans="1:18" s="1" customFormat="1" ht="10.55" customHeight="1" x14ac:dyDescent="0.25">
      <c r="A44" s="2"/>
      <c r="B44" s="15" t="s">
        <v>53</v>
      </c>
      <c r="C44" s="5" t="s">
        <v>21</v>
      </c>
      <c r="D44" s="16">
        <v>87932</v>
      </c>
      <c r="E44" s="16">
        <f t="shared" si="1"/>
        <v>39609.009009009009</v>
      </c>
      <c r="F44" s="70">
        <f>ROUND(IF(('TABLA 7 CATCH AND CANNING'!B44+'TABLA 7 CATCH AND CANNING'!G44+'TABLA 7 CATCH AND CANNING'!L44)&gt;0,AVERAGE('TABLA 7 CATCH AND CANNING'!B44,'TABLA 7 CATCH AND CANNING'!G44,'TABLA 7 CATCH AND CANNING'!L44),0),0)</f>
        <v>133</v>
      </c>
      <c r="G44" s="70"/>
      <c r="H44" s="70">
        <f>ROUND(IF(('TABLA 7 CATCH AND CANNING'!D44+'TABLA 7 CATCH AND CANNING'!I44+'TABLA 7 CATCH AND CANNING'!N44)&gt;0,AVERAGE('TABLA 7 CATCH AND CANNING'!D44,'TABLA 7 CATCH AND CANNING'!I44,'TABLA 7 CATCH AND CANNING'!N44),0),0)</f>
        <v>0</v>
      </c>
      <c r="I44" s="16"/>
      <c r="J44" s="70">
        <f t="shared" si="2"/>
        <v>133</v>
      </c>
      <c r="K44" s="16"/>
      <c r="L44" s="5" t="s">
        <v>51</v>
      </c>
      <c r="M44" s="5" t="s">
        <v>13</v>
      </c>
      <c r="N44" s="5" t="s">
        <v>51</v>
      </c>
      <c r="O44" s="5" t="s">
        <v>13</v>
      </c>
      <c r="P44" s="5">
        <v>2</v>
      </c>
      <c r="Q44" s="17" t="s">
        <v>53</v>
      </c>
      <c r="R44" s="71"/>
    </row>
    <row r="45" spans="1:18" s="1" customFormat="1" ht="10.55" customHeight="1" x14ac:dyDescent="0.25">
      <c r="A45" s="2"/>
      <c r="B45" s="15" t="s">
        <v>46</v>
      </c>
      <c r="C45" s="5" t="str">
        <f t="shared" si="0"/>
        <v>B</v>
      </c>
      <c r="D45" s="16">
        <v>18701</v>
      </c>
      <c r="E45" s="16">
        <f t="shared" si="1"/>
        <v>8423.8738738738739</v>
      </c>
      <c r="F45" s="70">
        <f>ROUND(IF(('TABLA 7 CATCH AND CANNING'!B45+'TABLA 7 CATCH AND CANNING'!G45+'TABLA 7 CATCH AND CANNING'!L45)&gt;0,AVERAGE('TABLA 7 CATCH AND CANNING'!B45,'TABLA 7 CATCH AND CANNING'!G45,'TABLA 7 CATCH AND CANNING'!L45),0),0)</f>
        <v>25373</v>
      </c>
      <c r="G45" s="70"/>
      <c r="H45" s="70">
        <f>ROUND(IF(('TABLA 7 CATCH AND CANNING'!D45+'TABLA 7 CATCH AND CANNING'!I45+'TABLA 7 CATCH AND CANNING'!N45)&gt;0,AVERAGE('TABLA 7 CATCH AND CANNING'!D45,'TABLA 7 CATCH AND CANNING'!I45,'TABLA 7 CATCH AND CANNING'!N45),0),0)</f>
        <v>0</v>
      </c>
      <c r="I45" s="16"/>
      <c r="J45" s="70">
        <f t="shared" si="2"/>
        <v>25373</v>
      </c>
      <c r="K45" s="16"/>
      <c r="L45" s="5" t="s">
        <v>13</v>
      </c>
      <c r="M45" s="5" t="s">
        <v>13</v>
      </c>
      <c r="N45" s="5" t="s">
        <v>13</v>
      </c>
      <c r="O45" s="5" t="s">
        <v>13</v>
      </c>
      <c r="P45" s="5">
        <v>4</v>
      </c>
      <c r="Q45" s="17" t="s">
        <v>46</v>
      </c>
      <c r="R45" s="71"/>
    </row>
    <row r="46" spans="1:18" s="1" customFormat="1" ht="10.55" customHeight="1" x14ac:dyDescent="0.25">
      <c r="A46" s="2"/>
      <c r="B46" s="15" t="s">
        <v>52</v>
      </c>
      <c r="C46" s="5" t="str">
        <f t="shared" si="0"/>
        <v>D</v>
      </c>
      <c r="D46" s="16">
        <v>3805</v>
      </c>
      <c r="E46" s="16">
        <f t="shared" si="1"/>
        <v>1713.9639639639638</v>
      </c>
      <c r="F46" s="70">
        <f>ROUND(IF(('TABLA 7 CATCH AND CANNING'!B46+'TABLA 7 CATCH AND CANNING'!G46+'TABLA 7 CATCH AND CANNING'!L46)&gt;0,AVERAGE('TABLA 7 CATCH AND CANNING'!B46,'TABLA 7 CATCH AND CANNING'!G46,'TABLA 7 CATCH AND CANNING'!L46),0),0)</f>
        <v>0</v>
      </c>
      <c r="G46" s="70"/>
      <c r="H46" s="70">
        <f>ROUND(IF(('TABLA 7 CATCH AND CANNING'!D46+'TABLA 7 CATCH AND CANNING'!I46+'TABLA 7 CATCH AND CANNING'!N46)&gt;0,AVERAGE('TABLA 7 CATCH AND CANNING'!D46,'TABLA 7 CATCH AND CANNING'!I46,'TABLA 7 CATCH AND CANNING'!N46),0),0)</f>
        <v>0</v>
      </c>
      <c r="I46" s="16"/>
      <c r="J46" s="70">
        <f t="shared" si="2"/>
        <v>0</v>
      </c>
      <c r="K46" s="16"/>
      <c r="L46" s="5" t="s">
        <v>13</v>
      </c>
      <c r="M46" s="5" t="s">
        <v>51</v>
      </c>
      <c r="N46" s="5" t="s">
        <v>13</v>
      </c>
      <c r="O46" s="5" t="s">
        <v>51</v>
      </c>
      <c r="P46" s="5">
        <v>2</v>
      </c>
      <c r="Q46" s="17" t="s">
        <v>52</v>
      </c>
      <c r="R46" s="71"/>
    </row>
    <row r="47" spans="1:18" s="1" customFormat="1" ht="10.55" customHeight="1" x14ac:dyDescent="0.25">
      <c r="A47" s="2"/>
      <c r="B47" s="15" t="s">
        <v>47</v>
      </c>
      <c r="C47" s="5" t="s">
        <v>21</v>
      </c>
      <c r="D47" s="16">
        <v>13809</v>
      </c>
      <c r="E47" s="16">
        <f t="shared" si="1"/>
        <v>6220.27027027027</v>
      </c>
      <c r="F47" s="70">
        <f>ROUND(IF(('TABLA 7 CATCH AND CANNING'!B47+'TABLA 7 CATCH AND CANNING'!G47+'TABLA 7 CATCH AND CANNING'!L47)&gt;0,AVERAGE('TABLA 7 CATCH AND CANNING'!B47,'TABLA 7 CATCH AND CANNING'!G47,'TABLA 7 CATCH AND CANNING'!L47),0),0)</f>
        <v>3271</v>
      </c>
      <c r="G47" s="70"/>
      <c r="H47" s="70">
        <f>ROUND(IF(('TABLA 7 CATCH AND CANNING'!D47+'TABLA 7 CATCH AND CANNING'!I47+'TABLA 7 CATCH AND CANNING'!N47)&gt;0,AVERAGE('TABLA 7 CATCH AND CANNING'!D47,'TABLA 7 CATCH AND CANNING'!I47,'TABLA 7 CATCH AND CANNING'!N47),0),0)</f>
        <v>0</v>
      </c>
      <c r="I47" s="16"/>
      <c r="J47" s="70">
        <f t="shared" si="2"/>
        <v>3271</v>
      </c>
      <c r="K47" s="16"/>
      <c r="L47" s="5" t="s">
        <v>13</v>
      </c>
      <c r="M47" s="5" t="s">
        <v>13</v>
      </c>
      <c r="N47" s="5" t="s">
        <v>51</v>
      </c>
      <c r="O47" s="5" t="s">
        <v>51</v>
      </c>
      <c r="P47" s="5">
        <v>2</v>
      </c>
      <c r="Q47" s="17" t="s">
        <v>47</v>
      </c>
      <c r="R47" s="71"/>
    </row>
    <row r="48" spans="1:18" s="1" customFormat="1" ht="10.55" customHeight="1" x14ac:dyDescent="0.25">
      <c r="A48" s="2"/>
      <c r="B48" s="15" t="s">
        <v>118</v>
      </c>
      <c r="C48" s="5" t="str">
        <f t="shared" si="0"/>
        <v>C</v>
      </c>
      <c r="D48" s="16">
        <v>10767</v>
      </c>
      <c r="E48" s="16">
        <f t="shared" si="1"/>
        <v>4850</v>
      </c>
      <c r="F48" s="70">
        <f>ROUND(IF(('TABLA 7 CATCH AND CANNING'!B48+'TABLA 7 CATCH AND CANNING'!G48+'TABLA 7 CATCH AND CANNING'!L48)&gt;0,AVERAGE('TABLA 7 CATCH AND CANNING'!B48,'TABLA 7 CATCH AND CANNING'!G48,'TABLA 7 CATCH AND CANNING'!L48),0),0)</f>
        <v>333</v>
      </c>
      <c r="G48" s="70"/>
      <c r="H48" s="70">
        <f>ROUND(IF(('TABLA 7 CATCH AND CANNING'!D48+'TABLA 7 CATCH AND CANNING'!I48+'TABLA 7 CATCH AND CANNING'!N48)&gt;0,AVERAGE('TABLA 7 CATCH AND CANNING'!D48,'TABLA 7 CATCH AND CANNING'!I48,'TABLA 7 CATCH AND CANNING'!N48),0),0)</f>
        <v>0</v>
      </c>
      <c r="I48" s="16"/>
      <c r="J48" s="70">
        <f t="shared" si="2"/>
        <v>333</v>
      </c>
      <c r="K48" s="16"/>
      <c r="L48" s="5" t="s">
        <v>13</v>
      </c>
      <c r="M48" s="5" t="s">
        <v>13</v>
      </c>
      <c r="N48" s="5" t="s">
        <v>13</v>
      </c>
      <c r="O48" s="5" t="s">
        <v>13</v>
      </c>
      <c r="P48" s="5">
        <v>4</v>
      </c>
      <c r="Q48" s="17" t="s">
        <v>118</v>
      </c>
      <c r="R48" s="71"/>
    </row>
    <row r="49" spans="1:18" s="1" customFormat="1" ht="10.55" customHeight="1" x14ac:dyDescent="0.25">
      <c r="A49" s="2"/>
      <c r="B49" s="15" t="s">
        <v>10</v>
      </c>
      <c r="C49" s="5" t="str">
        <f t="shared" si="0"/>
        <v>D</v>
      </c>
      <c r="D49" s="16">
        <v>2963</v>
      </c>
      <c r="E49" s="16">
        <f t="shared" si="1"/>
        <v>1334.6846846846845</v>
      </c>
      <c r="F49" s="70">
        <f>ROUND(IF(('TABLA 7 CATCH AND CANNING'!B49+'TABLA 7 CATCH AND CANNING'!G49+'TABLA 7 CATCH AND CANNING'!L49)&gt;0,AVERAGE('TABLA 7 CATCH AND CANNING'!B49,'TABLA 7 CATCH AND CANNING'!G49,'TABLA 7 CATCH AND CANNING'!L49),0),0)</f>
        <v>1255</v>
      </c>
      <c r="G49" s="70"/>
      <c r="H49" s="70">
        <f>ROUND(IF(('TABLA 7 CATCH AND CANNING'!D49+'TABLA 7 CATCH AND CANNING'!I49+'TABLA 7 CATCH AND CANNING'!N49)&gt;0,AVERAGE('TABLA 7 CATCH AND CANNING'!D49,'TABLA 7 CATCH AND CANNING'!I49,'TABLA 7 CATCH AND CANNING'!N49),0),0)</f>
        <v>0</v>
      </c>
      <c r="I49" s="16"/>
      <c r="J49" s="70">
        <f t="shared" si="2"/>
        <v>1255</v>
      </c>
      <c r="K49" s="16"/>
      <c r="L49" s="5" t="s">
        <v>13</v>
      </c>
      <c r="M49" s="5" t="s">
        <v>51</v>
      </c>
      <c r="N49" s="5" t="s">
        <v>51</v>
      </c>
      <c r="O49" s="5" t="s">
        <v>13</v>
      </c>
      <c r="P49" s="5">
        <v>2</v>
      </c>
      <c r="Q49" s="17" t="s">
        <v>10</v>
      </c>
      <c r="R49" s="71"/>
    </row>
    <row r="50" spans="1:18" s="1" customFormat="1" ht="10.55" customHeight="1" x14ac:dyDescent="0.25">
      <c r="A50" s="2"/>
      <c r="B50" s="15" t="s">
        <v>70</v>
      </c>
      <c r="C50" s="5" t="str">
        <f t="shared" si="0"/>
        <v>C</v>
      </c>
      <c r="D50" s="16">
        <v>1682</v>
      </c>
      <c r="E50" s="16">
        <f t="shared" si="1"/>
        <v>757.65765765765764</v>
      </c>
      <c r="F50" s="70">
        <f>ROUND(IF(('TABLA 7 CATCH AND CANNING'!B50+'TABLA 7 CATCH AND CANNING'!G50+'TABLA 7 CATCH AND CANNING'!L50)&gt;0,AVERAGE('TABLA 7 CATCH AND CANNING'!B50,'TABLA 7 CATCH AND CANNING'!G50,'TABLA 7 CATCH AND CANNING'!L50),0),0)</f>
        <v>57140</v>
      </c>
      <c r="G50" s="70"/>
      <c r="H50" s="70">
        <f>ROUND(IF(('TABLA 7 CATCH AND CANNING'!D50+'TABLA 7 CATCH AND CANNING'!I50+'TABLA 7 CATCH AND CANNING'!N50)&gt;0,AVERAGE('TABLA 7 CATCH AND CANNING'!D50,'TABLA 7 CATCH AND CANNING'!I50,'TABLA 7 CATCH AND CANNING'!N50),0),0)</f>
        <v>9229</v>
      </c>
      <c r="I50" s="16"/>
      <c r="J50" s="70">
        <f t="shared" si="2"/>
        <v>66369</v>
      </c>
      <c r="K50" s="16"/>
      <c r="L50" s="5" t="s">
        <v>13</v>
      </c>
      <c r="M50" s="5" t="s">
        <v>13</v>
      </c>
      <c r="N50" s="5" t="s">
        <v>51</v>
      </c>
      <c r="O50" s="5" t="s">
        <v>13</v>
      </c>
      <c r="P50" s="5">
        <v>3</v>
      </c>
      <c r="Q50" s="17" t="s">
        <v>70</v>
      </c>
      <c r="R50" s="71"/>
    </row>
    <row r="51" spans="1:18" s="1" customFormat="1" ht="10.55" customHeight="1" x14ac:dyDescent="0.25">
      <c r="A51" s="2"/>
      <c r="B51" s="15" t="s">
        <v>175</v>
      </c>
      <c r="C51" s="5" t="str">
        <f t="shared" si="0"/>
        <v>D</v>
      </c>
      <c r="D51" s="16">
        <v>758</v>
      </c>
      <c r="E51" s="16">
        <f t="shared" si="1"/>
        <v>341.44144144144138</v>
      </c>
      <c r="F51" s="70">
        <f>ROUND(IF(('TABLA 7 CATCH AND CANNING'!B51+'TABLA 7 CATCH AND CANNING'!G51+'TABLA 7 CATCH AND CANNING'!L51)&gt;0,AVERAGE('TABLA 7 CATCH AND CANNING'!B51,'TABLA 7 CATCH AND CANNING'!G51,'TABLA 7 CATCH AND CANNING'!L51),0),0)</f>
        <v>0</v>
      </c>
      <c r="G51" s="70"/>
      <c r="H51" s="70">
        <f>ROUND(IF(('TABLA 7 CATCH AND CANNING'!D51+'TABLA 7 CATCH AND CANNING'!I51+'TABLA 7 CATCH AND CANNING'!N51)&gt;0,AVERAGE('TABLA 7 CATCH AND CANNING'!D51,'TABLA 7 CATCH AND CANNING'!I51,'TABLA 7 CATCH AND CANNING'!N51),0),0)</f>
        <v>0</v>
      </c>
      <c r="I51" s="16"/>
      <c r="J51" s="70">
        <f t="shared" si="2"/>
        <v>0</v>
      </c>
      <c r="K51" s="16"/>
      <c r="L51" s="5" t="s">
        <v>13</v>
      </c>
      <c r="M51" s="5" t="s">
        <v>51</v>
      </c>
      <c r="N51" s="5" t="s">
        <v>51</v>
      </c>
      <c r="O51" s="5" t="s">
        <v>13</v>
      </c>
      <c r="P51" s="5">
        <v>2</v>
      </c>
      <c r="Q51" s="17" t="s">
        <v>175</v>
      </c>
      <c r="R51" s="71"/>
    </row>
    <row r="52" spans="1:18" s="1" customFormat="1" ht="10.55" customHeight="1" x14ac:dyDescent="0.25">
      <c r="A52" s="2"/>
      <c r="B52" s="15" t="s">
        <v>48</v>
      </c>
      <c r="C52" s="5" t="str">
        <f t="shared" si="0"/>
        <v>C</v>
      </c>
      <c r="D52" s="16">
        <v>5976</v>
      </c>
      <c r="E52" s="16">
        <f t="shared" si="1"/>
        <v>2691.8918918918916</v>
      </c>
      <c r="F52" s="70">
        <f>ROUND(IF(('TABLA 7 CATCH AND CANNING'!B52+'TABLA 7 CATCH AND CANNING'!G52+'TABLA 7 CATCH AND CANNING'!L52)&gt;0,AVERAGE('TABLA 7 CATCH AND CANNING'!B52,'TABLA 7 CATCH AND CANNING'!G52,'TABLA 7 CATCH AND CANNING'!L52),0),0)</f>
        <v>6049</v>
      </c>
      <c r="G52" s="70"/>
      <c r="H52" s="70">
        <f>ROUND(IF(('TABLA 7 CATCH AND CANNING'!D52+'TABLA 7 CATCH AND CANNING'!I52+'TABLA 7 CATCH AND CANNING'!N52)&gt;0,AVERAGE('TABLA 7 CATCH AND CANNING'!D52,'TABLA 7 CATCH AND CANNING'!I52,'TABLA 7 CATCH AND CANNING'!N52),0),0)</f>
        <v>0</v>
      </c>
      <c r="I52" s="16"/>
      <c r="J52" s="70">
        <f t="shared" si="2"/>
        <v>6049</v>
      </c>
      <c r="K52" s="16"/>
      <c r="L52" s="5" t="s">
        <v>13</v>
      </c>
      <c r="M52" s="5" t="s">
        <v>51</v>
      </c>
      <c r="N52" s="5" t="s">
        <v>13</v>
      </c>
      <c r="O52" s="5" t="s">
        <v>13</v>
      </c>
      <c r="P52" s="5">
        <v>3</v>
      </c>
      <c r="Q52" s="17" t="s">
        <v>48</v>
      </c>
      <c r="R52" s="71"/>
    </row>
    <row r="53" spans="1:18" s="1" customFormat="1" ht="10.55" customHeight="1" x14ac:dyDescent="0.25">
      <c r="A53" s="2"/>
      <c r="B53" s="15" t="s">
        <v>119</v>
      </c>
      <c r="C53" s="5" t="str">
        <f t="shared" si="0"/>
        <v>D</v>
      </c>
      <c r="D53" s="16">
        <v>1230</v>
      </c>
      <c r="E53" s="16">
        <f t="shared" si="1"/>
        <v>554.05405405405395</v>
      </c>
      <c r="F53" s="70">
        <f>ROUND(IF(('TABLA 7 CATCH AND CANNING'!B53+'TABLA 7 CATCH AND CANNING'!G53+'TABLA 7 CATCH AND CANNING'!L53)&gt;0,AVERAGE('TABLA 7 CATCH AND CANNING'!B53,'TABLA 7 CATCH AND CANNING'!G53,'TABLA 7 CATCH AND CANNING'!L53),0),0)</f>
        <v>79</v>
      </c>
      <c r="G53" s="70"/>
      <c r="H53" s="70">
        <f>ROUND(IF(('TABLA 7 CATCH AND CANNING'!D53+'TABLA 7 CATCH AND CANNING'!I53+'TABLA 7 CATCH AND CANNING'!N53)&gt;0,AVERAGE('TABLA 7 CATCH AND CANNING'!D53,'TABLA 7 CATCH AND CANNING'!I53,'TABLA 7 CATCH AND CANNING'!N53),0),0)</f>
        <v>0</v>
      </c>
      <c r="I53" s="16"/>
      <c r="J53" s="70">
        <f t="shared" si="2"/>
        <v>79</v>
      </c>
      <c r="K53" s="16"/>
      <c r="L53" s="5" t="s">
        <v>51</v>
      </c>
      <c r="M53" s="5" t="s">
        <v>13</v>
      </c>
      <c r="N53" s="5" t="s">
        <v>51</v>
      </c>
      <c r="O53" s="5" t="s">
        <v>51</v>
      </c>
      <c r="P53" s="5">
        <v>1</v>
      </c>
      <c r="Q53" s="17" t="s">
        <v>119</v>
      </c>
      <c r="R53" s="71"/>
    </row>
    <row r="54" spans="1:18" s="1" customFormat="1" ht="10.55" customHeight="1" x14ac:dyDescent="0.25">
      <c r="A54" s="2"/>
      <c r="B54" s="15" t="s">
        <v>49</v>
      </c>
      <c r="C54" s="5" t="str">
        <f t="shared" si="0"/>
        <v>C</v>
      </c>
      <c r="D54" s="16">
        <v>16960</v>
      </c>
      <c r="E54" s="16">
        <f t="shared" si="1"/>
        <v>7639.6396396396385</v>
      </c>
      <c r="F54" s="70">
        <f>ROUND(IF(('TABLA 7 CATCH AND CANNING'!B54+'TABLA 7 CATCH AND CANNING'!G54+'TABLA 7 CATCH AND CANNING'!L54)&gt;0,AVERAGE('TABLA 7 CATCH AND CANNING'!B54,'TABLA 7 CATCH AND CANNING'!G54,'TABLA 7 CATCH AND CANNING'!L54),0),0)</f>
        <v>2776</v>
      </c>
      <c r="G54" s="70"/>
      <c r="H54" s="70">
        <f>ROUND(IF(('TABLA 7 CATCH AND CANNING'!D54+'TABLA 7 CATCH AND CANNING'!I54+'TABLA 7 CATCH AND CANNING'!N54)&gt;0,AVERAGE('TABLA 7 CATCH AND CANNING'!D54,'TABLA 7 CATCH AND CANNING'!I54,'TABLA 7 CATCH AND CANNING'!N54),0),0)</f>
        <v>0</v>
      </c>
      <c r="I54" s="16"/>
      <c r="J54" s="70">
        <f t="shared" si="2"/>
        <v>2776</v>
      </c>
      <c r="K54" s="16"/>
      <c r="L54" s="5" t="s">
        <v>13</v>
      </c>
      <c r="M54" s="5" t="s">
        <v>51</v>
      </c>
      <c r="N54" s="5" t="s">
        <v>51</v>
      </c>
      <c r="O54" s="5" t="s">
        <v>13</v>
      </c>
      <c r="P54" s="5">
        <v>2</v>
      </c>
      <c r="Q54" s="17" t="s">
        <v>49</v>
      </c>
      <c r="R54" s="71"/>
    </row>
    <row r="55" spans="1:18" s="1" customFormat="1" ht="10.55" customHeight="1" x14ac:dyDescent="0.25">
      <c r="A55" s="2"/>
      <c r="B55" s="15" t="s">
        <v>50</v>
      </c>
      <c r="C55" s="5" t="str">
        <f t="shared" si="0"/>
        <v>C</v>
      </c>
      <c r="D55" s="16">
        <v>3979</v>
      </c>
      <c r="E55" s="16">
        <f t="shared" si="1"/>
        <v>1792.3423423423421</v>
      </c>
      <c r="F55" s="70">
        <f>ROUND(IF(('TABLA 7 CATCH AND CANNING'!B55+'TABLA 7 CATCH AND CANNING'!G55+'TABLA 7 CATCH AND CANNING'!L55)&gt;0,AVERAGE('TABLA 7 CATCH AND CANNING'!B55,'TABLA 7 CATCH AND CANNING'!G55,'TABLA 7 CATCH AND CANNING'!L55),0),0)</f>
        <v>11402</v>
      </c>
      <c r="G55" s="70"/>
      <c r="H55" s="70">
        <f>ROUND(IF(('TABLA 7 CATCH AND CANNING'!D55+'TABLA 7 CATCH AND CANNING'!I55+'TABLA 7 CATCH AND CANNING'!N55)&gt;0,AVERAGE('TABLA 7 CATCH AND CANNING'!D55,'TABLA 7 CATCH AND CANNING'!I55,'TABLA 7 CATCH AND CANNING'!N55),0),0)</f>
        <v>6826</v>
      </c>
      <c r="I55" s="16"/>
      <c r="J55" s="70">
        <f t="shared" si="2"/>
        <v>18228</v>
      </c>
      <c r="K55" s="16"/>
      <c r="L55" s="5" t="s">
        <v>51</v>
      </c>
      <c r="M55" s="5" t="s">
        <v>13</v>
      </c>
      <c r="N55" s="5" t="s">
        <v>51</v>
      </c>
      <c r="O55" s="5" t="s">
        <v>13</v>
      </c>
      <c r="P55" s="5">
        <v>2</v>
      </c>
      <c r="Q55" s="17" t="s">
        <v>50</v>
      </c>
      <c r="R55" s="71"/>
    </row>
    <row r="56" spans="1:18" s="1" customFormat="1" ht="10.55" customHeight="1" x14ac:dyDescent="0.25">
      <c r="A56" s="2"/>
      <c r="B56" s="15" t="s">
        <v>263</v>
      </c>
      <c r="C56" s="5" t="str">
        <f t="shared" si="0"/>
        <v>B</v>
      </c>
      <c r="D56" s="16">
        <v>12814</v>
      </c>
      <c r="E56" s="16">
        <f t="shared" si="1"/>
        <v>5772.0720720720719</v>
      </c>
      <c r="F56" s="70">
        <f>ROUND(IF(('TABLA 7 CATCH AND CANNING'!B56+'TABLA 7 CATCH AND CANNING'!G56+'TABLA 7 CATCH AND CANNING'!L56)&gt;0,AVERAGE('TABLA 7 CATCH AND CANNING'!B56,'TABLA 7 CATCH AND CANNING'!G56,'TABLA 7 CATCH AND CANNING'!L56),0),0)</f>
        <v>22665</v>
      </c>
      <c r="G56" s="70"/>
      <c r="H56" s="70">
        <f>ROUND(IF(('TABLA 7 CATCH AND CANNING'!D56+'TABLA 7 CATCH AND CANNING'!I56+'TABLA 7 CATCH AND CANNING'!N56)&gt;0,AVERAGE('TABLA 7 CATCH AND CANNING'!D56,'TABLA 7 CATCH AND CANNING'!I56,'TABLA 7 CATCH AND CANNING'!N56),0),0)</f>
        <v>0</v>
      </c>
      <c r="I56" s="16"/>
      <c r="J56" s="70">
        <f t="shared" si="2"/>
        <v>22665</v>
      </c>
      <c r="K56" s="16"/>
      <c r="L56" s="5" t="s">
        <v>51</v>
      </c>
      <c r="M56" s="5" t="s">
        <v>13</v>
      </c>
      <c r="N56" s="5" t="s">
        <v>51</v>
      </c>
      <c r="O56" s="5" t="s">
        <v>13</v>
      </c>
      <c r="P56" s="5">
        <v>2</v>
      </c>
      <c r="Q56" s="17" t="s">
        <v>263</v>
      </c>
      <c r="R56" s="71"/>
    </row>
    <row r="57" spans="1:18" s="1" customFormat="1" ht="10.55" customHeight="1" x14ac:dyDescent="0.25">
      <c r="A57" s="2"/>
      <c r="B57" s="15" t="s">
        <v>180</v>
      </c>
      <c r="C57" s="5" t="s">
        <v>21</v>
      </c>
      <c r="D57" s="16">
        <v>55049</v>
      </c>
      <c r="E57" s="16">
        <f t="shared" si="1"/>
        <v>24796.846846846845</v>
      </c>
      <c r="F57" s="70">
        <f>ROUND(IF(('TABLA 7 CATCH AND CANNING'!B57+'TABLA 7 CATCH AND CANNING'!G57+'TABLA 7 CATCH AND CANNING'!L57)&gt;0,AVERAGE('TABLA 7 CATCH AND CANNING'!B57,'TABLA 7 CATCH AND CANNING'!G57,'TABLA 7 CATCH AND CANNING'!L57),0),0)</f>
        <v>202672</v>
      </c>
      <c r="G57" s="70"/>
      <c r="H57" s="70">
        <f>ROUND(IF(('TABLA 7 CATCH AND CANNING'!D57+'TABLA 7 CATCH AND CANNING'!I57+'TABLA 7 CATCH AND CANNING'!N57)&gt;0,AVERAGE('TABLA 7 CATCH AND CANNING'!D57,'TABLA 7 CATCH AND CANNING'!I57,'TABLA 7 CATCH AND CANNING'!N57),0),0)</f>
        <v>67741</v>
      </c>
      <c r="I57" s="16"/>
      <c r="J57" s="70">
        <f t="shared" si="2"/>
        <v>270413</v>
      </c>
      <c r="K57" s="16"/>
      <c r="L57" s="5" t="s">
        <v>13</v>
      </c>
      <c r="M57" s="5" t="s">
        <v>13</v>
      </c>
      <c r="N57" s="5" t="s">
        <v>13</v>
      </c>
      <c r="O57" s="5" t="s">
        <v>13</v>
      </c>
      <c r="P57" s="5">
        <v>4</v>
      </c>
      <c r="Q57" s="17" t="s">
        <v>180</v>
      </c>
      <c r="R57" s="71"/>
    </row>
    <row r="58" spans="1:18" s="1" customFormat="1" ht="21.5" customHeight="1" x14ac:dyDescent="0.25">
      <c r="A58" s="2"/>
      <c r="B58" s="58" t="s">
        <v>262</v>
      </c>
      <c r="C58" s="5" t="s">
        <v>21</v>
      </c>
      <c r="D58" s="16">
        <v>49224</v>
      </c>
      <c r="E58" s="16">
        <f t="shared" si="1"/>
        <v>22172.97297297297</v>
      </c>
      <c r="F58" s="70">
        <f>ROUND(IF(('TABLA 7 CATCH AND CANNING'!B58+'TABLA 7 CATCH AND CANNING'!G58+'TABLA 7 CATCH AND CANNING'!L58)&gt;0,AVERAGE('TABLA 7 CATCH AND CANNING'!B58,'TABLA 7 CATCH AND CANNING'!G58,'TABLA 7 CATCH AND CANNING'!L58),0),0)</f>
        <v>396</v>
      </c>
      <c r="G58" s="70"/>
      <c r="H58" s="70">
        <f>ROUND(IF(('TABLA 7 CATCH AND CANNING'!D58+'TABLA 7 CATCH AND CANNING'!I58+'TABLA 7 CATCH AND CANNING'!N58)&gt;0,AVERAGE('TABLA 7 CATCH AND CANNING'!D58,'TABLA 7 CATCH AND CANNING'!I58,'TABLA 7 CATCH AND CANNING'!N58),0),0)</f>
        <v>0</v>
      </c>
      <c r="I58" s="16"/>
      <c r="J58" s="70">
        <f t="shared" si="2"/>
        <v>396</v>
      </c>
      <c r="K58" s="16"/>
      <c r="L58" s="5" t="s">
        <v>13</v>
      </c>
      <c r="M58" s="5" t="s">
        <v>13</v>
      </c>
      <c r="N58" s="5" t="s">
        <v>13</v>
      </c>
      <c r="O58" s="5" t="s">
        <v>13</v>
      </c>
      <c r="P58" s="5">
        <v>4</v>
      </c>
      <c r="Q58" s="59" t="s">
        <v>262</v>
      </c>
      <c r="R58" s="71"/>
    </row>
    <row r="59" spans="1:18" s="1" customFormat="1" ht="10.55" customHeight="1" x14ac:dyDescent="0.25">
      <c r="A59" s="2"/>
      <c r="B59" s="15" t="s">
        <v>38</v>
      </c>
      <c r="C59" s="5" t="s">
        <v>21</v>
      </c>
      <c r="D59" s="16">
        <v>80706</v>
      </c>
      <c r="E59" s="16">
        <f t="shared" si="1"/>
        <v>36354.054054054053</v>
      </c>
      <c r="F59" s="70">
        <f>ROUND(IF(('TABLA 7 CATCH AND CANNING'!B59+'TABLA 7 CATCH AND CANNING'!G59+'TABLA 7 CATCH AND CANNING'!L59)&gt;0,AVERAGE('TABLA 7 CATCH AND CANNING'!B59,'TABLA 7 CATCH AND CANNING'!G59,'TABLA 7 CATCH AND CANNING'!L59),0),0)</f>
        <v>30618</v>
      </c>
      <c r="G59" s="70"/>
      <c r="H59" s="70">
        <f>ROUND(IF(('TABLA 7 CATCH AND CANNING'!D59+'TABLA 7 CATCH AND CANNING'!I59+'TABLA 7 CATCH AND CANNING'!N59)&gt;0,AVERAGE('TABLA 7 CATCH AND CANNING'!D59,'TABLA 7 CATCH AND CANNING'!I59,'TABLA 7 CATCH AND CANNING'!N59),0),0)</f>
        <v>9393</v>
      </c>
      <c r="I59" s="16"/>
      <c r="J59" s="70">
        <f t="shared" si="2"/>
        <v>40011</v>
      </c>
      <c r="K59" s="16"/>
      <c r="L59" s="5" t="s">
        <v>13</v>
      </c>
      <c r="M59" s="5" t="s">
        <v>13</v>
      </c>
      <c r="N59" s="5" t="s">
        <v>13</v>
      </c>
      <c r="O59" s="5" t="s">
        <v>13</v>
      </c>
      <c r="P59" s="5">
        <v>4</v>
      </c>
      <c r="Q59" s="17" t="s">
        <v>38</v>
      </c>
      <c r="R59" s="71"/>
    </row>
    <row r="60" spans="1:18" s="1" customFormat="1" ht="10.55" customHeight="1" x14ac:dyDescent="0.25">
      <c r="A60" s="2"/>
      <c r="B60" s="15" t="s">
        <v>11</v>
      </c>
      <c r="C60" s="5" t="str">
        <f t="shared" si="0"/>
        <v>C</v>
      </c>
      <c r="D60" s="16">
        <v>22796</v>
      </c>
      <c r="E60" s="16">
        <f t="shared" si="1"/>
        <v>10268.468468468467</v>
      </c>
      <c r="F60" s="70">
        <f>ROUND(IF(('TABLA 7 CATCH AND CANNING'!B60+'TABLA 7 CATCH AND CANNING'!G60+'TABLA 7 CATCH AND CANNING'!L60)&gt;0,AVERAGE('TABLA 7 CATCH AND CANNING'!B60,'TABLA 7 CATCH AND CANNING'!G60,'TABLA 7 CATCH AND CANNING'!L60),0),0)</f>
        <v>0</v>
      </c>
      <c r="G60" s="70"/>
      <c r="H60" s="70">
        <f>ROUND(IF(('TABLA 7 CATCH AND CANNING'!D60+'TABLA 7 CATCH AND CANNING'!I60+'TABLA 7 CATCH AND CANNING'!N60)&gt;0,AVERAGE('TABLA 7 CATCH AND CANNING'!D60,'TABLA 7 CATCH AND CANNING'!I60,'TABLA 7 CATCH AND CANNING'!N60),0),0)</f>
        <v>0</v>
      </c>
      <c r="I60" s="16"/>
      <c r="J60" s="70">
        <f t="shared" si="2"/>
        <v>0</v>
      </c>
      <c r="K60" s="16"/>
      <c r="L60" s="5" t="s">
        <v>13</v>
      </c>
      <c r="M60" s="5" t="s">
        <v>51</v>
      </c>
      <c r="N60" s="5" t="s">
        <v>13</v>
      </c>
      <c r="O60" s="5" t="s">
        <v>13</v>
      </c>
      <c r="P60" s="5">
        <v>3</v>
      </c>
      <c r="Q60" s="17" t="s">
        <v>11</v>
      </c>
      <c r="R60" s="71"/>
    </row>
    <row r="61" spans="1:18" s="1" customFormat="1" ht="10.55" customHeight="1" x14ac:dyDescent="0.25">
      <c r="A61" s="4"/>
      <c r="B61" s="73" t="s">
        <v>12</v>
      </c>
      <c r="C61" s="5" t="str">
        <f t="shared" si="0"/>
        <v>D</v>
      </c>
      <c r="D61" s="74">
        <v>4925</v>
      </c>
      <c r="E61" s="16">
        <f t="shared" si="1"/>
        <v>2218.4684684684685</v>
      </c>
      <c r="F61" s="70">
        <f>ROUND(IF(('TABLA 7 CATCH AND CANNING'!B61+'TABLA 7 CATCH AND CANNING'!G61+'TABLA 7 CATCH AND CANNING'!L61)&gt;0,AVERAGE('TABLA 7 CATCH AND CANNING'!B61,'TABLA 7 CATCH AND CANNING'!G61,'TABLA 7 CATCH AND CANNING'!L61),0),0)</f>
        <v>4562</v>
      </c>
      <c r="G61" s="70"/>
      <c r="H61" s="70">
        <f>ROUND(IF(('TABLA 7 CATCH AND CANNING'!D61+'TABLA 7 CATCH AND CANNING'!I61+'TABLA 7 CATCH AND CANNING'!N61)&gt;0,AVERAGE('TABLA 7 CATCH AND CANNING'!D61,'TABLA 7 CATCH AND CANNING'!I61,'TABLA 7 CATCH AND CANNING'!N61),0),0)</f>
        <v>305</v>
      </c>
      <c r="I61" s="74"/>
      <c r="J61" s="70">
        <f t="shared" si="2"/>
        <v>4867</v>
      </c>
      <c r="K61" s="74"/>
      <c r="L61" s="75" t="s">
        <v>13</v>
      </c>
      <c r="M61" s="75" t="s">
        <v>13</v>
      </c>
      <c r="N61" s="75" t="s">
        <v>51</v>
      </c>
      <c r="O61" s="75" t="s">
        <v>13</v>
      </c>
      <c r="P61" s="75">
        <v>3</v>
      </c>
      <c r="Q61" s="76" t="s">
        <v>12</v>
      </c>
      <c r="R61" s="77"/>
    </row>
    <row r="62" spans="1:18" x14ac:dyDescent="0.3">
      <c r="A62" s="78" t="s">
        <v>203</v>
      </c>
      <c r="B62" s="79"/>
      <c r="C62" s="80"/>
      <c r="D62" s="79"/>
      <c r="E62" s="79"/>
      <c r="F62" s="79"/>
      <c r="G62" s="79"/>
      <c r="H62" s="81"/>
      <c r="I62" s="79"/>
      <c r="J62" s="79"/>
      <c r="K62" s="79"/>
      <c r="L62" s="79"/>
      <c r="M62" s="79"/>
      <c r="N62" s="79"/>
      <c r="O62" s="79"/>
      <c r="P62" s="79"/>
      <c r="Q62" s="79"/>
      <c r="R62" s="79"/>
    </row>
  </sheetData>
  <mergeCells count="4">
    <mergeCell ref="L3:O3"/>
    <mergeCell ref="L4:O4"/>
    <mergeCell ref="L5:O5"/>
    <mergeCell ref="A1:R1"/>
  </mergeCells>
  <phoneticPr fontId="0" type="noConversion"/>
  <printOptions horizontalCentered="1"/>
  <pageMargins left="0.59055118110236227" right="0.59055118110236227" top="0.8037007874015748" bottom="0.39370078740157483" header="0.11811023622047245" footer="0.39370078740157483"/>
  <pageSetup scale="6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8"/>
  <sheetViews>
    <sheetView showGridLines="0" topLeftCell="A4" zoomScale="130" zoomScaleNormal="130" workbookViewId="0">
      <selection activeCell="N26" sqref="N26"/>
    </sheetView>
  </sheetViews>
  <sheetFormatPr defaultColWidth="11.33203125" defaultRowHeight="10.65" x14ac:dyDescent="0.25"/>
  <cols>
    <col min="1" max="1" width="1.33203125" style="19" customWidth="1"/>
    <col min="2" max="2" width="21.33203125" style="19" customWidth="1"/>
    <col min="3" max="3" width="6.6640625" style="20" customWidth="1"/>
    <col min="4" max="4" width="11.6640625" style="20" customWidth="1"/>
    <col min="5" max="5" width="8.6640625" style="20" customWidth="1"/>
    <col min="6" max="6" width="11.6640625" style="19" customWidth="1"/>
    <col min="7" max="7" width="10.6640625" style="19" customWidth="1"/>
    <col min="8" max="11" width="10.6640625" style="21" customWidth="1"/>
    <col min="12" max="12" width="11.33203125" style="21" bestFit="1" customWidth="1"/>
    <col min="13" max="13" width="27.6640625" style="19" customWidth="1"/>
    <col min="14" max="16384" width="11.33203125" style="19"/>
  </cols>
  <sheetData>
    <row r="1" spans="1:16" ht="25.25" customHeight="1" x14ac:dyDescent="0.3">
      <c r="A1" s="147" t="s">
        <v>326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6" ht="12.95" customHeight="1" x14ac:dyDescent="0.3">
      <c r="A2" s="11"/>
      <c r="J2" s="22" t="s">
        <v>116</v>
      </c>
      <c r="K2" s="61">
        <f>1/0.865</f>
        <v>1.1560693641618498</v>
      </c>
      <c r="L2" s="7" t="s">
        <v>339</v>
      </c>
    </row>
    <row r="3" spans="1:16" s="9" customFormat="1" ht="12.45" customHeight="1" x14ac:dyDescent="0.25">
      <c r="A3" s="12"/>
      <c r="B3" s="57" t="s">
        <v>87</v>
      </c>
      <c r="C3" s="57"/>
      <c r="D3" s="57" t="s">
        <v>89</v>
      </c>
      <c r="E3" s="57"/>
      <c r="F3" s="57" t="s">
        <v>90</v>
      </c>
      <c r="G3" s="57" t="s">
        <v>91</v>
      </c>
      <c r="H3" s="18" t="s">
        <v>92</v>
      </c>
      <c r="I3" s="18" t="s">
        <v>93</v>
      </c>
      <c r="J3" s="18" t="s">
        <v>94</v>
      </c>
      <c r="K3" s="18" t="s">
        <v>95</v>
      </c>
      <c r="L3" s="18" t="s">
        <v>25</v>
      </c>
      <c r="M3" s="57" t="s">
        <v>87</v>
      </c>
    </row>
    <row r="4" spans="1:16" s="9" customFormat="1" ht="12.45" customHeight="1" x14ac:dyDescent="0.25">
      <c r="A4" s="3"/>
      <c r="B4" s="14" t="s">
        <v>88</v>
      </c>
      <c r="C4" s="14" t="s">
        <v>204</v>
      </c>
      <c r="D4" s="14" t="s">
        <v>205</v>
      </c>
      <c r="E4" s="14" t="s">
        <v>206</v>
      </c>
      <c r="F4" s="14" t="s">
        <v>207</v>
      </c>
      <c r="G4" s="14" t="s">
        <v>208</v>
      </c>
      <c r="H4" s="8" t="s">
        <v>209</v>
      </c>
      <c r="I4" s="8" t="s">
        <v>210</v>
      </c>
      <c r="J4" s="8" t="s">
        <v>211</v>
      </c>
      <c r="K4" s="8" t="s">
        <v>212</v>
      </c>
      <c r="L4" s="8" t="s">
        <v>213</v>
      </c>
      <c r="M4" s="14" t="s">
        <v>88</v>
      </c>
    </row>
    <row r="5" spans="1:16" s="9" customFormat="1" ht="12.45" customHeight="1" x14ac:dyDescent="0.25">
      <c r="A5" s="13"/>
      <c r="B5" s="35" t="s">
        <v>96</v>
      </c>
      <c r="C5" s="35"/>
      <c r="D5" s="35" t="s">
        <v>98</v>
      </c>
      <c r="E5" s="35"/>
      <c r="F5" s="35" t="s">
        <v>99</v>
      </c>
      <c r="G5" s="35" t="s">
        <v>100</v>
      </c>
      <c r="H5" s="23" t="s">
        <v>101</v>
      </c>
      <c r="I5" s="23" t="s">
        <v>102</v>
      </c>
      <c r="J5" s="23" t="s">
        <v>31</v>
      </c>
      <c r="K5" s="23" t="s">
        <v>31</v>
      </c>
      <c r="L5" s="23" t="s">
        <v>25</v>
      </c>
      <c r="M5" s="35" t="s">
        <v>96</v>
      </c>
    </row>
    <row r="6" spans="1:16" s="9" customFormat="1" ht="12.45" customHeight="1" x14ac:dyDescent="0.25">
      <c r="A6" s="3"/>
      <c r="B6" s="14" t="s">
        <v>97</v>
      </c>
      <c r="C6" s="14" t="s">
        <v>214</v>
      </c>
      <c r="D6" s="14" t="s">
        <v>215</v>
      </c>
      <c r="E6" s="14" t="s">
        <v>216</v>
      </c>
      <c r="F6" s="14" t="s">
        <v>217</v>
      </c>
      <c r="G6" s="14" t="s">
        <v>218</v>
      </c>
      <c r="H6" s="8" t="s">
        <v>219</v>
      </c>
      <c r="I6" s="8" t="s">
        <v>220</v>
      </c>
      <c r="J6" s="8" t="s">
        <v>221</v>
      </c>
      <c r="K6" s="8" t="s">
        <v>222</v>
      </c>
      <c r="L6" s="8" t="s">
        <v>223</v>
      </c>
      <c r="M6" s="14" t="s">
        <v>97</v>
      </c>
    </row>
    <row r="7" spans="1:16" s="9" customFormat="1" ht="12.45" customHeight="1" x14ac:dyDescent="0.25">
      <c r="A7" s="13"/>
      <c r="B7" s="35" t="s">
        <v>17</v>
      </c>
      <c r="C7" s="35"/>
      <c r="D7" s="35" t="s">
        <v>15</v>
      </c>
      <c r="E7" s="35"/>
      <c r="F7" s="35" t="s">
        <v>22</v>
      </c>
      <c r="G7" s="35" t="s">
        <v>103</v>
      </c>
      <c r="H7" s="23" t="s">
        <v>24</v>
      </c>
      <c r="I7" s="23" t="s">
        <v>23</v>
      </c>
      <c r="J7" s="23" t="s">
        <v>31</v>
      </c>
      <c r="K7" s="23" t="s">
        <v>31</v>
      </c>
      <c r="L7" s="23" t="s">
        <v>25</v>
      </c>
      <c r="M7" s="35" t="s">
        <v>17</v>
      </c>
    </row>
    <row r="8" spans="1:16" s="9" customFormat="1" ht="12.45" customHeight="1" x14ac:dyDescent="0.25">
      <c r="A8" s="3"/>
      <c r="B8" s="14" t="s">
        <v>32</v>
      </c>
      <c r="C8" s="14" t="s">
        <v>224</v>
      </c>
      <c r="D8" s="14" t="s">
        <v>225</v>
      </c>
      <c r="E8" s="14" t="s">
        <v>226</v>
      </c>
      <c r="F8" s="14" t="s">
        <v>227</v>
      </c>
      <c r="G8" s="14" t="s">
        <v>228</v>
      </c>
      <c r="H8" s="8" t="s">
        <v>229</v>
      </c>
      <c r="I8" s="8" t="s">
        <v>230</v>
      </c>
      <c r="J8" s="8" t="s">
        <v>231</v>
      </c>
      <c r="K8" s="8" t="s">
        <v>232</v>
      </c>
      <c r="L8" s="8" t="s">
        <v>233</v>
      </c>
      <c r="M8" s="14" t="s">
        <v>185</v>
      </c>
    </row>
    <row r="9" spans="1:16" s="9" customFormat="1" ht="10.55" customHeight="1" x14ac:dyDescent="0.25">
      <c r="A9" s="13"/>
      <c r="B9" s="15" t="str">
        <f>'TABLA 2'!B7</f>
        <v>Albania</v>
      </c>
      <c r="C9" s="5" t="str">
        <f>'TABLA 2'!C7</f>
        <v>A</v>
      </c>
      <c r="D9" s="24">
        <f>'TABLA 2'!J7</f>
        <v>193</v>
      </c>
      <c r="E9" s="5">
        <f>'TABLA 2'!P7</f>
        <v>1</v>
      </c>
      <c r="F9" s="25">
        <f>D9/LOOKUP(C9,'TABLA 4'!B$9:B$12,'TABLA 4'!E$9:E$12)</f>
        <v>5.3680896276270262E-4</v>
      </c>
      <c r="G9" s="25">
        <f>(E9+1)/(LOOKUP(C9,'TABLA 4'!B$9:B$12,'TABLA 4'!D$9:D$12)+LOOKUP(C9,'TABLA 4'!B$9:B$12,'TABLA 4'!C$9:C$12))</f>
        <v>4.3478260869565216E-2</v>
      </c>
      <c r="H9" s="26">
        <f t="shared" ref="H9:H63" si="0">1000/K$2</f>
        <v>864.99999999999989</v>
      </c>
      <c r="I9" s="26">
        <f>E9*H9</f>
        <v>864.99999999999989</v>
      </c>
      <c r="J9" s="26">
        <f>LOOKUP(C9,'TABLA 4'!B$9:B$12,'TABLA 4'!J$9:J$12)/3*G9</f>
        <v>57704.040974637683</v>
      </c>
      <c r="K9" s="26">
        <f>LOOKUP(C9,'TABLA 4'!B$9:B$12,'TABLA 4'!J$9:J$12)/3*2*F9</f>
        <v>1424.8981336093404</v>
      </c>
      <c r="L9" s="27">
        <f>SUM(H9:K9)</f>
        <v>60858.939108247025</v>
      </c>
      <c r="M9" s="17" t="str">
        <f>'TABLA 2'!B7</f>
        <v>Albania</v>
      </c>
      <c r="P9" s="64"/>
    </row>
    <row r="10" spans="1:16" s="1" customFormat="1" ht="10.55" customHeight="1" x14ac:dyDescent="0.25">
      <c r="A10" s="2"/>
      <c r="B10" s="15" t="str">
        <f>'TABLA 2'!B8</f>
        <v>Algérie</v>
      </c>
      <c r="C10" s="5" t="str">
        <f>'TABLA 2'!C8</f>
        <v>C</v>
      </c>
      <c r="D10" s="24">
        <f>'TABLA 2'!J8</f>
        <v>6009</v>
      </c>
      <c r="E10" s="5">
        <f>'TABLA 2'!P8</f>
        <v>2</v>
      </c>
      <c r="F10" s="25">
        <f>D10/LOOKUP(C10,'TABLA 4'!B$9:B$12,'TABLA 4'!E$9:E$12)</f>
        <v>1.505136098468814E-2</v>
      </c>
      <c r="G10" s="25">
        <f>(E10+1)/(LOOKUP(C10,'TABLA 4'!B$9:B$12,'TABLA 4'!D$9:D$12)+LOOKUP(C10,'TABLA 4'!B$9:B$12,'TABLA 4'!C$9:C$12))</f>
        <v>4.0540540540540543E-2</v>
      </c>
      <c r="H10" s="26">
        <f t="shared" si="0"/>
        <v>864.99999999999989</v>
      </c>
      <c r="I10" s="26">
        <f t="shared" ref="I10:I63" si="1">E10*H10</f>
        <v>1729.9999999999998</v>
      </c>
      <c r="J10" s="26">
        <f>LOOKUP(C10,'TABLA 4'!B$9:B$12,'TABLA 4'!J$9:J$12)/3*G10</f>
        <v>17321.442418918923</v>
      </c>
      <c r="K10" s="26">
        <f>LOOKUP(C10,'TABLA 4'!B$9:B$12,'TABLA 4'!J$9:J$12)/3*2*F10</f>
        <v>12861.756609383494</v>
      </c>
      <c r="L10" s="27">
        <f t="shared" ref="L10:L63" si="2">SUM(H10:K10)</f>
        <v>32778.199028302421</v>
      </c>
      <c r="M10" s="17" t="str">
        <f>'TABLA 2'!B8</f>
        <v>Algérie</v>
      </c>
      <c r="P10" s="64"/>
    </row>
    <row r="11" spans="1:16" s="1" customFormat="1" ht="10.55" customHeight="1" x14ac:dyDescent="0.25">
      <c r="A11" s="2"/>
      <c r="B11" s="15" t="str">
        <f>'TABLA 2'!B9</f>
        <v>Angola</v>
      </c>
      <c r="C11" s="5" t="str">
        <f>'TABLA 2'!C9</f>
        <v>D</v>
      </c>
      <c r="D11" s="24">
        <f>'TABLA 2'!J9</f>
        <v>3853</v>
      </c>
      <c r="E11" s="5">
        <f>'TABLA 2'!P9</f>
        <v>3</v>
      </c>
      <c r="F11" s="25">
        <f>D11/LOOKUP(C11,'TABLA 4'!B$9:B$12,'TABLA 4'!E$9:E$12)</f>
        <v>0.16700619825755278</v>
      </c>
      <c r="G11" s="25">
        <f>(E11+1)/(LOOKUP(C11,'TABLA 4'!B$9:B$12,'TABLA 4'!D$9:D$12)+LOOKUP(C11,'TABLA 4'!B$9:B$12,'TABLA 4'!C$9:C$12))</f>
        <v>7.5471698113207544E-2</v>
      </c>
      <c r="H11" s="26">
        <f t="shared" si="0"/>
        <v>864.99999999999989</v>
      </c>
      <c r="I11" s="26">
        <f t="shared" si="1"/>
        <v>2594.9999999999995</v>
      </c>
      <c r="J11" s="26">
        <f>LOOKUP(C11,'TABLA 4'!B$9:B$12,'TABLA 4'!J$9:J$12)/3*G11</f>
        <v>5698.5817798742146</v>
      </c>
      <c r="K11" s="26">
        <f>LOOKUP(C11,'TABLA 4'!B$9:B$12,'TABLA 4'!J$9:J$12)/3*2*F11</f>
        <v>25220.009680688603</v>
      </c>
      <c r="L11" s="27">
        <f t="shared" si="2"/>
        <v>34378.59146056282</v>
      </c>
      <c r="M11" s="17" t="str">
        <f>'TABLA 2'!B9</f>
        <v>Angola</v>
      </c>
      <c r="P11" s="64"/>
    </row>
    <row r="12" spans="1:16" s="1" customFormat="1" ht="10.55" customHeight="1" x14ac:dyDescent="0.25">
      <c r="A12" s="2"/>
      <c r="B12" s="15" t="str">
        <f>'TABLA 2'!B10</f>
        <v>Barbados</v>
      </c>
      <c r="C12" s="5" t="str">
        <f>'TABLA 2'!C10</f>
        <v>C</v>
      </c>
      <c r="D12" s="24">
        <f>'TABLA 2'!J10</f>
        <v>321</v>
      </c>
      <c r="E12" s="5">
        <f>'TABLA 2'!P10</f>
        <v>2</v>
      </c>
      <c r="F12" s="25">
        <f>D12/LOOKUP(C12,'TABLA 4'!B$9:B$12,'TABLA 4'!E$9:E$12)</f>
        <v>8.0404175005573185E-4</v>
      </c>
      <c r="G12" s="25">
        <f>(E12+1)/(LOOKUP(C12,'TABLA 4'!B$9:B$12,'TABLA 4'!D$9:D$12)+LOOKUP(C12,'TABLA 4'!B$9:B$12,'TABLA 4'!C$9:C$12))</f>
        <v>4.0540540540540543E-2</v>
      </c>
      <c r="H12" s="26">
        <f t="shared" si="0"/>
        <v>864.99999999999989</v>
      </c>
      <c r="I12" s="26">
        <f t="shared" si="1"/>
        <v>1729.9999999999998</v>
      </c>
      <c r="J12" s="26">
        <f>LOOKUP(C12,'TABLA 4'!B$9:B$12,'TABLA 4'!J$9:J$12)/3*G12</f>
        <v>17321.442418918923</v>
      </c>
      <c r="K12" s="26">
        <f>LOOKUP(C12,'TABLA 4'!B$9:B$12,'TABLA 4'!J$9:J$12)/3*2*F12</f>
        <v>687.07336854919311</v>
      </c>
      <c r="L12" s="27">
        <f t="shared" si="2"/>
        <v>20603.515787468117</v>
      </c>
      <c r="M12" s="17" t="str">
        <f>'TABLA 2'!B10</f>
        <v>Barbados</v>
      </c>
      <c r="P12" s="64"/>
    </row>
    <row r="13" spans="1:16" s="1" customFormat="1" ht="10.55" customHeight="1" x14ac:dyDescent="0.25">
      <c r="A13" s="2"/>
      <c r="B13" s="15" t="str">
        <f>'TABLA 2'!B11</f>
        <v>Belize</v>
      </c>
      <c r="C13" s="5" t="str">
        <f>'TABLA 2'!C11</f>
        <v>C</v>
      </c>
      <c r="D13" s="24">
        <f>'TABLA 2'!J11</f>
        <v>47390</v>
      </c>
      <c r="E13" s="5">
        <f>'TABLA 2'!P11</f>
        <v>4</v>
      </c>
      <c r="F13" s="25">
        <f>D13/LOOKUP(C13,'TABLA 4'!B$9:B$12,'TABLA 4'!E$9:E$12)</f>
        <v>0.11870261225900665</v>
      </c>
      <c r="G13" s="25">
        <f>(E13+1)/(LOOKUP(C13,'TABLA 4'!B$9:B$12,'TABLA 4'!D$9:D$12)+LOOKUP(C13,'TABLA 4'!B$9:B$12,'TABLA 4'!C$9:C$12))</f>
        <v>6.7567567567567571E-2</v>
      </c>
      <c r="H13" s="26">
        <f t="shared" si="0"/>
        <v>864.99999999999989</v>
      </c>
      <c r="I13" s="26">
        <f t="shared" si="1"/>
        <v>3459.9999999999995</v>
      </c>
      <c r="J13" s="26">
        <f>LOOKUP(C13,'TABLA 4'!B$9:B$12,'TABLA 4'!J$9:J$12)/3*G13</f>
        <v>28869.070698198204</v>
      </c>
      <c r="K13" s="26">
        <f>LOOKUP(C13,'TABLA 4'!B$9:B$12,'TABLA 4'!J$9:J$12)/3*2*F13</f>
        <v>101434.28951883571</v>
      </c>
      <c r="L13" s="27">
        <f t="shared" si="2"/>
        <v>134628.36021703391</v>
      </c>
      <c r="M13" s="17" t="str">
        <f>'TABLA 2'!B11</f>
        <v>Belize</v>
      </c>
      <c r="P13" s="64"/>
    </row>
    <row r="14" spans="1:16" s="1" customFormat="1" ht="10.55" customHeight="1" x14ac:dyDescent="0.25">
      <c r="A14" s="2"/>
      <c r="B14" s="15" t="str">
        <f>'TABLA 2'!B12</f>
        <v>Brazil</v>
      </c>
      <c r="C14" s="5" t="str">
        <f>'TABLA 2'!C12</f>
        <v>B</v>
      </c>
      <c r="D14" s="24">
        <f>'TABLA 2'!J12</f>
        <v>64342</v>
      </c>
      <c r="E14" s="5">
        <f>'TABLA 2'!P12</f>
        <v>3</v>
      </c>
      <c r="F14" s="25">
        <f>D14/LOOKUP(C14,'TABLA 4'!B$9:B$12,'TABLA 4'!E$9:E$12)</f>
        <v>0.54720029936045722</v>
      </c>
      <c r="G14" s="25">
        <f>(E14+1)/(LOOKUP(C14,'TABLA 4'!B$9:B$12,'TABLA 4'!D$9:D$12)+LOOKUP(C14,'TABLA 4'!B$9:B$12,'TABLA 4'!C$9:C$12))</f>
        <v>0.23529411764705882</v>
      </c>
      <c r="H14" s="26">
        <f t="shared" si="0"/>
        <v>864.99999999999989</v>
      </c>
      <c r="I14" s="26">
        <f t="shared" si="1"/>
        <v>2594.9999999999995</v>
      </c>
      <c r="J14" s="26">
        <f>LOOKUP(C14,'TABLA 4'!B$9:B$12,'TABLA 4'!J$9:J$12)/3*G14</f>
        <v>59162.48690196078</v>
      </c>
      <c r="K14" s="26">
        <f>LOOKUP(C14,'TABLA 4'!B$9:B$12,'TABLA 4'!J$9:J$12)/3*2*F14</f>
        <v>275176.70962112758</v>
      </c>
      <c r="L14" s="27">
        <f t="shared" si="2"/>
        <v>337799.19652308838</v>
      </c>
      <c r="M14" s="17" t="str">
        <f>'TABLA 2'!B12</f>
        <v>Brazil</v>
      </c>
      <c r="P14" s="64"/>
    </row>
    <row r="15" spans="1:16" s="1" customFormat="1" ht="10.55" customHeight="1" x14ac:dyDescent="0.25">
      <c r="A15" s="2"/>
      <c r="B15" s="15" t="str">
        <f>'TABLA 2'!B13</f>
        <v>Cabo Verde</v>
      </c>
      <c r="C15" s="5" t="str">
        <f>'TABLA 2'!C13</f>
        <v>C</v>
      </c>
      <c r="D15" s="24">
        <f>'TABLA 2'!J13</f>
        <v>9882</v>
      </c>
      <c r="E15" s="5">
        <f>'TABLA 2'!P13</f>
        <v>3</v>
      </c>
      <c r="F15" s="25">
        <f>D15/LOOKUP(C15,'TABLA 4'!B$9:B$12,'TABLA 4'!E$9:E$12)</f>
        <v>2.47524628475101E-2</v>
      </c>
      <c r="G15" s="25">
        <f>(E15+1)/(LOOKUP(C15,'TABLA 4'!B$9:B$12,'TABLA 4'!D$9:D$12)+LOOKUP(C15,'TABLA 4'!B$9:B$12,'TABLA 4'!C$9:C$12))</f>
        <v>5.4054054054054057E-2</v>
      </c>
      <c r="H15" s="26">
        <f t="shared" si="0"/>
        <v>864.99999999999989</v>
      </c>
      <c r="I15" s="26">
        <f t="shared" si="1"/>
        <v>2594.9999999999995</v>
      </c>
      <c r="J15" s="26">
        <f>LOOKUP(C15,'TABLA 4'!B$9:B$12,'TABLA 4'!J$9:J$12)/3*G15</f>
        <v>23095.256558558562</v>
      </c>
      <c r="K15" s="26">
        <f>LOOKUP(C15,'TABLA 4'!B$9:B$12,'TABLA 4'!J$9:J$12)/3*2*F15</f>
        <v>21151.585757019086</v>
      </c>
      <c r="L15" s="27">
        <f t="shared" si="2"/>
        <v>47706.842315577647</v>
      </c>
      <c r="M15" s="17" t="str">
        <f>'TABLA 2'!B13</f>
        <v>Cabo Verde</v>
      </c>
      <c r="P15" s="64"/>
    </row>
    <row r="16" spans="1:16" s="1" customFormat="1" ht="10.55" customHeight="1" x14ac:dyDescent="0.25">
      <c r="A16" s="2"/>
      <c r="B16" s="15" t="str">
        <f>'TABLA 2'!B14</f>
        <v>Canada</v>
      </c>
      <c r="C16" s="5" t="str">
        <f>'TABLA 2'!C14</f>
        <v>A</v>
      </c>
      <c r="D16" s="24">
        <f>'TABLA 2'!J14</f>
        <v>2966</v>
      </c>
      <c r="E16" s="5">
        <f>'TABLA 2'!P14</f>
        <v>3</v>
      </c>
      <c r="F16" s="25">
        <f>D16/LOOKUP(C16,'TABLA 4'!B$9:B$12,'TABLA 4'!E$9:E$12)</f>
        <v>8.249613386291068E-3</v>
      </c>
      <c r="G16" s="25">
        <f>(E16+1)/(LOOKUP(C16,'TABLA 4'!B$9:B$12,'TABLA 4'!D$9:D$12)+LOOKUP(C16,'TABLA 4'!B$9:B$12,'TABLA 4'!C$9:C$12))</f>
        <v>8.6956521739130432E-2</v>
      </c>
      <c r="H16" s="26">
        <f t="shared" si="0"/>
        <v>864.99999999999989</v>
      </c>
      <c r="I16" s="26">
        <f t="shared" si="1"/>
        <v>2594.9999999999995</v>
      </c>
      <c r="J16" s="26">
        <f>LOOKUP(C16,'TABLA 4'!B$9:B$12,'TABLA 4'!J$9:J$12)/3*G16</f>
        <v>115408.08194927537</v>
      </c>
      <c r="K16" s="26">
        <f>LOOKUP(C16,'TABLA 4'!B$9:B$12,'TABLA 4'!J$9:J$12)/3*2*F16</f>
        <v>21897.657327903129</v>
      </c>
      <c r="L16" s="27">
        <f t="shared" si="2"/>
        <v>140765.73927717848</v>
      </c>
      <c r="M16" s="17" t="str">
        <f>'TABLA 2'!B14</f>
        <v>Canada</v>
      </c>
      <c r="P16" s="64"/>
    </row>
    <row r="17" spans="1:16" s="1" customFormat="1" ht="10.55" customHeight="1" x14ac:dyDescent="0.25">
      <c r="A17" s="2"/>
      <c r="B17" s="15" t="str">
        <f>'TABLA 2'!B15</f>
        <v>China, People's Rep. of</v>
      </c>
      <c r="C17" s="5" t="str">
        <f>'TABLA 2'!C15</f>
        <v>B</v>
      </c>
      <c r="D17" s="24">
        <f>'TABLA 2'!J15</f>
        <v>5204</v>
      </c>
      <c r="E17" s="5">
        <f>'TABLA 2'!P15</f>
        <v>4</v>
      </c>
      <c r="F17" s="25">
        <f>D17/LOOKUP(C17,'TABLA 4'!B$9:B$12,'TABLA 4'!E$9:E$12)</f>
        <v>4.4257722139066542E-2</v>
      </c>
      <c r="G17" s="25">
        <f>(E17+1)/(LOOKUP(C17,'TABLA 4'!B$9:B$12,'TABLA 4'!D$9:D$12)+LOOKUP(C17,'TABLA 4'!B$9:B$12,'TABLA 4'!C$9:C$12))</f>
        <v>0.29411764705882354</v>
      </c>
      <c r="H17" s="26">
        <f t="shared" si="0"/>
        <v>864.99999999999989</v>
      </c>
      <c r="I17" s="26">
        <f t="shared" si="1"/>
        <v>3459.9999999999995</v>
      </c>
      <c r="J17" s="26">
        <f>LOOKUP(C17,'TABLA 4'!B$9:B$12,'TABLA 4'!J$9:J$12)/3*G17</f>
        <v>73953.108627450973</v>
      </c>
      <c r="K17" s="26">
        <f>LOOKUP(C17,'TABLA 4'!B$9:B$12,'TABLA 4'!J$9:J$12)/3*2*F17</f>
        <v>22256.373704086724</v>
      </c>
      <c r="L17" s="27">
        <f t="shared" si="2"/>
        <v>100534.4823315377</v>
      </c>
      <c r="M17" s="17" t="str">
        <f>'TABLA 2'!B15</f>
        <v>China, People's Rep. of</v>
      </c>
      <c r="P17" s="64"/>
    </row>
    <row r="18" spans="1:16" s="1" customFormat="1" ht="10.55" customHeight="1" x14ac:dyDescent="0.25">
      <c r="A18" s="2"/>
      <c r="B18" s="15" t="str">
        <f>'TABLA 2'!B16</f>
        <v>Costa Rica</v>
      </c>
      <c r="C18" s="5" t="str">
        <f>'TABLA 2'!C16</f>
        <v>C</v>
      </c>
      <c r="D18" s="24">
        <f>'TABLA 2'!J16</f>
        <v>142</v>
      </c>
      <c r="E18" s="5">
        <f>'TABLA 2'!P16</f>
        <v>2</v>
      </c>
      <c r="F18" s="25">
        <f>D18/LOOKUP(C18,'TABLA 4'!B$9:B$12,'TABLA 4'!E$9:E$12)</f>
        <v>3.5568202027387515E-4</v>
      </c>
      <c r="G18" s="25">
        <f>(E18+1)/(LOOKUP(C18,'TABLA 4'!B$9:B$12,'TABLA 4'!D$9:D$12)+LOOKUP(C18,'TABLA 4'!B$9:B$12,'TABLA 4'!C$9:C$12))</f>
        <v>4.0540540540540543E-2</v>
      </c>
      <c r="H18" s="26">
        <f t="shared" si="0"/>
        <v>864.99999999999989</v>
      </c>
      <c r="I18" s="26">
        <f t="shared" si="1"/>
        <v>1729.9999999999998</v>
      </c>
      <c r="J18" s="26">
        <f>LOOKUP(C18,'TABLA 4'!B$9:B$12,'TABLA 4'!J$9:J$12)/3*G18</f>
        <v>17321.442418918923</v>
      </c>
      <c r="K18" s="26">
        <f>LOOKUP(C18,'TABLA 4'!B$9:B$12,'TABLA 4'!J$9:J$12)/3*2*F18</f>
        <v>303.93899792518823</v>
      </c>
      <c r="L18" s="27">
        <f t="shared" si="2"/>
        <v>20220.381416844109</v>
      </c>
      <c r="M18" s="17" t="str">
        <f>'TABLA 2'!B16</f>
        <v>Costa Rica</v>
      </c>
      <c r="P18" s="64"/>
    </row>
    <row r="19" spans="1:16" s="1" customFormat="1" ht="10.55" customHeight="1" x14ac:dyDescent="0.25">
      <c r="A19" s="2"/>
      <c r="B19" s="15" t="str">
        <f>'TABLA 2'!B17</f>
        <v>Côte d'Ivoire</v>
      </c>
      <c r="C19" s="5" t="str">
        <f>'TABLA 2'!C17</f>
        <v>C</v>
      </c>
      <c r="D19" s="24">
        <f>'TABLA 2'!J17</f>
        <v>19236</v>
      </c>
      <c r="E19" s="5">
        <f>'TABLA 2'!P17</f>
        <v>3</v>
      </c>
      <c r="F19" s="25">
        <f>D19/LOOKUP(C19,'TABLA 4'!B$9:B$12,'TABLA 4'!E$9:E$12)</f>
        <v>4.818238973231171E-2</v>
      </c>
      <c r="G19" s="25">
        <f>(E19+1)/(LOOKUP(C19,'TABLA 4'!B$9:B$12,'TABLA 4'!D$9:D$12)+LOOKUP(C19,'TABLA 4'!B$9:B$12,'TABLA 4'!C$9:C$12))</f>
        <v>5.4054054054054057E-2</v>
      </c>
      <c r="H19" s="26">
        <f t="shared" si="0"/>
        <v>864.99999999999989</v>
      </c>
      <c r="I19" s="26">
        <f t="shared" si="1"/>
        <v>2594.9999999999995</v>
      </c>
      <c r="J19" s="26">
        <f>LOOKUP(C19,'TABLA 4'!B$9:B$12,'TABLA 4'!J$9:J$12)/3*G19</f>
        <v>23095.256558558562</v>
      </c>
      <c r="K19" s="26">
        <f>LOOKUP(C19,'TABLA 4'!B$9:B$12,'TABLA 4'!J$9:J$12)/3*2*F19</f>
        <v>41173.032141471274</v>
      </c>
      <c r="L19" s="27">
        <f t="shared" si="2"/>
        <v>67728.288700029836</v>
      </c>
      <c r="M19" s="17" t="str">
        <f>'TABLA 2'!B17</f>
        <v>Côte d'Ivoire</v>
      </c>
      <c r="P19" s="64"/>
    </row>
    <row r="20" spans="1:16" s="1" customFormat="1" ht="10.55" customHeight="1" x14ac:dyDescent="0.25">
      <c r="A20" s="2"/>
      <c r="B20" s="15" t="str">
        <f>'TABLA 2'!B18</f>
        <v>Cuba</v>
      </c>
      <c r="C20" s="5" t="str">
        <f>'TABLA 2'!C18</f>
        <v>C</v>
      </c>
      <c r="D20" s="24">
        <f>'TABLA 2'!J18</f>
        <v>0</v>
      </c>
      <c r="E20" s="5">
        <f>'TABLA 2'!P18</f>
        <v>3</v>
      </c>
      <c r="F20" s="25">
        <f>D20/LOOKUP(C20,'TABLA 4'!B$9:B$12,'TABLA 4'!E$9:E$12)</f>
        <v>0</v>
      </c>
      <c r="G20" s="25">
        <f>(E20+1)/(LOOKUP(C20,'TABLA 4'!B$9:B$12,'TABLA 4'!D$9:D$12)+LOOKUP(C20,'TABLA 4'!B$9:B$12,'TABLA 4'!C$9:C$12))</f>
        <v>5.4054054054054057E-2</v>
      </c>
      <c r="H20" s="26">
        <f t="shared" si="0"/>
        <v>864.99999999999989</v>
      </c>
      <c r="I20" s="26">
        <f t="shared" si="1"/>
        <v>2594.9999999999995</v>
      </c>
      <c r="J20" s="26">
        <f>LOOKUP(C20,'TABLA 4'!B$9:B$12,'TABLA 4'!J$9:J$12)/3*G20</f>
        <v>23095.256558558562</v>
      </c>
      <c r="K20" s="26">
        <f>LOOKUP(C20,'TABLA 4'!B$9:B$12,'TABLA 4'!J$9:J$12)/3*2*F20</f>
        <v>0</v>
      </c>
      <c r="L20" s="27">
        <f t="shared" si="2"/>
        <v>26555.256558558562</v>
      </c>
      <c r="M20" s="17" t="str">
        <f>'TABLA 2'!B18</f>
        <v>Cuba</v>
      </c>
      <c r="P20" s="64"/>
    </row>
    <row r="21" spans="1:16" s="1" customFormat="1" ht="10.55" customHeight="1" x14ac:dyDescent="0.25">
      <c r="A21" s="2"/>
      <c r="B21" s="15" t="str">
        <f>'TABLA 2'!B19</f>
        <v>Curaçao</v>
      </c>
      <c r="C21" s="5" t="str">
        <f>'TABLA 2'!C19</f>
        <v>A</v>
      </c>
      <c r="D21" s="24">
        <f>'TABLA 2'!J19</f>
        <v>11487</v>
      </c>
      <c r="E21" s="5">
        <f>'TABLA 2'!P19</f>
        <v>1</v>
      </c>
      <c r="F21" s="25">
        <f>D21/LOOKUP(C21,'TABLA 4'!B$9:B$12,'TABLA 4'!E$9:E$12)</f>
        <v>3.194986816194386E-2</v>
      </c>
      <c r="G21" s="25">
        <f>(E21+1)/(LOOKUP(C21,'TABLA 4'!B$9:B$12,'TABLA 4'!D$9:D$12)+LOOKUP(C21,'TABLA 4'!B$9:B$12,'TABLA 4'!C$9:C$12))</f>
        <v>4.3478260869565216E-2</v>
      </c>
      <c r="H21" s="26">
        <f t="shared" si="0"/>
        <v>864.99999999999989</v>
      </c>
      <c r="I21" s="26">
        <f t="shared" si="1"/>
        <v>864.99999999999989</v>
      </c>
      <c r="J21" s="26">
        <f>LOOKUP(C21,'TABLA 4'!B$9:B$12,'TABLA 4'!J$9:J$12)/3*G21</f>
        <v>57704.040974637683</v>
      </c>
      <c r="K21" s="26">
        <f>LOOKUP(C21,'TABLA 4'!B$9:B$12,'TABLA 4'!J$9:J$12)/3*2*F21</f>
        <v>84807.279071349709</v>
      </c>
      <c r="L21" s="27">
        <f t="shared" si="2"/>
        <v>144241.32004598738</v>
      </c>
      <c r="M21" s="17" t="str">
        <f>'TABLA 2'!B19</f>
        <v>Curaçao</v>
      </c>
      <c r="P21" s="64"/>
    </row>
    <row r="22" spans="1:16" s="1" customFormat="1" ht="10.55" customHeight="1" x14ac:dyDescent="0.25">
      <c r="A22" s="2"/>
      <c r="B22" s="15" t="str">
        <f>'TABLA 2'!B20</f>
        <v>Egypt</v>
      </c>
      <c r="C22" s="5" t="str">
        <f>'TABLA 2'!C20</f>
        <v>D</v>
      </c>
      <c r="D22" s="24">
        <f>'TABLA 2'!J20</f>
        <v>489</v>
      </c>
      <c r="E22" s="5">
        <f>'TABLA 2'!P20</f>
        <v>2</v>
      </c>
      <c r="F22" s="25">
        <f>D22/LOOKUP(C22,'TABLA 4'!B$9:B$12,'TABLA 4'!E$9:E$12)</f>
        <v>2.1195440162975164E-2</v>
      </c>
      <c r="G22" s="25">
        <f>(E22+1)/(LOOKUP(C22,'TABLA 4'!B$9:B$12,'TABLA 4'!D$9:D$12)+LOOKUP(C22,'TABLA 4'!B$9:B$12,'TABLA 4'!C$9:C$12))</f>
        <v>5.6603773584905662E-2</v>
      </c>
      <c r="H22" s="26">
        <f t="shared" si="0"/>
        <v>864.99999999999989</v>
      </c>
      <c r="I22" s="26">
        <f t="shared" si="1"/>
        <v>1729.9999999999998</v>
      </c>
      <c r="J22" s="26">
        <f>LOOKUP(C22,'TABLA 4'!B$9:B$12,'TABLA 4'!J$9:J$12)/3*G22</f>
        <v>4273.9363349056612</v>
      </c>
      <c r="K22" s="26">
        <f>LOOKUP(C22,'TABLA 4'!B$9:B$12,'TABLA 4'!J$9:J$12)/3*2*F22</f>
        <v>3200.7746519223269</v>
      </c>
      <c r="L22" s="27">
        <f t="shared" si="2"/>
        <v>10069.710986827988</v>
      </c>
      <c r="M22" s="17" t="str">
        <f>'TABLA 2'!B20</f>
        <v>Egypt</v>
      </c>
      <c r="P22" s="64"/>
    </row>
    <row r="23" spans="1:16" s="1" customFormat="1" ht="10.55" customHeight="1" x14ac:dyDescent="0.25">
      <c r="A23" s="2"/>
      <c r="B23" s="15" t="str">
        <f>'TABLA 2'!B21</f>
        <v>El Salvador</v>
      </c>
      <c r="C23" s="5" t="str">
        <f>'TABLA 2'!C21</f>
        <v>C</v>
      </c>
      <c r="D23" s="24">
        <f>'TABLA 2'!J21</f>
        <v>18613</v>
      </c>
      <c r="E23" s="5">
        <f>'TABLA 2'!P21</f>
        <v>1</v>
      </c>
      <c r="F23" s="25">
        <f>D23/LOOKUP(C23,'TABLA 4'!B$9:B$12,'TABLA 4'!E$9:E$12)</f>
        <v>4.6621897488434073E-2</v>
      </c>
      <c r="G23" s="25">
        <f>(E23+1)/(LOOKUP(C23,'TABLA 4'!B$9:B$12,'TABLA 4'!D$9:D$12)+LOOKUP(C23,'TABLA 4'!B$9:B$12,'TABLA 4'!C$9:C$12))</f>
        <v>2.7027027027027029E-2</v>
      </c>
      <c r="H23" s="26">
        <f t="shared" si="0"/>
        <v>864.99999999999989</v>
      </c>
      <c r="I23" s="26">
        <f t="shared" si="1"/>
        <v>864.99999999999989</v>
      </c>
      <c r="J23" s="26">
        <f>LOOKUP(C23,'TABLA 4'!B$9:B$12,'TABLA 4'!J$9:J$12)/3*G23</f>
        <v>11547.628279279281</v>
      </c>
      <c r="K23" s="26">
        <f>LOOKUP(C23,'TABLA 4'!B$9:B$12,'TABLA 4'!J$9:J$12)/3*2*F23</f>
        <v>39839.553298461469</v>
      </c>
      <c r="L23" s="27">
        <f t="shared" si="2"/>
        <v>53117.181577740746</v>
      </c>
      <c r="M23" s="17" t="str">
        <f>'TABLA 2'!B21</f>
        <v>El Salvador</v>
      </c>
      <c r="P23" s="64"/>
    </row>
    <row r="24" spans="1:16" s="1" customFormat="1" ht="10.55" customHeight="1" x14ac:dyDescent="0.25">
      <c r="A24" s="2"/>
      <c r="B24" s="15" t="str">
        <f>'TABLA 2'!B22</f>
        <v>France (St. P. &amp; M.)</v>
      </c>
      <c r="C24" s="5" t="str">
        <f>'TABLA 2'!C22</f>
        <v>A</v>
      </c>
      <c r="D24" s="24">
        <f>'TABLA 2'!J22</f>
        <v>77</v>
      </c>
      <c r="E24" s="5">
        <f>'TABLA 2'!P22</f>
        <v>3</v>
      </c>
      <c r="F24" s="25">
        <f>D24/LOOKUP(C24,'TABLA 4'!B$9:B$12,'TABLA 4'!E$9:E$12)</f>
        <v>2.1416730638719223E-4</v>
      </c>
      <c r="G24" s="25">
        <f>(E24+1)/(LOOKUP(C24,'TABLA 4'!B$9:B$12,'TABLA 4'!D$9:D$12)+LOOKUP(C24,'TABLA 4'!B$9:B$12,'TABLA 4'!C$9:C$12))</f>
        <v>8.6956521739130432E-2</v>
      </c>
      <c r="H24" s="26">
        <f t="shared" si="0"/>
        <v>864.99999999999989</v>
      </c>
      <c r="I24" s="26">
        <f t="shared" si="1"/>
        <v>2594.9999999999995</v>
      </c>
      <c r="J24" s="26">
        <f>LOOKUP(C24,'TABLA 4'!B$9:B$12,'TABLA 4'!J$9:J$12)/3*G24</f>
        <v>115408.08194927537</v>
      </c>
      <c r="K24" s="26">
        <f>LOOKUP(C24,'TABLA 4'!B$9:B$12,'TABLA 4'!J$9:J$12)/3*2*F24</f>
        <v>568.4826750669389</v>
      </c>
      <c r="L24" s="27">
        <f t="shared" si="2"/>
        <v>119436.56462434231</v>
      </c>
      <c r="M24" s="17" t="str">
        <f>'TABLA 2'!B22</f>
        <v>France (St. P. &amp; M.)</v>
      </c>
      <c r="P24" s="64"/>
    </row>
    <row r="25" spans="1:16" s="1" customFormat="1" ht="10.55" customHeight="1" x14ac:dyDescent="0.25">
      <c r="A25" s="2"/>
      <c r="B25" s="15" t="str">
        <f>'TABLA 2'!B23</f>
        <v>Gabon</v>
      </c>
      <c r="C25" s="5" t="str">
        <f>'TABLA 2'!C23</f>
        <v>D</v>
      </c>
      <c r="D25" s="24">
        <f>'TABLA 2'!J23</f>
        <v>258</v>
      </c>
      <c r="E25" s="5">
        <f>'TABLA 2'!P23</f>
        <v>2</v>
      </c>
      <c r="F25" s="25">
        <f>D25/LOOKUP(C25,'TABLA 4'!B$9:B$12,'TABLA 4'!E$9:E$12)</f>
        <v>1.1182870270035975E-2</v>
      </c>
      <c r="G25" s="25">
        <f>(E25+1)/(LOOKUP(C25,'TABLA 4'!B$9:B$12,'TABLA 4'!D$9:D$12)+LOOKUP(C25,'TABLA 4'!B$9:B$12,'TABLA 4'!C$9:C$12))</f>
        <v>5.6603773584905662E-2</v>
      </c>
      <c r="H25" s="26">
        <f t="shared" si="0"/>
        <v>864.99999999999989</v>
      </c>
      <c r="I25" s="26">
        <f t="shared" si="1"/>
        <v>1729.9999999999998</v>
      </c>
      <c r="J25" s="26">
        <f>LOOKUP(C25,'TABLA 4'!B$9:B$12,'TABLA 4'!J$9:J$12)/3*G25</f>
        <v>4273.9363349056612</v>
      </c>
      <c r="K25" s="26">
        <f>LOOKUP(C25,'TABLA 4'!B$9:B$12,'TABLA 4'!J$9:J$12)/3*2*F25</f>
        <v>1688.7522703393872</v>
      </c>
      <c r="L25" s="27">
        <f t="shared" si="2"/>
        <v>8557.6886052450482</v>
      </c>
      <c r="M25" s="17" t="str">
        <f>'TABLA 2'!B23</f>
        <v>Gabon</v>
      </c>
      <c r="P25" s="64"/>
    </row>
    <row r="26" spans="1:16" s="1" customFormat="1" ht="10.55" customHeight="1" x14ac:dyDescent="0.25">
      <c r="A26" s="2"/>
      <c r="B26" s="15" t="str">
        <f>'TABLA 2'!B24</f>
        <v>Gambia</v>
      </c>
      <c r="C26" s="5" t="str">
        <f>'TABLA 2'!C24</f>
        <v>D</v>
      </c>
      <c r="D26" s="24">
        <f>'TABLA 2'!J24</f>
        <v>3591</v>
      </c>
      <c r="E26" s="5">
        <f>'TABLA 2'!P24</f>
        <v>2</v>
      </c>
      <c r="F26" s="25">
        <f>D26/LOOKUP(C26,'TABLA 4'!B$9:B$12,'TABLA 4'!E$9:E$12)</f>
        <v>0.15564995015387284</v>
      </c>
      <c r="G26" s="25">
        <f>(E26+1)/(LOOKUP(C26,'TABLA 4'!B$9:B$12,'TABLA 4'!D$9:D$12)+LOOKUP(C26,'TABLA 4'!B$9:B$12,'TABLA 4'!C$9:C$12))</f>
        <v>5.6603773584905662E-2</v>
      </c>
      <c r="H26" s="26">
        <f t="shared" si="0"/>
        <v>864.99999999999989</v>
      </c>
      <c r="I26" s="26">
        <f t="shared" si="1"/>
        <v>1729.9999999999998</v>
      </c>
      <c r="J26" s="26">
        <f>LOOKUP(C26,'TABLA 4'!B$9:B$12,'TABLA 4'!J$9:J$12)/3*G26</f>
        <v>4273.9363349056612</v>
      </c>
      <c r="K26" s="26">
        <f>LOOKUP(C26,'TABLA 4'!B$9:B$12,'TABLA 4'!J$9:J$12)/3*2*F26</f>
        <v>23505.075204607521</v>
      </c>
      <c r="L26" s="27">
        <f t="shared" si="2"/>
        <v>30374.01153951318</v>
      </c>
      <c r="M26" s="17" t="str">
        <f>'TABLA 2'!B24</f>
        <v>Gambia</v>
      </c>
      <c r="P26" s="64"/>
    </row>
    <row r="27" spans="1:16" s="1" customFormat="1" ht="10.55" customHeight="1" x14ac:dyDescent="0.25">
      <c r="A27" s="2"/>
      <c r="B27" s="15" t="str">
        <f>'TABLA 2'!B25</f>
        <v>Ghana</v>
      </c>
      <c r="C27" s="5" t="str">
        <f>'TABLA 2'!C25</f>
        <v>C</v>
      </c>
      <c r="D27" s="24">
        <f>'TABLA 2'!J25</f>
        <v>125993</v>
      </c>
      <c r="E27" s="5">
        <f>'TABLA 2'!P25</f>
        <v>1</v>
      </c>
      <c r="F27" s="25">
        <f>D27/LOOKUP(C27,'TABLA 4'!B$9:B$12,'TABLA 4'!E$9:E$12)</f>
        <v>0.31558763929835459</v>
      </c>
      <c r="G27" s="25">
        <f>(E27+1)/(LOOKUP(C27,'TABLA 4'!B$9:B$12,'TABLA 4'!D$9:D$12)+LOOKUP(C27,'TABLA 4'!B$9:B$12,'TABLA 4'!C$9:C$12))</f>
        <v>2.7027027027027029E-2</v>
      </c>
      <c r="H27" s="26">
        <f t="shared" si="0"/>
        <v>864.99999999999989</v>
      </c>
      <c r="I27" s="26">
        <f t="shared" si="1"/>
        <v>864.99999999999989</v>
      </c>
      <c r="J27" s="26">
        <f>LOOKUP(C27,'TABLA 4'!B$9:B$12,'TABLA 4'!J$9:J$12)/3*G27</f>
        <v>11547.628279279281</v>
      </c>
      <c r="K27" s="26">
        <f>LOOKUP(C27,'TABLA 4'!B$9:B$12,'TABLA 4'!J$9:J$12)/3*2*F27</f>
        <v>269677.3673632975</v>
      </c>
      <c r="L27" s="27">
        <f t="shared" si="2"/>
        <v>282954.99564257677</v>
      </c>
      <c r="M27" s="17" t="str">
        <f>'TABLA 2'!B25</f>
        <v>Ghana</v>
      </c>
      <c r="P27" s="64"/>
    </row>
    <row r="28" spans="1:16" s="1" customFormat="1" ht="10.55" customHeight="1" x14ac:dyDescent="0.25">
      <c r="A28" s="2"/>
      <c r="B28" s="15" t="str">
        <f>'TABLA 2'!B26</f>
        <v>Grenada</v>
      </c>
      <c r="C28" s="5" t="str">
        <f>'TABLA 2'!C26</f>
        <v>C</v>
      </c>
      <c r="D28" s="24">
        <f>'TABLA 2'!J26</f>
        <v>1395</v>
      </c>
      <c r="E28" s="5">
        <f>'TABLA 2'!P26</f>
        <v>0</v>
      </c>
      <c r="F28" s="25">
        <f>D28/LOOKUP(C28,'TABLA 4'!B$9:B$12,'TABLA 4'!E$9:E$12)</f>
        <v>3.4942001287468719E-3</v>
      </c>
      <c r="G28" s="25">
        <f>(E28+1)/(LOOKUP(C28,'TABLA 4'!B$9:B$12,'TABLA 4'!D$9:D$12)+LOOKUP(C28,'TABLA 4'!B$9:B$12,'TABLA 4'!C$9:C$12))</f>
        <v>1.3513513513513514E-2</v>
      </c>
      <c r="H28" s="26">
        <f t="shared" si="0"/>
        <v>864.99999999999989</v>
      </c>
      <c r="I28" s="26">
        <f t="shared" si="1"/>
        <v>0</v>
      </c>
      <c r="J28" s="26">
        <f>LOOKUP(C28,'TABLA 4'!B$9:B$12,'TABLA 4'!J$9:J$12)/3*G28</f>
        <v>5773.8141396396404</v>
      </c>
      <c r="K28" s="26">
        <f>LOOKUP(C28,'TABLA 4'!B$9:B$12,'TABLA 4'!J$9:J$12)/3*2*F28</f>
        <v>2985.8795922932222</v>
      </c>
      <c r="L28" s="27">
        <f t="shared" si="2"/>
        <v>9624.6937319328626</v>
      </c>
      <c r="M28" s="17" t="str">
        <f>'TABLA 2'!B26</f>
        <v>Grenada</v>
      </c>
      <c r="P28" s="64"/>
    </row>
    <row r="29" spans="1:16" s="1" customFormat="1" ht="10.55" customHeight="1" x14ac:dyDescent="0.25">
      <c r="A29" s="2"/>
      <c r="B29" s="15" t="str">
        <f>'TABLA 2'!B27</f>
        <v>Guatemala, Rep. de</v>
      </c>
      <c r="C29" s="5" t="str">
        <f>'TABLA 2'!C27</f>
        <v>C</v>
      </c>
      <c r="D29" s="24">
        <f>'TABLA 2'!J27</f>
        <v>10907</v>
      </c>
      <c r="E29" s="5">
        <f>'TABLA 2'!P27</f>
        <v>2</v>
      </c>
      <c r="F29" s="25">
        <f>D29/LOOKUP(C29,'TABLA 4'!B$9:B$12,'TABLA 4'!E$9:E$12)</f>
        <v>2.7319885881177158E-2</v>
      </c>
      <c r="G29" s="25">
        <f>(E29+1)/(LOOKUP(C29,'TABLA 4'!B$9:B$12,'TABLA 4'!D$9:D$12)+LOOKUP(C29,'TABLA 4'!B$9:B$12,'TABLA 4'!C$9:C$12))</f>
        <v>4.0540540540540543E-2</v>
      </c>
      <c r="H29" s="26">
        <f t="shared" si="0"/>
        <v>864.99999999999989</v>
      </c>
      <c r="I29" s="26">
        <f t="shared" si="1"/>
        <v>1729.9999999999998</v>
      </c>
      <c r="J29" s="26">
        <f>LOOKUP(C29,'TABLA 4'!B$9:B$12,'TABLA 4'!J$9:J$12)/3*G29</f>
        <v>17321.442418918923</v>
      </c>
      <c r="K29" s="26">
        <f>LOOKUP(C29,'TABLA 4'!B$9:B$12,'TABLA 4'!J$9:J$12)/3*2*F29</f>
        <v>23345.511622324142</v>
      </c>
      <c r="L29" s="27">
        <f t="shared" si="2"/>
        <v>43261.954041243065</v>
      </c>
      <c r="M29" s="17" t="str">
        <f>'TABLA 2'!B27</f>
        <v>Guatemala, Rep. de</v>
      </c>
      <c r="P29" s="64"/>
    </row>
    <row r="30" spans="1:16" s="1" customFormat="1" ht="10.55" customHeight="1" x14ac:dyDescent="0.25">
      <c r="A30" s="2"/>
      <c r="B30" s="15" t="str">
        <f>'TABLA 2'!B28</f>
        <v>Guinea Ecuatorial</v>
      </c>
      <c r="C30" s="5" t="str">
        <f>'TABLA 2'!C28</f>
        <v>D</v>
      </c>
      <c r="D30" s="24">
        <f>'TABLA 2'!J28</f>
        <v>214</v>
      </c>
      <c r="E30" s="5">
        <f>'TABLA 2'!P28</f>
        <v>2</v>
      </c>
      <c r="F30" s="25">
        <f>D30/LOOKUP(C30,'TABLA 4'!B$9:B$12,'TABLA 4'!E$9:E$12)</f>
        <v>9.2757140999523216E-3</v>
      </c>
      <c r="G30" s="25">
        <f>(E30+1)/(LOOKUP(C30,'TABLA 4'!B$9:B$12,'TABLA 4'!D$9:D$12)+LOOKUP(C30,'TABLA 4'!B$9:B$12,'TABLA 4'!C$9:C$12))</f>
        <v>5.6603773584905662E-2</v>
      </c>
      <c r="H30" s="26">
        <f t="shared" si="0"/>
        <v>864.99999999999989</v>
      </c>
      <c r="I30" s="26">
        <f t="shared" si="1"/>
        <v>1729.9999999999998</v>
      </c>
      <c r="J30" s="26">
        <f>LOOKUP(C30,'TABLA 4'!B$9:B$12,'TABLA 4'!J$9:J$12)/3*G30</f>
        <v>4273.9363349056612</v>
      </c>
      <c r="K30" s="26">
        <f>LOOKUP(C30,'TABLA 4'!B$9:B$12,'TABLA 4'!J$9:J$12)/3*2*F30</f>
        <v>1400.7480071807322</v>
      </c>
      <c r="L30" s="27">
        <f t="shared" si="2"/>
        <v>8269.6843420863916</v>
      </c>
      <c r="M30" s="17" t="str">
        <f>'TABLA 2'!B28</f>
        <v>Guinea Ecuatorial</v>
      </c>
      <c r="P30" s="64"/>
    </row>
    <row r="31" spans="1:16" s="1" customFormat="1" ht="10.55" customHeight="1" x14ac:dyDescent="0.25">
      <c r="A31" s="2"/>
      <c r="B31" s="15" t="str">
        <f>'TABLA 2'!B29</f>
        <v>Guinea, Rep. of</v>
      </c>
      <c r="C31" s="5" t="str">
        <f>'TABLA 2'!C29</f>
        <v>D</v>
      </c>
      <c r="D31" s="24">
        <f>'TABLA 2'!J29</f>
        <v>4219</v>
      </c>
      <c r="E31" s="5">
        <f>'TABLA 2'!P29</f>
        <v>2</v>
      </c>
      <c r="F31" s="25">
        <f>D31/LOOKUP(C31,'TABLA 4'!B$9:B$12,'TABLA 4'!E$9:E$12)</f>
        <v>0.18287027003597589</v>
      </c>
      <c r="G31" s="25">
        <f>(E31+1)/(LOOKUP(C31,'TABLA 4'!B$9:B$12,'TABLA 4'!D$9:D$12)+LOOKUP(C31,'TABLA 4'!B$9:B$12,'TABLA 4'!C$9:C$12))</f>
        <v>5.6603773584905662E-2</v>
      </c>
      <c r="H31" s="26">
        <f t="shared" si="0"/>
        <v>864.99999999999989</v>
      </c>
      <c r="I31" s="26">
        <f t="shared" si="1"/>
        <v>1729.9999999999998</v>
      </c>
      <c r="J31" s="26">
        <f>LOOKUP(C31,'TABLA 4'!B$9:B$12,'TABLA 4'!J$9:J$12)/3*G31</f>
        <v>4273.9363349056612</v>
      </c>
      <c r="K31" s="26">
        <f>LOOKUP(C31,'TABLA 4'!B$9:B$12,'TABLA 4'!J$9:J$12)/3*2*F31</f>
        <v>27615.681506053777</v>
      </c>
      <c r="L31" s="27">
        <f t="shared" si="2"/>
        <v>34484.617840959436</v>
      </c>
      <c r="M31" s="17" t="str">
        <f>'TABLA 2'!B29</f>
        <v>Guinea, Rep. of</v>
      </c>
      <c r="P31" s="64"/>
    </row>
    <row r="32" spans="1:16" s="1" customFormat="1" ht="10.55" customHeight="1" x14ac:dyDescent="0.25">
      <c r="A32" s="2"/>
      <c r="B32" s="15" t="str">
        <f>'TABLA 2'!B30</f>
        <v>Guinée-Bissau</v>
      </c>
      <c r="C32" s="5" t="str">
        <f>'TABLA 2'!C30</f>
        <v>D</v>
      </c>
      <c r="D32" s="24">
        <f>'TABLA 2'!J30</f>
        <v>0</v>
      </c>
      <c r="E32" s="5">
        <f>'TABLA 2'!P30</f>
        <v>2</v>
      </c>
      <c r="F32" s="25">
        <f>D32/LOOKUP(C32,'TABLA 4'!B$9:B$12,'TABLA 4'!E$9:E$12)</f>
        <v>0</v>
      </c>
      <c r="G32" s="25">
        <f>(E32+1)/(LOOKUP(C32,'TABLA 4'!B$9:B$12,'TABLA 4'!D$9:D$12)+LOOKUP(C32,'TABLA 4'!B$9:B$12,'TABLA 4'!C$9:C$12))</f>
        <v>5.6603773584905662E-2</v>
      </c>
      <c r="H32" s="26">
        <f t="shared" si="0"/>
        <v>864.99999999999989</v>
      </c>
      <c r="I32" s="26">
        <f t="shared" si="1"/>
        <v>1729.9999999999998</v>
      </c>
      <c r="J32" s="26">
        <f>LOOKUP(C32,'TABLA 4'!B$9:B$12,'TABLA 4'!J$9:J$12)/3*G32</f>
        <v>4273.9363349056612</v>
      </c>
      <c r="K32" s="26">
        <f>LOOKUP(C32,'TABLA 4'!B$9:B$12,'TABLA 4'!J$9:J$12)/3*2*F32</f>
        <v>0</v>
      </c>
      <c r="L32" s="27">
        <f t="shared" si="2"/>
        <v>6868.9363349056603</v>
      </c>
      <c r="M32" s="17" t="str">
        <f>'TABLA 2'!B30</f>
        <v>Guinée-Bissau</v>
      </c>
      <c r="P32" s="64"/>
    </row>
    <row r="33" spans="1:16" s="1" customFormat="1" ht="10.55" customHeight="1" x14ac:dyDescent="0.25">
      <c r="A33" s="2"/>
      <c r="B33" s="15" t="str">
        <f>'TABLA 2'!B31</f>
        <v>Honduras</v>
      </c>
      <c r="C33" s="5" t="str">
        <f>'TABLA 2'!C31</f>
        <v>D</v>
      </c>
      <c r="D33" s="24">
        <f>'TABLA 2'!J31</f>
        <v>0</v>
      </c>
      <c r="E33" s="5">
        <f>'TABLA 2'!P31</f>
        <v>2</v>
      </c>
      <c r="F33" s="25">
        <f>D33/LOOKUP(C33,'TABLA 4'!B$9:B$12,'TABLA 4'!E$9:E$12)</f>
        <v>0</v>
      </c>
      <c r="G33" s="25">
        <f>(E33+1)/(LOOKUP(C33,'TABLA 4'!B$9:B$12,'TABLA 4'!D$9:D$12)+LOOKUP(C33,'TABLA 4'!B$9:B$12,'TABLA 4'!C$9:C$12))</f>
        <v>5.6603773584905662E-2</v>
      </c>
      <c r="H33" s="26">
        <f t="shared" si="0"/>
        <v>864.99999999999989</v>
      </c>
      <c r="I33" s="26">
        <f t="shared" si="1"/>
        <v>1729.9999999999998</v>
      </c>
      <c r="J33" s="26">
        <f>LOOKUP(C33,'TABLA 4'!B$9:B$12,'TABLA 4'!J$9:J$12)/3*G33</f>
        <v>4273.9363349056612</v>
      </c>
      <c r="K33" s="26">
        <f>LOOKUP(C33,'TABLA 4'!B$9:B$12,'TABLA 4'!J$9:J$12)/3*2*F33</f>
        <v>0</v>
      </c>
      <c r="L33" s="27">
        <f t="shared" si="2"/>
        <v>6868.9363349056603</v>
      </c>
      <c r="M33" s="17" t="str">
        <f>'TABLA 2'!B31</f>
        <v>Honduras</v>
      </c>
      <c r="P33" s="64"/>
    </row>
    <row r="34" spans="1:16" s="1" customFormat="1" ht="10.55" customHeight="1" x14ac:dyDescent="0.25">
      <c r="A34" s="2"/>
      <c r="B34" s="15" t="str">
        <f>'TABLA 2'!B32</f>
        <v>Iceland</v>
      </c>
      <c r="C34" s="5" t="str">
        <f>'TABLA 2'!C32</f>
        <v>A</v>
      </c>
      <c r="D34" s="24">
        <f>'TABLA 2'!J32</f>
        <v>1</v>
      </c>
      <c r="E34" s="5">
        <f>'TABLA 2'!P32</f>
        <v>1</v>
      </c>
      <c r="F34" s="25">
        <f>D34/LOOKUP(C34,'TABLA 4'!B$9:B$12,'TABLA 4'!E$9:E$12)</f>
        <v>2.781393589444055E-6</v>
      </c>
      <c r="G34" s="25">
        <f>(E34+1)/(LOOKUP(C34,'TABLA 4'!B$9:B$12,'TABLA 4'!D$9:D$12)+LOOKUP(C34,'TABLA 4'!B$9:B$12,'TABLA 4'!C$9:C$12))</f>
        <v>4.3478260869565216E-2</v>
      </c>
      <c r="H34" s="26">
        <f t="shared" si="0"/>
        <v>864.99999999999989</v>
      </c>
      <c r="I34" s="26">
        <f t="shared" si="1"/>
        <v>864.99999999999989</v>
      </c>
      <c r="J34" s="26">
        <f>LOOKUP(C34,'TABLA 4'!B$9:B$12,'TABLA 4'!J$9:J$12)/3*G34</f>
        <v>57704.040974637683</v>
      </c>
      <c r="K34" s="26">
        <f>LOOKUP(C34,'TABLA 4'!B$9:B$12,'TABLA 4'!J$9:J$12)/3*2*F34</f>
        <v>7.3828918839862192</v>
      </c>
      <c r="L34" s="27">
        <f t="shared" si="2"/>
        <v>59441.423866521669</v>
      </c>
      <c r="M34" s="17" t="str">
        <f>'TABLA 2'!B32</f>
        <v>Iceland</v>
      </c>
      <c r="P34" s="64"/>
    </row>
    <row r="35" spans="1:16" s="1" customFormat="1" ht="10.55" customHeight="1" x14ac:dyDescent="0.25">
      <c r="A35" s="2"/>
      <c r="B35" s="15" t="str">
        <f>'TABLA 2'!B33</f>
        <v>Japan</v>
      </c>
      <c r="C35" s="5" t="str">
        <f>'TABLA 2'!C33</f>
        <v>A</v>
      </c>
      <c r="D35" s="24">
        <f>'TABLA 2'!J33</f>
        <v>27664</v>
      </c>
      <c r="E35" s="5">
        <f>'TABLA 2'!P33</f>
        <v>4</v>
      </c>
      <c r="F35" s="25">
        <f>D35/LOOKUP(C35,'TABLA 4'!B$9:B$12,'TABLA 4'!E$9:E$12)</f>
        <v>7.6944472258380345E-2</v>
      </c>
      <c r="G35" s="25">
        <f>(E35+1)/(LOOKUP(C35,'TABLA 4'!B$9:B$12,'TABLA 4'!D$9:D$12)+LOOKUP(C35,'TABLA 4'!B$9:B$12,'TABLA 4'!C$9:C$12))</f>
        <v>0.10869565217391304</v>
      </c>
      <c r="H35" s="26">
        <f t="shared" si="0"/>
        <v>864.99999999999989</v>
      </c>
      <c r="I35" s="26">
        <f t="shared" si="1"/>
        <v>3459.9999999999995</v>
      </c>
      <c r="J35" s="26">
        <f>LOOKUP(C35,'TABLA 4'!B$9:B$12,'TABLA 4'!J$9:J$12)/3*G35</f>
        <v>144260.1024365942</v>
      </c>
      <c r="K35" s="26">
        <f>LOOKUP(C35,'TABLA 4'!B$9:B$12,'TABLA 4'!J$9:J$12)/3*2*F35</f>
        <v>204240.3210785948</v>
      </c>
      <c r="L35" s="27">
        <f t="shared" si="2"/>
        <v>352825.42351518897</v>
      </c>
      <c r="M35" s="17" t="str">
        <f>'TABLA 2'!B33</f>
        <v>Japan</v>
      </c>
      <c r="P35" s="64"/>
    </row>
    <row r="36" spans="1:16" s="1" customFormat="1" ht="10.55" customHeight="1" x14ac:dyDescent="0.25">
      <c r="A36" s="2"/>
      <c r="B36" s="15" t="str">
        <f>'TABLA 2'!B34</f>
        <v>Korea, Rep. of</v>
      </c>
      <c r="C36" s="5" t="str">
        <f>'TABLA 2'!C34</f>
        <v>A</v>
      </c>
      <c r="D36" s="24">
        <f>'TABLA 2'!J34</f>
        <v>2920</v>
      </c>
      <c r="E36" s="5">
        <f>'TABLA 2'!P34</f>
        <v>4</v>
      </c>
      <c r="F36" s="25">
        <f>D36/LOOKUP(C36,'TABLA 4'!B$9:B$12,'TABLA 4'!E$9:E$12)</f>
        <v>8.1216692811766408E-3</v>
      </c>
      <c r="G36" s="25">
        <f>(E36+1)/(LOOKUP(C36,'TABLA 4'!B$9:B$12,'TABLA 4'!D$9:D$12)+LOOKUP(C36,'TABLA 4'!B$9:B$12,'TABLA 4'!C$9:C$12))</f>
        <v>0.10869565217391304</v>
      </c>
      <c r="H36" s="26">
        <f t="shared" si="0"/>
        <v>864.99999999999989</v>
      </c>
      <c r="I36" s="26">
        <f t="shared" si="1"/>
        <v>3459.9999999999995</v>
      </c>
      <c r="J36" s="26">
        <f>LOOKUP(C36,'TABLA 4'!B$9:B$12,'TABLA 4'!J$9:J$12)/3*G36</f>
        <v>144260.1024365942</v>
      </c>
      <c r="K36" s="26">
        <f>LOOKUP(C36,'TABLA 4'!B$9:B$12,'TABLA 4'!J$9:J$12)/3*2*F36</f>
        <v>21558.044301239763</v>
      </c>
      <c r="L36" s="27">
        <f t="shared" si="2"/>
        <v>170143.14673783397</v>
      </c>
      <c r="M36" s="17" t="str">
        <f>'TABLA 2'!B34</f>
        <v>Korea, Rep. of</v>
      </c>
      <c r="P36" s="64"/>
    </row>
    <row r="37" spans="1:16" s="1" customFormat="1" ht="10.55" customHeight="1" x14ac:dyDescent="0.25">
      <c r="A37" s="2"/>
      <c r="B37" s="15" t="str">
        <f>'TABLA 2'!B35</f>
        <v>Liberia</v>
      </c>
      <c r="C37" s="5" t="str">
        <f>'TABLA 2'!C35</f>
        <v>D</v>
      </c>
      <c r="D37" s="24">
        <f>'TABLA 2'!J35</f>
        <v>228</v>
      </c>
      <c r="E37" s="5">
        <f>'TABLA 2'!P35</f>
        <v>2</v>
      </c>
      <c r="F37" s="25">
        <f>D37/LOOKUP(C37,'TABLA 4'!B$9:B$12,'TABLA 4'!E$9:E$12)</f>
        <v>9.882536517706212E-3</v>
      </c>
      <c r="G37" s="25">
        <f>(E37+1)/(LOOKUP(C37,'TABLA 4'!B$9:B$12,'TABLA 4'!D$9:D$12)+LOOKUP(C37,'TABLA 4'!B$9:B$12,'TABLA 4'!C$9:C$12))</f>
        <v>5.6603773584905662E-2</v>
      </c>
      <c r="H37" s="26">
        <f t="shared" si="0"/>
        <v>864.99999999999989</v>
      </c>
      <c r="I37" s="26">
        <f t="shared" si="1"/>
        <v>1729.9999999999998</v>
      </c>
      <c r="J37" s="26">
        <f>LOOKUP(C37,'TABLA 4'!B$9:B$12,'TABLA 4'!J$9:J$12)/3*G37</f>
        <v>4273.9363349056612</v>
      </c>
      <c r="K37" s="26">
        <f>LOOKUP(C37,'TABLA 4'!B$9:B$12,'TABLA 4'!J$9:J$12)/3*2*F37</f>
        <v>1492.3857272766679</v>
      </c>
      <c r="L37" s="27">
        <f t="shared" si="2"/>
        <v>8361.3220621823275</v>
      </c>
      <c r="M37" s="17" t="str">
        <f>'TABLA 2'!B35</f>
        <v>Liberia</v>
      </c>
      <c r="P37" s="64"/>
    </row>
    <row r="38" spans="1:16" s="1" customFormat="1" ht="10.55" customHeight="1" x14ac:dyDescent="0.25">
      <c r="A38" s="2"/>
      <c r="B38" s="15" t="str">
        <f>'TABLA 2'!B36</f>
        <v>Libya</v>
      </c>
      <c r="C38" s="5" t="str">
        <f>'TABLA 2'!C36</f>
        <v>D</v>
      </c>
      <c r="D38" s="24">
        <f>'TABLA 2'!J36</f>
        <v>4018</v>
      </c>
      <c r="E38" s="5">
        <f>'TABLA 2'!P36</f>
        <v>3</v>
      </c>
      <c r="F38" s="25">
        <f>D38/LOOKUP(C38,'TABLA 4'!B$9:B$12,'TABLA 4'!E$9:E$12)</f>
        <v>0.17415803389536647</v>
      </c>
      <c r="G38" s="25">
        <f>(E38+1)/(LOOKUP(C38,'TABLA 4'!B$9:B$12,'TABLA 4'!D$9:D$12)+LOOKUP(C38,'TABLA 4'!B$9:B$12,'TABLA 4'!C$9:C$12))</f>
        <v>7.5471698113207544E-2</v>
      </c>
      <c r="H38" s="26">
        <f t="shared" si="0"/>
        <v>864.99999999999989</v>
      </c>
      <c r="I38" s="26">
        <f t="shared" si="1"/>
        <v>2594.9999999999995</v>
      </c>
      <c r="J38" s="26">
        <f>LOOKUP(C38,'TABLA 4'!B$9:B$12,'TABLA 4'!J$9:J$12)/3*G38</f>
        <v>5698.5817798742146</v>
      </c>
      <c r="K38" s="26">
        <f>LOOKUP(C38,'TABLA 4'!B$9:B$12,'TABLA 4'!J$9:J$12)/3*2*F38</f>
        <v>26300.025667533555</v>
      </c>
      <c r="L38" s="27">
        <f t="shared" si="2"/>
        <v>35458.607447407769</v>
      </c>
      <c r="M38" s="17" t="str">
        <f>'TABLA 2'!B36</f>
        <v>Libya</v>
      </c>
      <c r="P38" s="64"/>
    </row>
    <row r="39" spans="1:16" s="1" customFormat="1" ht="10.55" customHeight="1" x14ac:dyDescent="0.25">
      <c r="A39" s="2"/>
      <c r="B39" s="15" t="str">
        <f>'TABLA 2'!B37</f>
        <v>Maroc</v>
      </c>
      <c r="C39" s="5" t="str">
        <f>'TABLA 2'!C37</f>
        <v>C</v>
      </c>
      <c r="D39" s="24">
        <f>'TABLA 2'!J37</f>
        <v>27421</v>
      </c>
      <c r="E39" s="5">
        <f>'TABLA 2'!P37</f>
        <v>3</v>
      </c>
      <c r="F39" s="25">
        <f>D39/LOOKUP(C39,'TABLA 4'!B$9:B$12,'TABLA 4'!E$9:E$12)</f>
        <v>6.8684201957253027E-2</v>
      </c>
      <c r="G39" s="25">
        <f>(E39+1)/(LOOKUP(C39,'TABLA 4'!B$9:B$12,'TABLA 4'!D$9:D$12)+LOOKUP(C39,'TABLA 4'!B$9:B$12,'TABLA 4'!C$9:C$12))</f>
        <v>5.4054054054054057E-2</v>
      </c>
      <c r="H39" s="26">
        <f t="shared" si="0"/>
        <v>864.99999999999989</v>
      </c>
      <c r="I39" s="26">
        <f t="shared" si="1"/>
        <v>2594.9999999999995</v>
      </c>
      <c r="J39" s="26">
        <f>LOOKUP(C39,'TABLA 4'!B$9:B$12,'TABLA 4'!J$9:J$12)/3*G39</f>
        <v>23095.256558558562</v>
      </c>
      <c r="K39" s="26">
        <f>LOOKUP(C39,'TABLA 4'!B$9:B$12,'TABLA 4'!J$9:J$12)/3*2*F39</f>
        <v>58692.332831736523</v>
      </c>
      <c r="L39" s="27">
        <f t="shared" si="2"/>
        <v>85247.589390295092</v>
      </c>
      <c r="M39" s="17" t="str">
        <f>'TABLA 2'!B37</f>
        <v>Maroc</v>
      </c>
      <c r="P39" s="64"/>
    </row>
    <row r="40" spans="1:16" s="1" customFormat="1" ht="10.55" customHeight="1" x14ac:dyDescent="0.25">
      <c r="A40" s="2"/>
      <c r="B40" s="15" t="str">
        <f>'TABLA 2'!B38</f>
        <v>Mauritania</v>
      </c>
      <c r="C40" s="5" t="str">
        <f>'TABLA 2'!C38</f>
        <v>C</v>
      </c>
      <c r="D40" s="24">
        <f>'TABLA 2'!J38</f>
        <v>20785</v>
      </c>
      <c r="E40" s="5">
        <f>'TABLA 2'!P38</f>
        <v>3</v>
      </c>
      <c r="F40" s="25">
        <f>D40/LOOKUP(C40,'TABLA 4'!B$9:B$12,'TABLA 4'!E$9:E$12)</f>
        <v>5.2062329516848554E-2</v>
      </c>
      <c r="G40" s="25">
        <f>(E40+1)/(LOOKUP(C40,'TABLA 4'!B$9:B$12,'TABLA 4'!D$9:D$12)+LOOKUP(C40,'TABLA 4'!B$9:B$12,'TABLA 4'!C$9:C$12))</f>
        <v>5.4054054054054057E-2</v>
      </c>
      <c r="H40" s="26">
        <f t="shared" si="0"/>
        <v>864.99999999999989</v>
      </c>
      <c r="I40" s="26">
        <f t="shared" si="1"/>
        <v>2594.9999999999995</v>
      </c>
      <c r="J40" s="26">
        <f>LOOKUP(C40,'TABLA 4'!B$9:B$12,'TABLA 4'!J$9:J$12)/3*G40</f>
        <v>23095.256558558562</v>
      </c>
      <c r="K40" s="26">
        <f>LOOKUP(C40,'TABLA 4'!B$9:B$12,'TABLA 4'!J$9:J$12)/3*2*F40</f>
        <v>44488.535717429841</v>
      </c>
      <c r="L40" s="27">
        <f t="shared" si="2"/>
        <v>71043.79227598841</v>
      </c>
      <c r="M40" s="17" t="str">
        <f>'TABLA 2'!B38</f>
        <v>Mauritania</v>
      </c>
      <c r="P40" s="64"/>
    </row>
    <row r="41" spans="1:16" s="1" customFormat="1" ht="10.55" customHeight="1" x14ac:dyDescent="0.25">
      <c r="A41" s="2"/>
      <c r="B41" s="15" t="str">
        <f>'TABLA 2'!B39</f>
        <v>Mexico</v>
      </c>
      <c r="C41" s="5" t="str">
        <f>'TABLA 2'!C39</f>
        <v>C</v>
      </c>
      <c r="D41" s="24">
        <f>'TABLA 2'!J39</f>
        <v>3451</v>
      </c>
      <c r="E41" s="5">
        <f>'TABLA 2'!P39</f>
        <v>3</v>
      </c>
      <c r="F41" s="25">
        <f>D41/LOOKUP(C41,'TABLA 4'!B$9:B$12,'TABLA 4'!E$9:E$12)</f>
        <v>8.6440750138390369E-3</v>
      </c>
      <c r="G41" s="25">
        <f>(E41+1)/(LOOKUP(C41,'TABLA 4'!B$9:B$12,'TABLA 4'!D$9:D$12)+LOOKUP(C41,'TABLA 4'!B$9:B$12,'TABLA 4'!C$9:C$12))</f>
        <v>5.4054054054054057E-2</v>
      </c>
      <c r="H41" s="26">
        <f t="shared" si="0"/>
        <v>864.99999999999989</v>
      </c>
      <c r="I41" s="26">
        <f t="shared" si="1"/>
        <v>2594.9999999999995</v>
      </c>
      <c r="J41" s="26">
        <f>LOOKUP(C41,'TABLA 4'!B$9:B$12,'TABLA 4'!J$9:J$12)/3*G41</f>
        <v>23095.256558558562</v>
      </c>
      <c r="K41" s="26">
        <f>LOOKUP(C41,'TABLA 4'!B$9:B$12,'TABLA 4'!J$9:J$12)/3*2*F41</f>
        <v>7386.5738157734131</v>
      </c>
      <c r="L41" s="27">
        <f t="shared" si="2"/>
        <v>33941.830374331978</v>
      </c>
      <c r="M41" s="17" t="str">
        <f>'TABLA 2'!B39</f>
        <v>Mexico</v>
      </c>
      <c r="P41" s="64"/>
    </row>
    <row r="42" spans="1:16" s="1" customFormat="1" ht="10.55" customHeight="1" x14ac:dyDescent="0.25">
      <c r="A42" s="2"/>
      <c r="B42" s="122" t="str">
        <f>'TABLA 2'!B40</f>
        <v>Montenegro</v>
      </c>
      <c r="C42" s="118" t="str">
        <f>'TABLA 2'!C40</f>
        <v>A</v>
      </c>
      <c r="D42" s="123">
        <f>'TABLA 2'!J40</f>
        <v>0</v>
      </c>
      <c r="E42" s="118">
        <f>'TABLA 2'!P40</f>
        <v>0</v>
      </c>
      <c r="F42" s="124">
        <f>D42/LOOKUP(C42,'TABLA 4'!B$9:B$12,'TABLA 4'!E$9:E$12)</f>
        <v>0</v>
      </c>
      <c r="G42" s="124">
        <f>(E42+1)/(LOOKUP(C42,'TABLA 4'!B$9:B$12,'TABLA 4'!D$9:D$12)+LOOKUP(C42,'TABLA 4'!B$9:B$12,'TABLA 4'!C$9:C$12))</f>
        <v>2.1739130434782608E-2</v>
      </c>
      <c r="H42" s="125">
        <f t="shared" ref="H42" si="3">1000/K$2</f>
        <v>864.99999999999989</v>
      </c>
      <c r="I42" s="125">
        <f t="shared" ref="I42" si="4">E42*H42</f>
        <v>0</v>
      </c>
      <c r="J42" s="125">
        <f>LOOKUP(C42,'TABLA 4'!B$9:B$12,'TABLA 4'!J$9:J$12)/3*G42</f>
        <v>28852.020487318841</v>
      </c>
      <c r="K42" s="125">
        <f>LOOKUP(C42,'TABLA 4'!B$9:B$12,'TABLA 4'!J$9:J$12)/3*2*F42</f>
        <v>0</v>
      </c>
      <c r="L42" s="126">
        <f t="shared" ref="L42" si="5">SUM(H42:K42)</f>
        <v>29717.020487318841</v>
      </c>
      <c r="M42" s="121" t="str">
        <f>'TABLA 2'!B40</f>
        <v>Montenegro</v>
      </c>
      <c r="P42" s="64"/>
    </row>
    <row r="43" spans="1:16" s="1" customFormat="1" ht="10.55" customHeight="1" x14ac:dyDescent="0.25">
      <c r="A43" s="2"/>
      <c r="B43" s="15" t="str">
        <f>'TABLA 2'!B41</f>
        <v>Namibia</v>
      </c>
      <c r="C43" s="5" t="str">
        <f>'TABLA 2'!C41</f>
        <v>C</v>
      </c>
      <c r="D43" s="24">
        <f>'TABLA 2'!J41</f>
        <v>13933</v>
      </c>
      <c r="E43" s="5">
        <f>'TABLA 2'!P41</f>
        <v>4</v>
      </c>
      <c r="F43" s="25">
        <f>D43/LOOKUP(C43,'TABLA 4'!B$9:B$12,'TABLA 4'!E$9:E$12)</f>
        <v>3.489941963715424E-2</v>
      </c>
      <c r="G43" s="25">
        <f>(E43+1)/(LOOKUP(C43,'TABLA 4'!B$9:B$12,'TABLA 4'!D$9:D$12)+LOOKUP(C43,'TABLA 4'!B$9:B$12,'TABLA 4'!C$9:C$12))</f>
        <v>6.7567567567567571E-2</v>
      </c>
      <c r="H43" s="26">
        <f t="shared" si="0"/>
        <v>864.99999999999989</v>
      </c>
      <c r="I43" s="26">
        <f t="shared" si="1"/>
        <v>3459.9999999999995</v>
      </c>
      <c r="J43" s="26">
        <f>LOOKUP(C43,'TABLA 4'!B$9:B$12,'TABLA 4'!J$9:J$12)/3*G43</f>
        <v>28869.070698198204</v>
      </c>
      <c r="K43" s="26">
        <f>LOOKUP(C43,'TABLA 4'!B$9:B$12,'TABLA 4'!J$9:J$12)/3*2*F43</f>
        <v>29822.408859800333</v>
      </c>
      <c r="L43" s="27">
        <f t="shared" si="2"/>
        <v>63016.479557998537</v>
      </c>
      <c r="M43" s="17" t="str">
        <f>'TABLA 2'!B41</f>
        <v>Namibia</v>
      </c>
      <c r="P43" s="64"/>
    </row>
    <row r="44" spans="1:16" s="1" customFormat="1" ht="10.55" customHeight="1" x14ac:dyDescent="0.25">
      <c r="A44" s="2"/>
      <c r="B44" s="15" t="str">
        <f>'TABLA 2'!B42</f>
        <v>Nicaragua, Rep. de</v>
      </c>
      <c r="C44" s="5" t="str">
        <f>'TABLA 2'!C42</f>
        <v>D</v>
      </c>
      <c r="D44" s="24">
        <f>'TABLA 2'!J42</f>
        <v>0</v>
      </c>
      <c r="E44" s="5">
        <f>'TABLA 2'!P42</f>
        <v>1</v>
      </c>
      <c r="F44" s="25">
        <f>D44/LOOKUP(C44,'TABLA 4'!B$9:B$12,'TABLA 4'!E$9:E$12)</f>
        <v>0</v>
      </c>
      <c r="G44" s="25">
        <f>(E44+1)/(LOOKUP(C44,'TABLA 4'!B$9:B$12,'TABLA 4'!D$9:D$12)+LOOKUP(C44,'TABLA 4'!B$9:B$12,'TABLA 4'!C$9:C$12))</f>
        <v>3.7735849056603772E-2</v>
      </c>
      <c r="H44" s="26">
        <f t="shared" si="0"/>
        <v>864.99999999999989</v>
      </c>
      <c r="I44" s="26">
        <f t="shared" si="1"/>
        <v>864.99999999999989</v>
      </c>
      <c r="J44" s="26">
        <f>LOOKUP(C44,'TABLA 4'!B$9:B$12,'TABLA 4'!J$9:J$12)/3*G44</f>
        <v>2849.2908899371073</v>
      </c>
      <c r="K44" s="26">
        <f>LOOKUP(C44,'TABLA 4'!B$9:B$12,'TABLA 4'!J$9:J$12)/3*2*F44</f>
        <v>0</v>
      </c>
      <c r="L44" s="27">
        <f t="shared" si="2"/>
        <v>4579.2908899371068</v>
      </c>
      <c r="M44" s="17" t="str">
        <f>'TABLA 2'!B42</f>
        <v>Nicaragua, Rep. de</v>
      </c>
      <c r="P44" s="64"/>
    </row>
    <row r="45" spans="1:16" s="1" customFormat="1" ht="10.55" customHeight="1" x14ac:dyDescent="0.25">
      <c r="A45" s="2"/>
      <c r="B45" s="15" t="str">
        <f>'TABLA 2'!B43</f>
        <v>Nigeria</v>
      </c>
      <c r="C45" s="5" t="str">
        <f>'TABLA 2'!C43</f>
        <v>D</v>
      </c>
      <c r="D45" s="24">
        <f>'TABLA 2'!J43</f>
        <v>0</v>
      </c>
      <c r="E45" s="5">
        <f>'TABLA 2'!P43</f>
        <v>3</v>
      </c>
      <c r="F45" s="25">
        <f>D45/LOOKUP(C45,'TABLA 4'!B$9:B$12,'TABLA 4'!E$9:E$12)</f>
        <v>0</v>
      </c>
      <c r="G45" s="25">
        <f>(E45+1)/(LOOKUP(C45,'TABLA 4'!B$9:B$12,'TABLA 4'!D$9:D$12)+LOOKUP(C45,'TABLA 4'!B$9:B$12,'TABLA 4'!C$9:C$12))</f>
        <v>7.5471698113207544E-2</v>
      </c>
      <c r="H45" s="26">
        <f t="shared" si="0"/>
        <v>864.99999999999989</v>
      </c>
      <c r="I45" s="26">
        <f t="shared" si="1"/>
        <v>2594.9999999999995</v>
      </c>
      <c r="J45" s="26">
        <f>LOOKUP(C45,'TABLA 4'!B$9:B$12,'TABLA 4'!J$9:J$12)/3*G45</f>
        <v>5698.5817798742146</v>
      </c>
      <c r="K45" s="26">
        <f>LOOKUP(C45,'TABLA 4'!B$9:B$12,'TABLA 4'!J$9:J$12)/3*2*F45</f>
        <v>0</v>
      </c>
      <c r="L45" s="27">
        <f t="shared" si="2"/>
        <v>9158.5817798742137</v>
      </c>
      <c r="M45" s="17" t="str">
        <f>'TABLA 2'!B43</f>
        <v>Nigeria</v>
      </c>
      <c r="P45" s="64"/>
    </row>
    <row r="46" spans="1:16" s="1" customFormat="1" ht="10.55" customHeight="1" x14ac:dyDescent="0.25">
      <c r="A46" s="2"/>
      <c r="B46" s="15" t="str">
        <f>'TABLA 2'!B44</f>
        <v>Norway</v>
      </c>
      <c r="C46" s="5" t="str">
        <f>'TABLA 2'!C44</f>
        <v>A</v>
      </c>
      <c r="D46" s="24">
        <f>'TABLA 2'!J44</f>
        <v>133</v>
      </c>
      <c r="E46" s="5">
        <f>'TABLA 2'!P44</f>
        <v>2</v>
      </c>
      <c r="F46" s="25">
        <f>D46/LOOKUP(C46,'TABLA 4'!B$9:B$12,'TABLA 4'!E$9:E$12)</f>
        <v>3.699253473960593E-4</v>
      </c>
      <c r="G46" s="25">
        <f>(E46+1)/(LOOKUP(C46,'TABLA 4'!B$9:B$12,'TABLA 4'!D$9:D$12)+LOOKUP(C46,'TABLA 4'!B$9:B$12,'TABLA 4'!C$9:C$12))</f>
        <v>6.5217391304347824E-2</v>
      </c>
      <c r="H46" s="26">
        <f t="shared" si="0"/>
        <v>864.99999999999989</v>
      </c>
      <c r="I46" s="26">
        <f t="shared" si="1"/>
        <v>1729.9999999999998</v>
      </c>
      <c r="J46" s="26">
        <f>LOOKUP(C46,'TABLA 4'!B$9:B$12,'TABLA 4'!J$9:J$12)/3*G46</f>
        <v>86556.061461956531</v>
      </c>
      <c r="K46" s="26">
        <f>LOOKUP(C46,'TABLA 4'!B$9:B$12,'TABLA 4'!J$9:J$12)/3*2*F46</f>
        <v>981.92462057016712</v>
      </c>
      <c r="L46" s="27">
        <f t="shared" si="2"/>
        <v>90132.986082526695</v>
      </c>
      <c r="M46" s="17" t="str">
        <f>'TABLA 2'!B44</f>
        <v>Norway</v>
      </c>
      <c r="P46" s="64"/>
    </row>
    <row r="47" spans="1:16" s="1" customFormat="1" ht="10.55" customHeight="1" x14ac:dyDescent="0.25">
      <c r="A47" s="2"/>
      <c r="B47" s="15" t="str">
        <f>'TABLA 2'!B45</f>
        <v>Panama</v>
      </c>
      <c r="C47" s="5" t="str">
        <f>'TABLA 2'!C45</f>
        <v>B</v>
      </c>
      <c r="D47" s="24">
        <f>'TABLA 2'!J45</f>
        <v>25373</v>
      </c>
      <c r="E47" s="5">
        <f>'TABLA 2'!P45</f>
        <v>4</v>
      </c>
      <c r="F47" s="25">
        <f>D47/LOOKUP(C47,'TABLA 4'!B$9:B$12,'TABLA 4'!E$9:E$12)</f>
        <v>0.21578616138250101</v>
      </c>
      <c r="G47" s="25">
        <f>(E47+1)/(LOOKUP(C47,'TABLA 4'!B$9:B$12,'TABLA 4'!D$9:D$12)+LOOKUP(C47,'TABLA 4'!B$9:B$12,'TABLA 4'!C$9:C$12))</f>
        <v>0.29411764705882354</v>
      </c>
      <c r="H47" s="26">
        <f t="shared" si="0"/>
        <v>864.99999999999989</v>
      </c>
      <c r="I47" s="26">
        <f t="shared" si="1"/>
        <v>3459.9999999999995</v>
      </c>
      <c r="J47" s="26">
        <f>LOOKUP(C47,'TABLA 4'!B$9:B$12,'TABLA 4'!J$9:J$12)/3*G47</f>
        <v>73953.108627450973</v>
      </c>
      <c r="K47" s="26">
        <f>LOOKUP(C47,'TABLA 4'!B$9:B$12,'TABLA 4'!J$9:J$12)/3*2*F47</f>
        <v>108514.79054454119</v>
      </c>
      <c r="L47" s="27">
        <f t="shared" si="2"/>
        <v>186792.89917199215</v>
      </c>
      <c r="M47" s="17" t="str">
        <f>'TABLA 2'!B45</f>
        <v>Panama</v>
      </c>
      <c r="P47" s="64"/>
    </row>
    <row r="48" spans="1:16" s="1" customFormat="1" ht="10.55" customHeight="1" x14ac:dyDescent="0.25">
      <c r="A48" s="2"/>
      <c r="B48" s="15" t="str">
        <f>'TABLA 2'!B46</f>
        <v>Philippines, Rep. of</v>
      </c>
      <c r="C48" s="5" t="str">
        <f>'TABLA 2'!C46</f>
        <v>D</v>
      </c>
      <c r="D48" s="24">
        <f>'TABLA 2'!J46</f>
        <v>0</v>
      </c>
      <c r="E48" s="5">
        <f>'TABLA 2'!P46</f>
        <v>2</v>
      </c>
      <c r="F48" s="25">
        <f>D48/LOOKUP(C48,'TABLA 4'!B$9:B$12,'TABLA 4'!E$9:E$12)</f>
        <v>0</v>
      </c>
      <c r="G48" s="25">
        <f>(E48+1)/(LOOKUP(C48,'TABLA 4'!B$9:B$12,'TABLA 4'!D$9:D$12)+LOOKUP(C48,'TABLA 4'!B$9:B$12,'TABLA 4'!C$9:C$12))</f>
        <v>5.6603773584905662E-2</v>
      </c>
      <c r="H48" s="26">
        <f t="shared" si="0"/>
        <v>864.99999999999989</v>
      </c>
      <c r="I48" s="26">
        <f t="shared" si="1"/>
        <v>1729.9999999999998</v>
      </c>
      <c r="J48" s="26">
        <f>LOOKUP(C48,'TABLA 4'!B$9:B$12,'TABLA 4'!J$9:J$12)/3*G48</f>
        <v>4273.9363349056612</v>
      </c>
      <c r="K48" s="26">
        <f>LOOKUP(C48,'TABLA 4'!B$9:B$12,'TABLA 4'!J$9:J$12)/3*2*F48</f>
        <v>0</v>
      </c>
      <c r="L48" s="27">
        <f t="shared" si="2"/>
        <v>6868.9363349056603</v>
      </c>
      <c r="M48" s="17" t="str">
        <f>'TABLA 2'!B46</f>
        <v>Philippines, Rep. of</v>
      </c>
      <c r="P48" s="64"/>
    </row>
    <row r="49" spans="1:16" s="1" customFormat="1" ht="10.55" customHeight="1" x14ac:dyDescent="0.25">
      <c r="A49" s="2"/>
      <c r="B49" s="15" t="str">
        <f>'TABLA 2'!B47</f>
        <v>Russia</v>
      </c>
      <c r="C49" s="5" t="str">
        <f>'TABLA 2'!C47</f>
        <v>A</v>
      </c>
      <c r="D49" s="24">
        <f>'TABLA 2'!J47</f>
        <v>3271</v>
      </c>
      <c r="E49" s="5">
        <f>'TABLA 2'!P47</f>
        <v>2</v>
      </c>
      <c r="F49" s="25">
        <f>D49/LOOKUP(C49,'TABLA 4'!B$9:B$12,'TABLA 4'!E$9:E$12)</f>
        <v>9.0979384310715047E-3</v>
      </c>
      <c r="G49" s="25">
        <f>(E49+1)/(LOOKUP(C49,'TABLA 4'!B$9:B$12,'TABLA 4'!D$9:D$12)+LOOKUP(C49,'TABLA 4'!B$9:B$12,'TABLA 4'!C$9:C$12))</f>
        <v>6.5217391304347824E-2</v>
      </c>
      <c r="H49" s="26">
        <f t="shared" si="0"/>
        <v>864.99999999999989</v>
      </c>
      <c r="I49" s="26">
        <f t="shared" si="1"/>
        <v>1729.9999999999998</v>
      </c>
      <c r="J49" s="26">
        <f>LOOKUP(C49,'TABLA 4'!B$9:B$12,'TABLA 4'!J$9:J$12)/3*G49</f>
        <v>86556.061461956531</v>
      </c>
      <c r="K49" s="26">
        <f>LOOKUP(C49,'TABLA 4'!B$9:B$12,'TABLA 4'!J$9:J$12)/3*2*F49</f>
        <v>24149.439352518926</v>
      </c>
      <c r="L49" s="27">
        <f t="shared" si="2"/>
        <v>113300.50081447545</v>
      </c>
      <c r="M49" s="17" t="str">
        <f>'TABLA 2'!B47</f>
        <v>Russia</v>
      </c>
      <c r="P49" s="64"/>
    </row>
    <row r="50" spans="1:16" s="1" customFormat="1" ht="10.55" customHeight="1" x14ac:dyDescent="0.25">
      <c r="A50" s="2"/>
      <c r="B50" s="15" t="str">
        <f>'TABLA 2'!B48</f>
        <v>Saint Vincent and Grenadines</v>
      </c>
      <c r="C50" s="5" t="str">
        <f>'TABLA 2'!C48</f>
        <v>C</v>
      </c>
      <c r="D50" s="24">
        <f>'TABLA 2'!J48</f>
        <v>333</v>
      </c>
      <c r="E50" s="5">
        <f>'TABLA 2'!P48</f>
        <v>4</v>
      </c>
      <c r="F50" s="25">
        <f>D50/LOOKUP(C50,'TABLA 4'!B$9:B$12,'TABLA 4'!E$9:E$12)</f>
        <v>8.3409938557183394E-4</v>
      </c>
      <c r="G50" s="25">
        <f>(E50+1)/(LOOKUP(C50,'TABLA 4'!B$9:B$12,'TABLA 4'!D$9:D$12)+LOOKUP(C50,'TABLA 4'!B$9:B$12,'TABLA 4'!C$9:C$12))</f>
        <v>6.7567567567567571E-2</v>
      </c>
      <c r="H50" s="26">
        <f t="shared" si="0"/>
        <v>864.99999999999989</v>
      </c>
      <c r="I50" s="26">
        <f t="shared" si="1"/>
        <v>3459.9999999999995</v>
      </c>
      <c r="J50" s="26">
        <f>LOOKUP(C50,'TABLA 4'!B$9:B$12,'TABLA 4'!J$9:J$12)/3*G50</f>
        <v>28869.070698198204</v>
      </c>
      <c r="K50" s="26">
        <f>LOOKUP(C50,'TABLA 4'!B$9:B$12,'TABLA 4'!J$9:J$12)/3*2*F50</f>
        <v>712.75835428934988</v>
      </c>
      <c r="L50" s="27">
        <f t="shared" si="2"/>
        <v>33906.829052487548</v>
      </c>
      <c r="M50" s="17" t="str">
        <f>'TABLA 2'!B48</f>
        <v>Saint Vincent and Grenadines</v>
      </c>
      <c r="P50" s="64"/>
    </row>
    <row r="51" spans="1:16" s="1" customFormat="1" ht="10.55" customHeight="1" x14ac:dyDescent="0.25">
      <c r="A51" s="2"/>
      <c r="B51" s="15" t="str">
        <f>'TABLA 2'!B49</f>
        <v>Sâo Tomé e Príncipe</v>
      </c>
      <c r="C51" s="5" t="str">
        <f>'TABLA 2'!C49</f>
        <v>D</v>
      </c>
      <c r="D51" s="24">
        <f>'TABLA 2'!J49</f>
        <v>1255</v>
      </c>
      <c r="E51" s="5">
        <f>'TABLA 2'!P49</f>
        <v>2</v>
      </c>
      <c r="F51" s="25">
        <f>D51/LOOKUP(C51,'TABLA 4'!B$9:B$12,'TABLA 4'!E$9:E$12)</f>
        <v>5.4397295305795151E-2</v>
      </c>
      <c r="G51" s="25">
        <f>(E51+1)/(LOOKUP(C51,'TABLA 4'!B$9:B$12,'TABLA 4'!D$9:D$12)+LOOKUP(C51,'TABLA 4'!B$9:B$12,'TABLA 4'!C$9:C$12))</f>
        <v>5.6603773584905662E-2</v>
      </c>
      <c r="H51" s="26">
        <f t="shared" si="0"/>
        <v>864.99999999999989</v>
      </c>
      <c r="I51" s="26">
        <f t="shared" si="1"/>
        <v>1729.9999999999998</v>
      </c>
      <c r="J51" s="26">
        <f>LOOKUP(C51,'TABLA 4'!B$9:B$12,'TABLA 4'!J$9:J$12)/3*G51</f>
        <v>4273.9363349056612</v>
      </c>
      <c r="K51" s="26">
        <f>LOOKUP(C51,'TABLA 4'!B$9:B$12,'TABLA 4'!J$9:J$12)/3*2*F51</f>
        <v>8214.667051457096</v>
      </c>
      <c r="L51" s="27">
        <f t="shared" si="2"/>
        <v>15083.603386362756</v>
      </c>
      <c r="M51" s="17" t="str">
        <f>'TABLA 2'!B49</f>
        <v>Sâo Tomé e Príncipe</v>
      </c>
      <c r="P51" s="64"/>
    </row>
    <row r="52" spans="1:16" s="1" customFormat="1" ht="10.55" customHeight="1" x14ac:dyDescent="0.25">
      <c r="A52" s="2"/>
      <c r="B52" s="15" t="str">
        <f>'TABLA 2'!B50</f>
        <v>Senegal</v>
      </c>
      <c r="C52" s="5" t="str">
        <f>'TABLA 2'!C50</f>
        <v>C</v>
      </c>
      <c r="D52" s="24">
        <f>'TABLA 2'!J50</f>
        <v>66369</v>
      </c>
      <c r="E52" s="5">
        <f>'TABLA 2'!P50</f>
        <v>3</v>
      </c>
      <c r="F52" s="25">
        <f>D52/LOOKUP(C52,'TABLA 4'!B$9:B$12,'TABLA 4'!E$9:E$12)</f>
        <v>0.16624126763068184</v>
      </c>
      <c r="G52" s="25">
        <f>(E52+1)/(LOOKUP(C52,'TABLA 4'!B$9:B$12,'TABLA 4'!D$9:D$12)+LOOKUP(C52,'TABLA 4'!B$9:B$12,'TABLA 4'!C$9:C$12))</f>
        <v>5.4054054054054057E-2</v>
      </c>
      <c r="H52" s="26">
        <f t="shared" si="0"/>
        <v>864.99999999999989</v>
      </c>
      <c r="I52" s="26">
        <f t="shared" si="1"/>
        <v>2594.9999999999995</v>
      </c>
      <c r="J52" s="26">
        <f>LOOKUP(C52,'TABLA 4'!B$9:B$12,'TABLA 4'!J$9:J$12)/3*G52</f>
        <v>23095.256558558562</v>
      </c>
      <c r="K52" s="26">
        <f>LOOKUP(C52,'TABLA 4'!B$9:B$12,'TABLA 4'!J$9:J$12)/3*2*F52</f>
        <v>142057.23488237197</v>
      </c>
      <c r="L52" s="27">
        <f t="shared" si="2"/>
        <v>168612.49144093052</v>
      </c>
      <c r="M52" s="17" t="str">
        <f>'TABLA 2'!B50</f>
        <v>Senegal</v>
      </c>
      <c r="P52" s="64"/>
    </row>
    <row r="53" spans="1:16" s="1" customFormat="1" ht="10.55" customHeight="1" x14ac:dyDescent="0.25">
      <c r="A53" s="2"/>
      <c r="B53" s="15" t="str">
        <f>'TABLA 2'!B51</f>
        <v>Sierra Leone</v>
      </c>
      <c r="C53" s="5" t="str">
        <f>'TABLA 2'!C51</f>
        <v>D</v>
      </c>
      <c r="D53" s="24">
        <f>'TABLA 2'!J51</f>
        <v>0</v>
      </c>
      <c r="E53" s="5">
        <f>'TABLA 2'!P51</f>
        <v>2</v>
      </c>
      <c r="F53" s="25">
        <f>D53/LOOKUP(C53,'TABLA 4'!B$9:B$12,'TABLA 4'!E$9:E$12)</f>
        <v>0</v>
      </c>
      <c r="G53" s="25">
        <f>(E53+1)/(LOOKUP(C53,'TABLA 4'!B$9:B$12,'TABLA 4'!D$9:D$12)+LOOKUP(C53,'TABLA 4'!B$9:B$12,'TABLA 4'!C$9:C$12))</f>
        <v>5.6603773584905662E-2</v>
      </c>
      <c r="H53" s="26">
        <f t="shared" si="0"/>
        <v>864.99999999999989</v>
      </c>
      <c r="I53" s="26">
        <f t="shared" si="1"/>
        <v>1729.9999999999998</v>
      </c>
      <c r="J53" s="26">
        <f>LOOKUP(C53,'TABLA 4'!B$9:B$12,'TABLA 4'!J$9:J$12)/3*G53</f>
        <v>4273.9363349056612</v>
      </c>
      <c r="K53" s="26">
        <f>LOOKUP(C53,'TABLA 4'!B$9:B$12,'TABLA 4'!J$9:J$12)/3*2*F53</f>
        <v>0</v>
      </c>
      <c r="L53" s="27">
        <f t="shared" si="2"/>
        <v>6868.9363349056603</v>
      </c>
      <c r="M53" s="17" t="str">
        <f>'TABLA 2'!B51</f>
        <v>Sierra Leone</v>
      </c>
      <c r="P53" s="64"/>
    </row>
    <row r="54" spans="1:16" s="1" customFormat="1" ht="10.55" customHeight="1" x14ac:dyDescent="0.25">
      <c r="A54" s="2"/>
      <c r="B54" s="15" t="str">
        <f>'TABLA 2'!B52</f>
        <v>South Africa</v>
      </c>
      <c r="C54" s="5" t="str">
        <f>'TABLA 2'!C52</f>
        <v>C</v>
      </c>
      <c r="D54" s="24">
        <f>'TABLA 2'!J52</f>
        <v>6049</v>
      </c>
      <c r="E54" s="5">
        <f>'TABLA 2'!P52</f>
        <v>3</v>
      </c>
      <c r="F54" s="25">
        <f>D54/LOOKUP(C54,'TABLA 4'!B$9:B$12,'TABLA 4'!E$9:E$12)</f>
        <v>1.5151553103075147E-2</v>
      </c>
      <c r="G54" s="25">
        <f>(E54+1)/(LOOKUP(C54,'TABLA 4'!B$9:B$12,'TABLA 4'!D$9:D$12)+LOOKUP(C54,'TABLA 4'!B$9:B$12,'TABLA 4'!C$9:C$12))</f>
        <v>5.4054054054054057E-2</v>
      </c>
      <c r="H54" s="26">
        <f t="shared" si="0"/>
        <v>864.99999999999989</v>
      </c>
      <c r="I54" s="26">
        <f t="shared" si="1"/>
        <v>2594.9999999999995</v>
      </c>
      <c r="J54" s="26">
        <f>LOOKUP(C54,'TABLA 4'!B$9:B$12,'TABLA 4'!J$9:J$12)/3*G54</f>
        <v>23095.256558558562</v>
      </c>
      <c r="K54" s="26">
        <f>LOOKUP(C54,'TABLA 4'!B$9:B$12,'TABLA 4'!J$9:J$12)/3*2*F54</f>
        <v>12947.37322851735</v>
      </c>
      <c r="L54" s="27">
        <f t="shared" si="2"/>
        <v>39502.629787075915</v>
      </c>
      <c r="M54" s="17" t="str">
        <f>'TABLA 2'!B52</f>
        <v>South Africa</v>
      </c>
      <c r="P54" s="64"/>
    </row>
    <row r="55" spans="1:16" s="1" customFormat="1" ht="10.55" customHeight="1" x14ac:dyDescent="0.25">
      <c r="A55" s="2"/>
      <c r="B55" s="15" t="str">
        <f>'TABLA 2'!B53</f>
        <v>Syrian Arab Republic</v>
      </c>
      <c r="C55" s="5" t="str">
        <f>'TABLA 2'!C53</f>
        <v>D</v>
      </c>
      <c r="D55" s="24">
        <f>'TABLA 2'!J53</f>
        <v>79</v>
      </c>
      <c r="E55" s="5">
        <f>'TABLA 2'!P53</f>
        <v>1</v>
      </c>
      <c r="F55" s="25">
        <f>D55/LOOKUP(C55,'TABLA 4'!B$9:B$12,'TABLA 4'!E$9:E$12)</f>
        <v>3.4242122144683804E-3</v>
      </c>
      <c r="G55" s="25">
        <f>(E55+1)/(LOOKUP(C55,'TABLA 4'!B$9:B$12,'TABLA 4'!D$9:D$12)+LOOKUP(C55,'TABLA 4'!B$9:B$12,'TABLA 4'!C$9:C$12))</f>
        <v>3.7735849056603772E-2</v>
      </c>
      <c r="H55" s="26">
        <f t="shared" si="0"/>
        <v>864.99999999999989</v>
      </c>
      <c r="I55" s="26">
        <f t="shared" si="1"/>
        <v>864.99999999999989</v>
      </c>
      <c r="J55" s="26">
        <f>LOOKUP(C55,'TABLA 4'!B$9:B$12,'TABLA 4'!J$9:J$12)/3*G55</f>
        <v>2849.2908899371073</v>
      </c>
      <c r="K55" s="26">
        <f>LOOKUP(C55,'TABLA 4'!B$9:B$12,'TABLA 4'!J$9:J$12)/3*2*F55</f>
        <v>517.09856339849455</v>
      </c>
      <c r="L55" s="27">
        <f t="shared" si="2"/>
        <v>5096.3894533356015</v>
      </c>
      <c r="M55" s="17" t="str">
        <f>'TABLA 2'!B53</f>
        <v>Syrian Arab Republic</v>
      </c>
      <c r="P55" s="64"/>
    </row>
    <row r="56" spans="1:16" s="1" customFormat="1" ht="10.55" customHeight="1" x14ac:dyDescent="0.25">
      <c r="A56" s="2"/>
      <c r="B56" s="15" t="str">
        <f>'TABLA 2'!B54</f>
        <v>Trinidad &amp; Tobago</v>
      </c>
      <c r="C56" s="5" t="str">
        <f>'TABLA 2'!C54</f>
        <v>C</v>
      </c>
      <c r="D56" s="24">
        <f>'TABLA 2'!J54</f>
        <v>2776</v>
      </c>
      <c r="E56" s="5">
        <f>'TABLA 2'!P54</f>
        <v>2</v>
      </c>
      <c r="F56" s="25">
        <f>D56/LOOKUP(C56,'TABLA 4'!B$9:B$12,'TABLA 4'!E$9:E$12)</f>
        <v>6.9533330160582918E-3</v>
      </c>
      <c r="G56" s="25">
        <f>(E56+1)/(LOOKUP(C56,'TABLA 4'!B$9:B$12,'TABLA 4'!D$9:D$12)+LOOKUP(C56,'TABLA 4'!B$9:B$12,'TABLA 4'!C$9:C$12))</f>
        <v>4.0540540540540543E-2</v>
      </c>
      <c r="H56" s="26">
        <f t="shared" si="0"/>
        <v>864.99999999999989</v>
      </c>
      <c r="I56" s="26">
        <f t="shared" si="1"/>
        <v>1729.9999999999998</v>
      </c>
      <c r="J56" s="26">
        <f>LOOKUP(C56,'TABLA 4'!B$9:B$12,'TABLA 4'!J$9:J$12)/3*G56</f>
        <v>17321.442418918923</v>
      </c>
      <c r="K56" s="26">
        <f>LOOKUP(C56,'TABLA 4'!B$9:B$12,'TABLA 4'!J$9:J$12)/3*2*F56</f>
        <v>5941.7933678895952</v>
      </c>
      <c r="L56" s="27">
        <f t="shared" si="2"/>
        <v>25858.235786808516</v>
      </c>
      <c r="M56" s="17" t="str">
        <f>'TABLA 2'!B54</f>
        <v>Trinidad &amp; Tobago</v>
      </c>
      <c r="P56" s="64"/>
    </row>
    <row r="57" spans="1:16" s="1" customFormat="1" ht="10.55" customHeight="1" x14ac:dyDescent="0.25">
      <c r="A57" s="2"/>
      <c r="B57" s="15" t="str">
        <f>'TABLA 2'!B55</f>
        <v>Tunisie</v>
      </c>
      <c r="C57" s="5" t="str">
        <f>'TABLA 2'!C55</f>
        <v>C</v>
      </c>
      <c r="D57" s="24">
        <f>'TABLA 2'!J55</f>
        <v>18228</v>
      </c>
      <c r="E57" s="5">
        <f>'TABLA 2'!P55</f>
        <v>2</v>
      </c>
      <c r="F57" s="25">
        <f>D57/LOOKUP(C57,'TABLA 4'!B$9:B$12,'TABLA 4'!E$9:E$12)</f>
        <v>4.5657548348959132E-2</v>
      </c>
      <c r="G57" s="25">
        <f>(E57+1)/(LOOKUP(C57,'TABLA 4'!B$9:B$12,'TABLA 4'!D$9:D$12)+LOOKUP(C57,'TABLA 4'!B$9:B$12,'TABLA 4'!C$9:C$12))</f>
        <v>4.0540540540540543E-2</v>
      </c>
      <c r="H57" s="26">
        <f t="shared" si="0"/>
        <v>864.99999999999989</v>
      </c>
      <c r="I57" s="26">
        <f t="shared" si="1"/>
        <v>1729.9999999999998</v>
      </c>
      <c r="J57" s="26">
        <f>LOOKUP(C57,'TABLA 4'!B$9:B$12,'TABLA 4'!J$9:J$12)/3*G57</f>
        <v>17321.442418918923</v>
      </c>
      <c r="K57" s="26">
        <f>LOOKUP(C57,'TABLA 4'!B$9:B$12,'TABLA 4'!J$9:J$12)/3*2*F57</f>
        <v>39015.493339298111</v>
      </c>
      <c r="L57" s="27">
        <f t="shared" si="2"/>
        <v>58931.935758217034</v>
      </c>
      <c r="M57" s="17" t="str">
        <f>'TABLA 2'!B55</f>
        <v>Tunisie</v>
      </c>
      <c r="P57" s="64"/>
    </row>
    <row r="58" spans="1:16" s="1" customFormat="1" ht="10.55" customHeight="1" x14ac:dyDescent="0.25">
      <c r="A58" s="2"/>
      <c r="B58" s="15" t="str">
        <f>'TABLA 2'!B56</f>
        <v>Türkiye</v>
      </c>
      <c r="C58" s="5" t="str">
        <f>'TABLA 2'!C56</f>
        <v>B</v>
      </c>
      <c r="D58" s="24">
        <f>'TABLA 2'!J56</f>
        <v>22665</v>
      </c>
      <c r="E58" s="5">
        <f>'TABLA 2'!P56</f>
        <v>2</v>
      </c>
      <c r="F58" s="25">
        <f>D58/LOOKUP(C58,'TABLA 4'!B$9:B$12,'TABLA 4'!E$9:E$12)</f>
        <v>0.19275581711797524</v>
      </c>
      <c r="G58" s="25">
        <f>(E58+1)/(LOOKUP(C58,'TABLA 4'!B$9:B$12,'TABLA 4'!D$9:D$12)+LOOKUP(C58,'TABLA 4'!B$9:B$12,'TABLA 4'!C$9:C$12))</f>
        <v>0.17647058823529413</v>
      </c>
      <c r="H58" s="26">
        <f t="shared" si="0"/>
        <v>864.99999999999989</v>
      </c>
      <c r="I58" s="26">
        <f t="shared" si="1"/>
        <v>1729.9999999999998</v>
      </c>
      <c r="J58" s="26">
        <f>LOOKUP(C58,'TABLA 4'!B$9:B$12,'TABLA 4'!J$9:J$12)/3*G58</f>
        <v>44371.865176470586</v>
      </c>
      <c r="K58" s="26">
        <f>LOOKUP(C58,'TABLA 4'!B$9:B$12,'TABLA 4'!J$9:J$12)/3*2*F58</f>
        <v>96933.264796911142</v>
      </c>
      <c r="L58" s="27">
        <f t="shared" si="2"/>
        <v>143900.12997338173</v>
      </c>
      <c r="M58" s="17" t="str">
        <f>'TABLA 2'!B56</f>
        <v>Türkiye</v>
      </c>
      <c r="P58" s="64"/>
    </row>
    <row r="59" spans="1:16" s="1" customFormat="1" ht="10.55" customHeight="1" x14ac:dyDescent="0.25">
      <c r="A59" s="2"/>
      <c r="B59" s="15" t="str">
        <f>'TABLA 2'!B57</f>
        <v>Union Européenne</v>
      </c>
      <c r="C59" s="5" t="str">
        <f>'TABLA 2'!C57</f>
        <v>A</v>
      </c>
      <c r="D59" s="24">
        <f>'TABLA 2'!J57</f>
        <v>270413</v>
      </c>
      <c r="E59" s="5">
        <f>'TABLA 2'!P57</f>
        <v>4</v>
      </c>
      <c r="F59" s="25">
        <f>D59/LOOKUP(C59,'TABLA 4'!B$9:B$12,'TABLA 4'!E$9:E$12)</f>
        <v>0.75212498470233524</v>
      </c>
      <c r="G59" s="25">
        <f>(E59+1)/(LOOKUP(C59,'TABLA 4'!B$9:B$12,'TABLA 4'!D$9:D$12)+LOOKUP(C59,'TABLA 4'!B$9:B$12,'TABLA 4'!C$9:C$12))</f>
        <v>0.10869565217391304</v>
      </c>
      <c r="H59" s="26">
        <f t="shared" si="0"/>
        <v>864.99999999999989</v>
      </c>
      <c r="I59" s="26">
        <f t="shared" si="1"/>
        <v>3459.9999999999995</v>
      </c>
      <c r="J59" s="26">
        <f>LOOKUP(C59,'TABLA 4'!B$9:B$12,'TABLA 4'!J$9:J$12)/3*G59</f>
        <v>144260.1024365942</v>
      </c>
      <c r="K59" s="26">
        <f>LOOKUP(C59,'TABLA 4'!B$9:B$12,'TABLA 4'!J$9:J$12)/3*2*F59</f>
        <v>1996429.9430243657</v>
      </c>
      <c r="L59" s="27">
        <f t="shared" si="2"/>
        <v>2145015.0454609599</v>
      </c>
      <c r="M59" s="17" t="str">
        <f>'TABLA 2'!B57</f>
        <v>Union Européenne</v>
      </c>
      <c r="P59" s="64"/>
    </row>
    <row r="60" spans="1:16" s="1" customFormat="1" ht="21.5" customHeight="1" x14ac:dyDescent="0.25">
      <c r="A60" s="2"/>
      <c r="B60" s="58" t="str">
        <f>'TABLA 2'!B58</f>
        <v xml:space="preserve">United Kingdom of Great Britain and Northern Ireland </v>
      </c>
      <c r="C60" s="5" t="str">
        <f>'TABLA 2'!C58</f>
        <v>A</v>
      </c>
      <c r="D60" s="24">
        <f>'TABLA 2'!J58</f>
        <v>396</v>
      </c>
      <c r="E60" s="5">
        <f>'TABLA 2'!P58</f>
        <v>4</v>
      </c>
      <c r="F60" s="25">
        <f>D60/LOOKUP(C60,'TABLA 4'!B$9:B$12,'TABLA 4'!E$9:E$12)</f>
        <v>1.1014318614198458E-3</v>
      </c>
      <c r="G60" s="25">
        <f>(E60+1)/(LOOKUP(C60,'TABLA 4'!B$9:B$12,'TABLA 4'!D$9:D$12)+LOOKUP(C60,'TABLA 4'!B$9:B$12,'TABLA 4'!C$9:C$12))</f>
        <v>0.10869565217391304</v>
      </c>
      <c r="H60" s="26">
        <f t="shared" si="0"/>
        <v>864.99999999999989</v>
      </c>
      <c r="I60" s="26">
        <f t="shared" si="1"/>
        <v>3459.9999999999995</v>
      </c>
      <c r="J60" s="26">
        <f>LOOKUP(C60,'TABLA 4'!B$9:B$12,'TABLA 4'!J$9:J$12)/3*G60</f>
        <v>144260.1024365942</v>
      </c>
      <c r="K60" s="26">
        <f>LOOKUP(C60,'TABLA 4'!B$9:B$12,'TABLA 4'!J$9:J$12)/3*2*F60</f>
        <v>2923.625186058543</v>
      </c>
      <c r="L60" s="27">
        <f t="shared" si="2"/>
        <v>151508.72762265275</v>
      </c>
      <c r="M60" s="59" t="str">
        <f>'TABLA 2'!B58</f>
        <v xml:space="preserve">United Kingdom of Great Britain and Northern Ireland </v>
      </c>
      <c r="P60" s="64"/>
    </row>
    <row r="61" spans="1:16" s="1" customFormat="1" ht="10.55" customHeight="1" x14ac:dyDescent="0.25">
      <c r="A61" s="2"/>
      <c r="B61" s="15" t="str">
        <f>'TABLA 2'!B59</f>
        <v>United States</v>
      </c>
      <c r="C61" s="5" t="str">
        <f>'TABLA 2'!C59</f>
        <v>A</v>
      </c>
      <c r="D61" s="24">
        <f>'TABLA 2'!J59</f>
        <v>40011</v>
      </c>
      <c r="E61" s="5">
        <f>'TABLA 2'!P59</f>
        <v>4</v>
      </c>
      <c r="F61" s="25">
        <f>D61/LOOKUP(C61,'TABLA 4'!B$9:B$12,'TABLA 4'!E$9:E$12)</f>
        <v>0.11128633890724608</v>
      </c>
      <c r="G61" s="25">
        <f>(E61+1)/(LOOKUP(C61,'TABLA 4'!B$9:B$12,'TABLA 4'!D$9:D$12)+LOOKUP(C61,'TABLA 4'!B$9:B$12,'TABLA 4'!C$9:C$12))</f>
        <v>0.10869565217391304</v>
      </c>
      <c r="H61" s="26">
        <f t="shared" si="0"/>
        <v>864.99999999999989</v>
      </c>
      <c r="I61" s="26">
        <f t="shared" si="1"/>
        <v>3459.9999999999995</v>
      </c>
      <c r="J61" s="26">
        <f>LOOKUP(C61,'TABLA 4'!B$9:B$12,'TABLA 4'!J$9:J$12)/3*G61</f>
        <v>144260.1024365942</v>
      </c>
      <c r="K61" s="26">
        <f>LOOKUP(C61,'TABLA 4'!B$9:B$12,'TABLA 4'!J$9:J$12)/3*2*F61</f>
        <v>295396.88717017265</v>
      </c>
      <c r="L61" s="27">
        <f t="shared" si="2"/>
        <v>443981.98960676685</v>
      </c>
      <c r="M61" s="17" t="str">
        <f>'TABLA 2'!B59</f>
        <v>United States</v>
      </c>
      <c r="P61" s="64"/>
    </row>
    <row r="62" spans="1:16" s="1" customFormat="1" ht="10.55" customHeight="1" x14ac:dyDescent="0.25">
      <c r="A62" s="2"/>
      <c r="B62" s="15" t="str">
        <f>'TABLA 2'!B60</f>
        <v>Uruguay</v>
      </c>
      <c r="C62" s="5" t="str">
        <f>'TABLA 2'!C60</f>
        <v>C</v>
      </c>
      <c r="D62" s="24">
        <f>'TABLA 2'!J60</f>
        <v>0</v>
      </c>
      <c r="E62" s="5">
        <f>'TABLA 2'!P60</f>
        <v>3</v>
      </c>
      <c r="F62" s="25">
        <f>D62/LOOKUP(C62,'TABLA 4'!B$9:B$12,'TABLA 4'!E$9:E$12)</f>
        <v>0</v>
      </c>
      <c r="G62" s="25">
        <f>(E62+1)/(LOOKUP(C62,'TABLA 4'!B$9:B$12,'TABLA 4'!D$9:D$12)+LOOKUP(C62,'TABLA 4'!B$9:B$12,'TABLA 4'!C$9:C$12))</f>
        <v>5.4054054054054057E-2</v>
      </c>
      <c r="H62" s="26">
        <f t="shared" si="0"/>
        <v>864.99999999999989</v>
      </c>
      <c r="I62" s="26">
        <f t="shared" si="1"/>
        <v>2594.9999999999995</v>
      </c>
      <c r="J62" s="26">
        <f>LOOKUP(C62,'TABLA 4'!B$9:B$12,'TABLA 4'!J$9:J$12)/3*G62</f>
        <v>23095.256558558562</v>
      </c>
      <c r="K62" s="26">
        <f>LOOKUP(C62,'TABLA 4'!B$9:B$12,'TABLA 4'!J$9:J$12)/3*2*F62</f>
        <v>0</v>
      </c>
      <c r="L62" s="27">
        <f t="shared" si="2"/>
        <v>26555.256558558562</v>
      </c>
      <c r="M62" s="17" t="str">
        <f>'TABLA 2'!B60</f>
        <v>Uruguay</v>
      </c>
      <c r="P62" s="64"/>
    </row>
    <row r="63" spans="1:16" s="1" customFormat="1" ht="10.55" customHeight="1" x14ac:dyDescent="0.25">
      <c r="A63" s="2"/>
      <c r="B63" s="15" t="str">
        <f>'TABLA 2'!B61</f>
        <v>Venezuela</v>
      </c>
      <c r="C63" s="5" t="str">
        <f>'TABLA 2'!C61</f>
        <v>D</v>
      </c>
      <c r="D63" s="24">
        <f>'TABLA 2'!J61</f>
        <v>4867</v>
      </c>
      <c r="E63" s="5">
        <f>'TABLA 2'!P61</f>
        <v>3</v>
      </c>
      <c r="F63" s="25">
        <f>D63/LOOKUP(C63,'TABLA 4'!B$9:B$12,'TABLA 4'!E$9:E$12)</f>
        <v>0.2109574790862988</v>
      </c>
      <c r="G63" s="25">
        <f>(E63+1)/(LOOKUP(C63,'TABLA 4'!B$9:B$12,'TABLA 4'!D$9:D$12)+LOOKUP(C63,'TABLA 4'!B$9:B$12,'TABLA 4'!C$9:C$12))</f>
        <v>7.5471698113207544E-2</v>
      </c>
      <c r="H63" s="26">
        <f t="shared" si="0"/>
        <v>864.99999999999989</v>
      </c>
      <c r="I63" s="26">
        <f t="shared" si="1"/>
        <v>2594.9999999999995</v>
      </c>
      <c r="J63" s="26">
        <f>LOOKUP(C63,'TABLA 4'!B$9:B$12,'TABLA 4'!J$9:J$12)/3*G63</f>
        <v>5698.5817798742146</v>
      </c>
      <c r="K63" s="26">
        <f>LOOKUP(C63,'TABLA 4'!B$9:B$12,'TABLA 4'!J$9:J$12)/3*2*F63</f>
        <v>31857.198836208518</v>
      </c>
      <c r="L63" s="27">
        <f t="shared" si="2"/>
        <v>41015.780616082731</v>
      </c>
      <c r="M63" s="17" t="str">
        <f>'TABLA 2'!B61</f>
        <v>Venezuela</v>
      </c>
      <c r="P63" s="64"/>
    </row>
    <row r="64" spans="1:16" x14ac:dyDescent="0.25">
      <c r="A64" s="28" t="s">
        <v>234</v>
      </c>
      <c r="B64" s="29"/>
      <c r="C64" s="30"/>
      <c r="D64" s="30"/>
      <c r="E64" s="30"/>
      <c r="F64" s="29"/>
      <c r="G64" s="29"/>
      <c r="H64" s="31"/>
      <c r="I64" s="31"/>
      <c r="J64" s="31"/>
      <c r="K64" s="31"/>
      <c r="L64" s="31"/>
      <c r="M64" s="29"/>
    </row>
    <row r="66" spans="1:1" x14ac:dyDescent="0.25">
      <c r="A66" s="19" t="s">
        <v>336</v>
      </c>
    </row>
    <row r="67" spans="1:1" x14ac:dyDescent="0.25">
      <c r="A67" s="19" t="s">
        <v>335</v>
      </c>
    </row>
    <row r="68" spans="1:1" x14ac:dyDescent="0.25">
      <c r="A68" s="19" t="s">
        <v>337</v>
      </c>
    </row>
  </sheetData>
  <mergeCells count="1">
    <mergeCell ref="A1:M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paperSize="9" scale="74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showGridLines="0" zoomScaleNormal="100" workbookViewId="0">
      <selection activeCell="N24" sqref="N24"/>
    </sheetView>
  </sheetViews>
  <sheetFormatPr defaultColWidth="11.33203125" defaultRowHeight="13.05" x14ac:dyDescent="0.3"/>
  <cols>
    <col min="1" max="1" width="1.33203125" style="10" customWidth="1"/>
    <col min="2" max="2" width="13.6640625" style="11" customWidth="1"/>
    <col min="3" max="4" width="13.6640625" style="10" customWidth="1"/>
    <col min="5" max="5" width="13.6640625" style="45" customWidth="1"/>
    <col min="6" max="7" width="13.6640625" style="10" customWidth="1"/>
    <col min="8" max="11" width="13.6640625" style="45" customWidth="1"/>
    <col min="12" max="16384" width="11.33203125" style="10"/>
  </cols>
  <sheetData>
    <row r="1" spans="1:11" ht="25.5" customHeight="1" x14ac:dyDescent="0.3">
      <c r="A1" s="147" t="s">
        <v>327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s="19" customFormat="1" ht="6.05" customHeight="1" x14ac:dyDescent="0.25">
      <c r="A2" s="32"/>
      <c r="B2" s="33"/>
      <c r="C2" s="32"/>
      <c r="D2" s="32"/>
      <c r="E2" s="34"/>
      <c r="F2" s="32"/>
      <c r="G2" s="32"/>
      <c r="H2" s="34"/>
      <c r="I2" s="34"/>
      <c r="J2" s="34"/>
      <c r="K2" s="34"/>
    </row>
    <row r="3" spans="1:11" s="9" customFormat="1" ht="12.45" customHeight="1" x14ac:dyDescent="0.25">
      <c r="A3" s="13"/>
      <c r="B3" s="35"/>
      <c r="C3" s="35"/>
      <c r="D3" s="35"/>
      <c r="E3" s="23" t="s">
        <v>110</v>
      </c>
      <c r="F3" s="35" t="s">
        <v>111</v>
      </c>
      <c r="G3" s="35" t="s">
        <v>112</v>
      </c>
      <c r="H3" s="23"/>
      <c r="I3" s="23" t="s">
        <v>113</v>
      </c>
      <c r="J3" s="23" t="s">
        <v>114</v>
      </c>
      <c r="K3" s="23" t="s">
        <v>2</v>
      </c>
    </row>
    <row r="4" spans="1:11" s="9" customFormat="1" ht="12.45" customHeight="1" x14ac:dyDescent="0.25">
      <c r="A4" s="13"/>
      <c r="B4" s="14" t="s">
        <v>109</v>
      </c>
      <c r="C4" s="14" t="s">
        <v>235</v>
      </c>
      <c r="D4" s="14" t="s">
        <v>236</v>
      </c>
      <c r="E4" s="8" t="s">
        <v>237</v>
      </c>
      <c r="F4" s="14" t="s">
        <v>238</v>
      </c>
      <c r="G4" s="14" t="s">
        <v>239</v>
      </c>
      <c r="H4" s="8" t="s">
        <v>240</v>
      </c>
      <c r="I4" s="8" t="s">
        <v>241</v>
      </c>
      <c r="J4" s="8" t="s">
        <v>213</v>
      </c>
      <c r="K4" s="8" t="s">
        <v>242</v>
      </c>
    </row>
    <row r="5" spans="1:11" s="9" customFormat="1" ht="12.45" customHeight="1" x14ac:dyDescent="0.25">
      <c r="A5" s="12"/>
      <c r="B5" s="35"/>
      <c r="C5" s="35"/>
      <c r="D5" s="35"/>
      <c r="E5" s="23" t="s">
        <v>98</v>
      </c>
      <c r="F5" s="35" t="s">
        <v>105</v>
      </c>
      <c r="G5" s="35" t="s">
        <v>106</v>
      </c>
      <c r="H5" s="23"/>
      <c r="I5" s="23" t="s">
        <v>107</v>
      </c>
      <c r="J5" s="23" t="s">
        <v>108</v>
      </c>
      <c r="K5" s="23" t="s">
        <v>2</v>
      </c>
    </row>
    <row r="6" spans="1:11" s="9" customFormat="1" ht="12.45" customHeight="1" x14ac:dyDescent="0.25">
      <c r="A6" s="3"/>
      <c r="B6" s="14" t="s">
        <v>104</v>
      </c>
      <c r="C6" s="14" t="s">
        <v>235</v>
      </c>
      <c r="D6" s="14" t="s">
        <v>243</v>
      </c>
      <c r="E6" s="8" t="s">
        <v>244</v>
      </c>
      <c r="F6" s="14" t="s">
        <v>245</v>
      </c>
      <c r="G6" s="14" t="s">
        <v>239</v>
      </c>
      <c r="H6" s="8" t="s">
        <v>246</v>
      </c>
      <c r="I6" s="8" t="s">
        <v>247</v>
      </c>
      <c r="J6" s="8" t="s">
        <v>248</v>
      </c>
      <c r="K6" s="8" t="s">
        <v>249</v>
      </c>
    </row>
    <row r="7" spans="1:11" s="9" customFormat="1" ht="12.45" customHeight="1" x14ac:dyDescent="0.25">
      <c r="A7" s="13"/>
      <c r="B7" s="35"/>
      <c r="C7" s="35"/>
      <c r="D7" s="35"/>
      <c r="E7" s="23" t="s">
        <v>15</v>
      </c>
      <c r="F7" s="35" t="s">
        <v>16</v>
      </c>
      <c r="G7" s="35" t="s">
        <v>18</v>
      </c>
      <c r="H7" s="23"/>
      <c r="I7" s="23" t="s">
        <v>19</v>
      </c>
      <c r="J7" s="23" t="s">
        <v>20</v>
      </c>
      <c r="K7" s="23" t="s">
        <v>2</v>
      </c>
    </row>
    <row r="8" spans="1:11" s="9" customFormat="1" ht="12.45" customHeight="1" x14ac:dyDescent="0.25">
      <c r="A8" s="3"/>
      <c r="B8" s="14" t="s">
        <v>14</v>
      </c>
      <c r="C8" s="14" t="s">
        <v>250</v>
      </c>
      <c r="D8" s="14" t="s">
        <v>251</v>
      </c>
      <c r="E8" s="8" t="s">
        <v>252</v>
      </c>
      <c r="F8" s="14" t="s">
        <v>253</v>
      </c>
      <c r="G8" s="14" t="s">
        <v>254</v>
      </c>
      <c r="H8" s="8" t="s">
        <v>255</v>
      </c>
      <c r="I8" s="8" t="s">
        <v>256</v>
      </c>
      <c r="J8" s="8" t="s">
        <v>233</v>
      </c>
      <c r="K8" s="8" t="s">
        <v>257</v>
      </c>
    </row>
    <row r="9" spans="1:11" s="1" customFormat="1" ht="12.45" customHeight="1" x14ac:dyDescent="0.25">
      <c r="A9" s="2"/>
      <c r="B9" s="35" t="s">
        <v>21</v>
      </c>
      <c r="C9" s="2">
        <f>COUNTIF('TABLA 3'!C$9:C$63,B9)</f>
        <v>13</v>
      </c>
      <c r="D9" s="2">
        <f>SUMIF('TABLA 3'!C$9:C$63,B9,'TABLA 3'!E$9:E$63)</f>
        <v>33</v>
      </c>
      <c r="E9" s="16">
        <f>SUMIF('TABLA 3'!C$9:C$63,B9,'TABLA 3'!D$9:D$63)</f>
        <v>359532</v>
      </c>
      <c r="F9" s="36" t="s">
        <v>30</v>
      </c>
      <c r="G9" s="25">
        <f>1-(SUM(G10:G12))</f>
        <v>0.62750000000000006</v>
      </c>
      <c r="H9" s="26">
        <f>SUMIF('TABLA 3'!C$9:C$63,B9,'TABLA 3'!H$9:H$63)</f>
        <v>11244.999999999998</v>
      </c>
      <c r="I9" s="26">
        <f>SUMIF('TABLA 3'!C$9:C$63,B9,'TABLA 3'!I$9:I$63)</f>
        <v>28544.999999999996</v>
      </c>
      <c r="J9" s="26">
        <f>MAX(K9-I9-H9)</f>
        <v>3981578.8272500006</v>
      </c>
      <c r="K9" s="26">
        <f>G9*K$13</f>
        <v>4021368.8272500006</v>
      </c>
    </row>
    <row r="10" spans="1:11" s="1" customFormat="1" ht="12.45" customHeight="1" x14ac:dyDescent="0.25">
      <c r="A10" s="2"/>
      <c r="B10" s="35" t="s">
        <v>26</v>
      </c>
      <c r="C10" s="2">
        <f>COUNTIF('TABLA 3'!C$9:C$63,B10)</f>
        <v>4</v>
      </c>
      <c r="D10" s="2">
        <f>SUMIF('TABLA 3'!C$9:C$63,B10,'TABLA 3'!E$9:E$63)</f>
        <v>13</v>
      </c>
      <c r="E10" s="16">
        <f>SUMIF('TABLA 3'!C$9:C$63,B10,'TABLA 3'!D$9:D$63)</f>
        <v>117584</v>
      </c>
      <c r="F10" s="25">
        <v>0.03</v>
      </c>
      <c r="G10" s="25">
        <f>C10*F10</f>
        <v>0.12</v>
      </c>
      <c r="H10" s="26">
        <f>SUMIF('TABLA 3'!C$9:C$63,B10,'TABLA 3'!H$9:H$63)</f>
        <v>3459.9999999999995</v>
      </c>
      <c r="I10" s="26">
        <f>SUMIF('TABLA 3'!C$9:C$63,B10,'TABLA 3'!I$9:I$63)</f>
        <v>11244.999999999998</v>
      </c>
      <c r="J10" s="26">
        <f>MAX(K10-I10-H10)</f>
        <v>754321.70799999998</v>
      </c>
      <c r="K10" s="26">
        <f>G10*K$13</f>
        <v>769026.70799999998</v>
      </c>
    </row>
    <row r="11" spans="1:11" s="1" customFormat="1" ht="12.45" customHeight="1" x14ac:dyDescent="0.25">
      <c r="A11" s="2"/>
      <c r="B11" s="35" t="s">
        <v>28</v>
      </c>
      <c r="C11" s="2">
        <f>COUNTIF('TABLA 3'!C$9:C$63,B11)</f>
        <v>21</v>
      </c>
      <c r="D11" s="2">
        <f>SUMIF('TABLA 3'!C$9:C$63,B11,'TABLA 3'!E$9:E$63)</f>
        <v>53</v>
      </c>
      <c r="E11" s="16">
        <f>SUMIF('TABLA 3'!C$9:C$63,B11,'TABLA 3'!D$9:D$63)</f>
        <v>399233</v>
      </c>
      <c r="F11" s="25">
        <v>0.01</v>
      </c>
      <c r="G11" s="25">
        <f>C11*F11</f>
        <v>0.21</v>
      </c>
      <c r="H11" s="26">
        <f>SUMIF('TABLA 3'!C$9:C$63,B11,'TABLA 3'!H$9:H$63)</f>
        <v>18164.999999999996</v>
      </c>
      <c r="I11" s="26">
        <f>SUMIF('TABLA 3'!C$9:C$63,B11,'TABLA 3'!I$9:I$63)</f>
        <v>45844.999999999993</v>
      </c>
      <c r="J11" s="26">
        <f>MAX(K11-I11-H11)</f>
        <v>1281786.7390000001</v>
      </c>
      <c r="K11" s="26">
        <f>G11*K$13</f>
        <v>1345796.7390000001</v>
      </c>
    </row>
    <row r="12" spans="1:11" s="1" customFormat="1" ht="12.45" customHeight="1" x14ac:dyDescent="0.25">
      <c r="A12" s="4"/>
      <c r="B12" s="14" t="s">
        <v>27</v>
      </c>
      <c r="C12" s="2">
        <f>COUNTIF('TABLA 3'!C$9:C$63,B12)</f>
        <v>17</v>
      </c>
      <c r="D12" s="2">
        <f>SUMIF('TABLA 3'!C$9:C$63,B12,'TABLA 3'!E$9:E$63)</f>
        <v>36</v>
      </c>
      <c r="E12" s="16">
        <f>SUMIF('TABLA 3'!C$9:C$63,B12,'TABLA 3'!D$9:D$63)</f>
        <v>23071</v>
      </c>
      <c r="F12" s="37">
        <v>2.5000000000000001E-3</v>
      </c>
      <c r="G12" s="37">
        <f>C12*F12</f>
        <v>4.2500000000000003E-2</v>
      </c>
      <c r="H12" s="26">
        <f>SUMIF('TABLA 3'!C$9:C$63,B12,'TABLA 3'!H$9:H$63)</f>
        <v>14704.999999999998</v>
      </c>
      <c r="I12" s="26">
        <f>SUMIF('TABLA 3'!C$9:C$63,B12,'TABLA 3'!I$9:I$63)</f>
        <v>31139.999999999996</v>
      </c>
      <c r="J12" s="38">
        <f>MAX(K12-I12-H12)</f>
        <v>226518.62575000001</v>
      </c>
      <c r="K12" s="38">
        <f>G12*K$13</f>
        <v>272363.62575000001</v>
      </c>
    </row>
    <row r="13" spans="1:11" s="9" customFormat="1" ht="12.45" customHeight="1" x14ac:dyDescent="0.25">
      <c r="A13" s="39"/>
      <c r="B13" s="40" t="s">
        <v>29</v>
      </c>
      <c r="C13" s="39">
        <f>SUM(C9:C12)</f>
        <v>55</v>
      </c>
      <c r="D13" s="39">
        <f>SUM(D9:D12)</f>
        <v>135</v>
      </c>
      <c r="E13" s="41">
        <f>SUM(E9:E12)</f>
        <v>899420</v>
      </c>
      <c r="F13" s="42"/>
      <c r="G13" s="42">
        <f>SUM(G9:G12)</f>
        <v>1</v>
      </c>
      <c r="H13" s="43">
        <f>SUM(H9:H12)</f>
        <v>47574.999999999993</v>
      </c>
      <c r="I13" s="43">
        <f>SUM(I9:I12)</f>
        <v>116774.99999999999</v>
      </c>
      <c r="J13" s="43">
        <f>SUM(J9:J12)</f>
        <v>6244205.9000000004</v>
      </c>
      <c r="K13" s="43">
        <f>'TABLA 1 PRESUPUESTO'!E34</f>
        <v>6408555.9000000004</v>
      </c>
    </row>
    <row r="14" spans="1:11" s="19" customFormat="1" ht="10.65" x14ac:dyDescent="0.25">
      <c r="B14" s="44"/>
      <c r="E14" s="21"/>
      <c r="H14" s="21"/>
      <c r="I14" s="21"/>
      <c r="J14" s="21"/>
      <c r="K14" s="21"/>
    </row>
    <row r="15" spans="1:11" s="19" customFormat="1" ht="11.6" x14ac:dyDescent="0.25">
      <c r="A15" s="9" t="s">
        <v>258</v>
      </c>
      <c r="B15" s="44"/>
      <c r="E15" s="21"/>
      <c r="H15" s="21"/>
      <c r="I15" s="21"/>
      <c r="J15" s="21"/>
      <c r="K15" s="21"/>
    </row>
    <row r="16" spans="1:11" s="19" customFormat="1" ht="10.65" x14ac:dyDescent="0.25">
      <c r="B16" s="44"/>
      <c r="E16" s="21"/>
      <c r="H16" s="21"/>
      <c r="I16" s="21"/>
      <c r="J16" s="21"/>
      <c r="K16" s="21"/>
    </row>
    <row r="17" spans="1:11" s="19" customFormat="1" ht="10.65" x14ac:dyDescent="0.25">
      <c r="A17" s="19" t="s">
        <v>336</v>
      </c>
      <c r="B17" s="44"/>
      <c r="E17" s="21"/>
      <c r="H17" s="21"/>
      <c r="I17" s="21"/>
      <c r="J17" s="21"/>
      <c r="K17" s="21"/>
    </row>
    <row r="18" spans="1:11" s="19" customFormat="1" ht="10.65" x14ac:dyDescent="0.25">
      <c r="A18" s="19" t="s">
        <v>335</v>
      </c>
      <c r="B18" s="44"/>
      <c r="E18" s="21"/>
      <c r="H18" s="21"/>
      <c r="I18" s="21"/>
      <c r="J18" s="21"/>
      <c r="K18" s="21"/>
    </row>
    <row r="19" spans="1:11" s="19" customFormat="1" ht="10.65" x14ac:dyDescent="0.25">
      <c r="A19" s="19" t="s">
        <v>337</v>
      </c>
      <c r="B19" s="44"/>
      <c r="E19" s="21"/>
      <c r="H19" s="21"/>
      <c r="I19" s="21"/>
      <c r="J19" s="21"/>
      <c r="K19" s="21"/>
    </row>
    <row r="20" spans="1:11" s="19" customFormat="1" ht="10.65" x14ac:dyDescent="0.25">
      <c r="B20" s="44"/>
      <c r="E20" s="21"/>
      <c r="H20" s="21"/>
      <c r="I20" s="21"/>
      <c r="J20" s="21"/>
      <c r="K20" s="21"/>
    </row>
    <row r="21" spans="1:11" s="19" customFormat="1" ht="10.65" x14ac:dyDescent="0.25">
      <c r="B21" s="44"/>
      <c r="E21" s="21"/>
      <c r="H21" s="21"/>
      <c r="I21" s="21"/>
      <c r="J21" s="21"/>
      <c r="K21" s="21"/>
    </row>
    <row r="22" spans="1:11" s="19" customFormat="1" ht="10.65" x14ac:dyDescent="0.25">
      <c r="B22" s="44"/>
      <c r="E22" s="21"/>
      <c r="H22" s="21"/>
      <c r="I22" s="21"/>
      <c r="J22" s="21"/>
      <c r="K22" s="21"/>
    </row>
    <row r="23" spans="1:11" s="19" customFormat="1" ht="10.65" x14ac:dyDescent="0.25">
      <c r="B23" s="44"/>
      <c r="E23" s="21"/>
      <c r="H23" s="21"/>
      <c r="I23" s="21"/>
      <c r="J23" s="21"/>
      <c r="K23" s="21"/>
    </row>
    <row r="24" spans="1:11" s="19" customFormat="1" ht="10.65" x14ac:dyDescent="0.25">
      <c r="B24" s="44"/>
      <c r="E24" s="21"/>
      <c r="H24" s="21"/>
      <c r="I24" s="21"/>
      <c r="J24" s="21"/>
      <c r="K24" s="21"/>
    </row>
    <row r="25" spans="1:11" s="19" customFormat="1" ht="10.65" x14ac:dyDescent="0.25">
      <c r="B25" s="44"/>
      <c r="E25" s="21"/>
      <c r="H25" s="21"/>
      <c r="I25" s="21"/>
      <c r="J25" s="21"/>
      <c r="K25" s="21"/>
    </row>
    <row r="26" spans="1:11" s="19" customFormat="1" ht="10.65" x14ac:dyDescent="0.25">
      <c r="B26" s="44"/>
      <c r="E26" s="21"/>
      <c r="H26" s="21"/>
      <c r="I26" s="21"/>
      <c r="J26" s="21"/>
      <c r="K26" s="21"/>
    </row>
    <row r="27" spans="1:11" s="19" customFormat="1" ht="10.65" x14ac:dyDescent="0.25">
      <c r="B27" s="44"/>
      <c r="E27" s="21"/>
      <c r="H27" s="21"/>
      <c r="I27" s="21"/>
      <c r="J27" s="21"/>
      <c r="K27" s="21"/>
    </row>
    <row r="28" spans="1:11" s="19" customFormat="1" ht="10.65" x14ac:dyDescent="0.25">
      <c r="B28" s="44"/>
      <c r="E28" s="21"/>
      <c r="H28" s="21"/>
      <c r="I28" s="21"/>
      <c r="J28" s="21"/>
      <c r="K28" s="21"/>
    </row>
  </sheetData>
  <mergeCells count="1">
    <mergeCell ref="A1:K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paperSize="9" scale="75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D443-3A26-4F1E-B3AB-A69F26E53A96}">
  <dimension ref="A1:P68"/>
  <sheetViews>
    <sheetView showGridLines="0" topLeftCell="A42" zoomScaleNormal="100" workbookViewId="0">
      <selection activeCell="S38" sqref="S38"/>
    </sheetView>
  </sheetViews>
  <sheetFormatPr defaultColWidth="11.33203125" defaultRowHeight="10.65" x14ac:dyDescent="0.25"/>
  <cols>
    <col min="1" max="1" width="1.33203125" style="19" customWidth="1"/>
    <col min="2" max="2" width="21.33203125" style="19" customWidth="1"/>
    <col min="3" max="3" width="6.6640625" style="20" customWidth="1"/>
    <col min="4" max="4" width="11.6640625" style="20" customWidth="1"/>
    <col min="5" max="5" width="8.6640625" style="20" customWidth="1"/>
    <col min="6" max="6" width="11.6640625" style="19" customWidth="1"/>
    <col min="7" max="7" width="10.6640625" style="19" customWidth="1"/>
    <col min="8" max="11" width="10.6640625" style="21" customWidth="1"/>
    <col min="12" max="12" width="11.33203125" style="21" bestFit="1" customWidth="1"/>
    <col min="13" max="13" width="27.6640625" style="19" customWidth="1"/>
    <col min="14" max="16384" width="11.33203125" style="19"/>
  </cols>
  <sheetData>
    <row r="1" spans="1:16" ht="25.25" customHeight="1" x14ac:dyDescent="0.3">
      <c r="A1" s="147" t="s">
        <v>332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6" ht="12.95" customHeight="1" x14ac:dyDescent="0.3">
      <c r="A2" s="11"/>
      <c r="J2" s="22" t="s">
        <v>116</v>
      </c>
      <c r="K2" s="61">
        <f>1/0.865</f>
        <v>1.1560693641618498</v>
      </c>
      <c r="L2" s="7" t="s">
        <v>338</v>
      </c>
    </row>
    <row r="3" spans="1:16" s="9" customFormat="1" ht="12.45" customHeight="1" x14ac:dyDescent="0.25">
      <c r="A3" s="12"/>
      <c r="B3" s="57" t="s">
        <v>87</v>
      </c>
      <c r="C3" s="57"/>
      <c r="D3" s="57" t="s">
        <v>89</v>
      </c>
      <c r="E3" s="57"/>
      <c r="F3" s="57" t="s">
        <v>90</v>
      </c>
      <c r="G3" s="57" t="s">
        <v>91</v>
      </c>
      <c r="H3" s="18" t="s">
        <v>92</v>
      </c>
      <c r="I3" s="18" t="s">
        <v>93</v>
      </c>
      <c r="J3" s="18" t="s">
        <v>94</v>
      </c>
      <c r="K3" s="18" t="s">
        <v>95</v>
      </c>
      <c r="L3" s="18" t="s">
        <v>25</v>
      </c>
      <c r="M3" s="57" t="s">
        <v>87</v>
      </c>
    </row>
    <row r="4" spans="1:16" s="9" customFormat="1" ht="12.45" customHeight="1" x14ac:dyDescent="0.25">
      <c r="A4" s="3"/>
      <c r="B4" s="14" t="s">
        <v>88</v>
      </c>
      <c r="C4" s="14" t="s">
        <v>204</v>
      </c>
      <c r="D4" s="14" t="s">
        <v>205</v>
      </c>
      <c r="E4" s="14" t="s">
        <v>206</v>
      </c>
      <c r="F4" s="14" t="s">
        <v>207</v>
      </c>
      <c r="G4" s="14" t="s">
        <v>208</v>
      </c>
      <c r="H4" s="8" t="s">
        <v>209</v>
      </c>
      <c r="I4" s="8" t="s">
        <v>210</v>
      </c>
      <c r="J4" s="8" t="s">
        <v>211</v>
      </c>
      <c r="K4" s="8" t="s">
        <v>212</v>
      </c>
      <c r="L4" s="8" t="s">
        <v>213</v>
      </c>
      <c r="M4" s="14" t="s">
        <v>88</v>
      </c>
    </row>
    <row r="5" spans="1:16" s="9" customFormat="1" ht="12.45" customHeight="1" x14ac:dyDescent="0.25">
      <c r="A5" s="13"/>
      <c r="B5" s="35" t="s">
        <v>96</v>
      </c>
      <c r="C5" s="35"/>
      <c r="D5" s="35" t="s">
        <v>98</v>
      </c>
      <c r="E5" s="35"/>
      <c r="F5" s="35" t="s">
        <v>99</v>
      </c>
      <c r="G5" s="35" t="s">
        <v>100</v>
      </c>
      <c r="H5" s="23" t="s">
        <v>101</v>
      </c>
      <c r="I5" s="23" t="s">
        <v>102</v>
      </c>
      <c r="J5" s="23" t="s">
        <v>31</v>
      </c>
      <c r="K5" s="23" t="s">
        <v>31</v>
      </c>
      <c r="L5" s="23" t="s">
        <v>25</v>
      </c>
      <c r="M5" s="35" t="s">
        <v>96</v>
      </c>
    </row>
    <row r="6" spans="1:16" s="9" customFormat="1" ht="12.45" customHeight="1" x14ac:dyDescent="0.25">
      <c r="A6" s="3"/>
      <c r="B6" s="14" t="s">
        <v>97</v>
      </c>
      <c r="C6" s="14" t="s">
        <v>214</v>
      </c>
      <c r="D6" s="14" t="s">
        <v>215</v>
      </c>
      <c r="E6" s="14" t="s">
        <v>216</v>
      </c>
      <c r="F6" s="14" t="s">
        <v>217</v>
      </c>
      <c r="G6" s="14" t="s">
        <v>218</v>
      </c>
      <c r="H6" s="8" t="s">
        <v>219</v>
      </c>
      <c r="I6" s="8" t="s">
        <v>220</v>
      </c>
      <c r="J6" s="8" t="s">
        <v>221</v>
      </c>
      <c r="K6" s="8" t="s">
        <v>222</v>
      </c>
      <c r="L6" s="8" t="s">
        <v>223</v>
      </c>
      <c r="M6" s="14" t="s">
        <v>97</v>
      </c>
    </row>
    <row r="7" spans="1:16" s="9" customFormat="1" ht="12.45" customHeight="1" x14ac:dyDescent="0.25">
      <c r="A7" s="13"/>
      <c r="B7" s="35" t="s">
        <v>17</v>
      </c>
      <c r="C7" s="35"/>
      <c r="D7" s="35" t="s">
        <v>15</v>
      </c>
      <c r="E7" s="35"/>
      <c r="F7" s="35" t="s">
        <v>22</v>
      </c>
      <c r="G7" s="35" t="s">
        <v>103</v>
      </c>
      <c r="H7" s="23" t="s">
        <v>24</v>
      </c>
      <c r="I7" s="23" t="s">
        <v>23</v>
      </c>
      <c r="J7" s="23" t="s">
        <v>31</v>
      </c>
      <c r="K7" s="23" t="s">
        <v>31</v>
      </c>
      <c r="L7" s="23" t="s">
        <v>25</v>
      </c>
      <c r="M7" s="35" t="s">
        <v>17</v>
      </c>
    </row>
    <row r="8" spans="1:16" s="9" customFormat="1" ht="12.45" customHeight="1" x14ac:dyDescent="0.25">
      <c r="A8" s="3"/>
      <c r="B8" s="14" t="s">
        <v>32</v>
      </c>
      <c r="C8" s="14" t="s">
        <v>224</v>
      </c>
      <c r="D8" s="14" t="s">
        <v>225</v>
      </c>
      <c r="E8" s="14" t="s">
        <v>226</v>
      </c>
      <c r="F8" s="14" t="s">
        <v>227</v>
      </c>
      <c r="G8" s="14" t="s">
        <v>228</v>
      </c>
      <c r="H8" s="8" t="s">
        <v>229</v>
      </c>
      <c r="I8" s="8" t="s">
        <v>230</v>
      </c>
      <c r="J8" s="8" t="s">
        <v>231</v>
      </c>
      <c r="K8" s="8" t="s">
        <v>232</v>
      </c>
      <c r="L8" s="8" t="s">
        <v>233</v>
      </c>
      <c r="M8" s="14" t="s">
        <v>185</v>
      </c>
    </row>
    <row r="9" spans="1:16" s="9" customFormat="1" ht="10.55" customHeight="1" x14ac:dyDescent="0.25">
      <c r="A9" s="13"/>
      <c r="B9" s="15" t="str">
        <f>'TABLA 2'!B7</f>
        <v>Albania</v>
      </c>
      <c r="C9" s="5" t="str">
        <f>'TABLA 2'!C7</f>
        <v>A</v>
      </c>
      <c r="D9" s="24">
        <f>'TABLA 2'!J7</f>
        <v>193</v>
      </c>
      <c r="E9" s="5">
        <f>'TABLA 2'!P7</f>
        <v>1</v>
      </c>
      <c r="F9" s="25">
        <f>D9/LOOKUP(C9,'TABLA 6'!B$9:B$12,'TABLA 6'!E$9:E$12)</f>
        <v>5.3680896276270262E-4</v>
      </c>
      <c r="G9" s="25">
        <f>(E9+1)/(LOOKUP(C9,'TABLA 6'!B$9:B$12,'TABLA 6'!D$9:D$12)+LOOKUP(C9,'TABLA 6'!B$9:B$12,'TABLA 6'!C$9:C$12))</f>
        <v>4.3478260869565216E-2</v>
      </c>
      <c r="H9" s="26">
        <f t="shared" ref="H9" si="0">1000/K$2</f>
        <v>864.99999999999989</v>
      </c>
      <c r="I9" s="26">
        <f>E9*H9</f>
        <v>864.99999999999989</v>
      </c>
      <c r="J9" s="26">
        <f>LOOKUP(C9,'TABLA 6'!B$9:B$12,'TABLA 6'!J$9:J$12)/3*G9</f>
        <v>62371.25226257246</v>
      </c>
      <c r="K9" s="26">
        <f>LOOKUP(C9,'TABLA 6'!B$9:B$12,'TABLA 6'!J$9:J$12)/3*2*F9</f>
        <v>1540.1465727309901</v>
      </c>
      <c r="L9" s="27">
        <f>SUM(H9:K9)</f>
        <v>65641.398835303451</v>
      </c>
      <c r="M9" s="17" t="str">
        <f>'TABLA 2'!B7</f>
        <v>Albania</v>
      </c>
      <c r="P9" s="64"/>
    </row>
    <row r="10" spans="1:16" s="1" customFormat="1" ht="10.55" customHeight="1" x14ac:dyDescent="0.25">
      <c r="A10" s="2"/>
      <c r="B10" s="15" t="str">
        <f>'TABLA 2'!B8</f>
        <v>Algérie</v>
      </c>
      <c r="C10" s="5" t="str">
        <f>'TABLA 2'!C8</f>
        <v>C</v>
      </c>
      <c r="D10" s="24">
        <f>'TABLA 2'!J8</f>
        <v>6009</v>
      </c>
      <c r="E10" s="5">
        <f>'TABLA 2'!P8</f>
        <v>2</v>
      </c>
      <c r="F10" s="25">
        <f>D10/LOOKUP(C10,'TABLA 6'!B$9:B$12,'TABLA 6'!E$9:E$12)</f>
        <v>1.505136098468814E-2</v>
      </c>
      <c r="G10" s="25">
        <f>(E10+1)/(LOOKUP(C10,'TABLA 6'!B$9:B$12,'TABLA 6'!D$9:D$12)+LOOKUP(C10,'TABLA 6'!B$9:B$12,'TABLA 6'!C$9:C$12))</f>
        <v>4.0540540540540543E-2</v>
      </c>
      <c r="H10" s="26">
        <f t="shared" ref="H10:H40" si="1">1000/K$2</f>
        <v>864.99999999999989</v>
      </c>
      <c r="I10" s="26">
        <f t="shared" ref="I10:I39" si="2">E10*H10</f>
        <v>1729.9999999999998</v>
      </c>
      <c r="J10" s="26">
        <f>LOOKUP(C10,'TABLA 6'!B$9:B$12,'TABLA 6'!J$9:J$12)/3*G10</f>
        <v>18777.841505</v>
      </c>
      <c r="K10" s="26">
        <f>LOOKUP(C10,'TABLA 6'!B$9:B$12,'TABLA 6'!J$9:J$12)/3*2*F10</f>
        <v>13943.182169580721</v>
      </c>
      <c r="L10" s="27">
        <f t="shared" ref="L10:L39" si="3">SUM(H10:K10)</f>
        <v>35316.02367458072</v>
      </c>
      <c r="M10" s="17" t="str">
        <f>'TABLA 2'!B8</f>
        <v>Algérie</v>
      </c>
      <c r="P10" s="64"/>
    </row>
    <row r="11" spans="1:16" s="1" customFormat="1" ht="10.55" customHeight="1" x14ac:dyDescent="0.25">
      <c r="A11" s="2"/>
      <c r="B11" s="15" t="str">
        <f>'TABLA 2'!B9</f>
        <v>Angola</v>
      </c>
      <c r="C11" s="5" t="str">
        <f>'TABLA 2'!C9</f>
        <v>D</v>
      </c>
      <c r="D11" s="24">
        <f>'TABLA 2'!J9</f>
        <v>3853</v>
      </c>
      <c r="E11" s="5">
        <f>'TABLA 2'!P9</f>
        <v>3</v>
      </c>
      <c r="F11" s="25">
        <f>D11/LOOKUP(C11,'TABLA 6'!B$9:B$12,'TABLA 6'!E$9:E$12)</f>
        <v>0.16700619825755278</v>
      </c>
      <c r="G11" s="25">
        <f>(E11+1)/(LOOKUP(C11,'TABLA 6'!B$9:B$12,'TABLA 6'!D$9:D$12)+LOOKUP(C11,'TABLA 6'!B$9:B$12,'TABLA 6'!C$9:C$12))</f>
        <v>7.5471698113207544E-2</v>
      </c>
      <c r="H11" s="26">
        <f t="shared" si="1"/>
        <v>864.99999999999989</v>
      </c>
      <c r="I11" s="26">
        <f t="shared" si="2"/>
        <v>2594.9999999999995</v>
      </c>
      <c r="J11" s="26">
        <f>LOOKUP(C11,'TABLA 6'!B$9:B$12,'TABLA 6'!J$9:J$12)/3*G11</f>
        <v>6247.2939842138358</v>
      </c>
      <c r="K11" s="26">
        <f>LOOKUP(C11,'TABLA 6'!B$9:B$12,'TABLA 6'!J$9:J$12)/3*2*F11</f>
        <v>27648.425669072069</v>
      </c>
      <c r="L11" s="27">
        <f t="shared" si="3"/>
        <v>37355.719653285902</v>
      </c>
      <c r="M11" s="17" t="str">
        <f>'TABLA 2'!B9</f>
        <v>Angola</v>
      </c>
      <c r="P11" s="64"/>
    </row>
    <row r="12" spans="1:16" s="1" customFormat="1" ht="10.55" customHeight="1" x14ac:dyDescent="0.25">
      <c r="A12" s="2"/>
      <c r="B12" s="15" t="str">
        <f>'TABLA 2'!B10</f>
        <v>Barbados</v>
      </c>
      <c r="C12" s="5" t="str">
        <f>'TABLA 2'!C10</f>
        <v>C</v>
      </c>
      <c r="D12" s="24">
        <f>'TABLA 2'!J10</f>
        <v>321</v>
      </c>
      <c r="E12" s="5">
        <f>'TABLA 2'!P10</f>
        <v>2</v>
      </c>
      <c r="F12" s="25">
        <f>D12/LOOKUP(C12,'TABLA 6'!B$9:B$12,'TABLA 6'!E$9:E$12)</f>
        <v>8.0404175005573185E-4</v>
      </c>
      <c r="G12" s="25">
        <f>(E12+1)/(LOOKUP(C12,'TABLA 6'!B$9:B$12,'TABLA 6'!D$9:D$12)+LOOKUP(C12,'TABLA 6'!B$9:B$12,'TABLA 6'!C$9:C$12))</f>
        <v>4.0540540540540543E-2</v>
      </c>
      <c r="H12" s="26">
        <f t="shared" si="1"/>
        <v>864.99999999999989</v>
      </c>
      <c r="I12" s="26">
        <f t="shared" si="2"/>
        <v>1729.9999999999998</v>
      </c>
      <c r="J12" s="26">
        <f>LOOKUP(C12,'TABLA 6'!B$9:B$12,'TABLA 6'!J$9:J$12)/3*G12</f>
        <v>18777.841505</v>
      </c>
      <c r="K12" s="26">
        <f>LOOKUP(C12,'TABLA 6'!B$9:B$12,'TABLA 6'!J$9:J$12)/3*2*F12</f>
        <v>744.84298160016829</v>
      </c>
      <c r="L12" s="27">
        <f t="shared" si="3"/>
        <v>22117.68448660017</v>
      </c>
      <c r="M12" s="17" t="str">
        <f>'TABLA 2'!B10</f>
        <v>Barbados</v>
      </c>
      <c r="P12" s="64"/>
    </row>
    <row r="13" spans="1:16" s="1" customFormat="1" ht="10.55" customHeight="1" x14ac:dyDescent="0.25">
      <c r="A13" s="2"/>
      <c r="B13" s="15" t="str">
        <f>'TABLA 2'!B11</f>
        <v>Belize</v>
      </c>
      <c r="C13" s="5" t="str">
        <f>'TABLA 2'!C11</f>
        <v>C</v>
      </c>
      <c r="D13" s="24">
        <f>'TABLA 2'!J11</f>
        <v>47390</v>
      </c>
      <c r="E13" s="5">
        <f>'TABLA 2'!P11</f>
        <v>4</v>
      </c>
      <c r="F13" s="25">
        <f>D13/LOOKUP(C13,'TABLA 6'!B$9:B$12,'TABLA 6'!E$9:E$12)</f>
        <v>0.11870261225900665</v>
      </c>
      <c r="G13" s="25">
        <f>(E13+1)/(LOOKUP(C13,'TABLA 6'!B$9:B$12,'TABLA 6'!D$9:D$12)+LOOKUP(C13,'TABLA 6'!B$9:B$12,'TABLA 6'!C$9:C$12))</f>
        <v>6.7567567567567571E-2</v>
      </c>
      <c r="H13" s="26">
        <f t="shared" si="1"/>
        <v>864.99999999999989</v>
      </c>
      <c r="I13" s="26">
        <f t="shared" si="2"/>
        <v>3459.9999999999995</v>
      </c>
      <c r="J13" s="26">
        <f>LOOKUP(C13,'TABLA 6'!B$9:B$12,'TABLA 6'!J$9:J$12)/3*G13</f>
        <v>31296.402508333336</v>
      </c>
      <c r="K13" s="26">
        <f>LOOKUP(C13,'TABLA 6'!B$9:B$12,'TABLA 6'!J$9:J$12)/3*2*F13</f>
        <v>109962.95606863545</v>
      </c>
      <c r="L13" s="27">
        <f t="shared" si="3"/>
        <v>145584.35857696878</v>
      </c>
      <c r="M13" s="17" t="str">
        <f>'TABLA 2'!B11</f>
        <v>Belize</v>
      </c>
      <c r="P13" s="64"/>
    </row>
    <row r="14" spans="1:16" s="1" customFormat="1" ht="10.55" customHeight="1" x14ac:dyDescent="0.25">
      <c r="A14" s="2"/>
      <c r="B14" s="15" t="str">
        <f>'TABLA 2'!B12</f>
        <v>Brazil</v>
      </c>
      <c r="C14" s="5" t="str">
        <f>'TABLA 2'!C12</f>
        <v>B</v>
      </c>
      <c r="D14" s="24">
        <f>'TABLA 2'!J12</f>
        <v>64342</v>
      </c>
      <c r="E14" s="5">
        <f>'TABLA 2'!P12</f>
        <v>3</v>
      </c>
      <c r="F14" s="25">
        <f>D14/LOOKUP(C14,'TABLA 6'!B$9:B$12,'TABLA 6'!E$9:E$12)</f>
        <v>0.54720029936045722</v>
      </c>
      <c r="G14" s="25">
        <f>(E14+1)/(LOOKUP(C14,'TABLA 6'!B$9:B$12,'TABLA 6'!D$9:D$12)+LOOKUP(C14,'TABLA 6'!B$9:B$12,'TABLA 6'!C$9:C$12))</f>
        <v>0.23529411764705882</v>
      </c>
      <c r="H14" s="26">
        <f t="shared" si="1"/>
        <v>864.99999999999989</v>
      </c>
      <c r="I14" s="26">
        <f t="shared" si="2"/>
        <v>2594.9999999999995</v>
      </c>
      <c r="J14" s="26">
        <f>LOOKUP(C14,'TABLA 6'!B$9:B$12,'TABLA 6'!J$9:J$12)/3*G14</f>
        <v>63992.673226666666</v>
      </c>
      <c r="K14" s="26">
        <f>LOOKUP(C14,'TABLA 6'!B$9:B$12,'TABLA 6'!J$9:J$12)/3*2*F14</f>
        <v>297642.88454531727</v>
      </c>
      <c r="L14" s="27">
        <f t="shared" si="3"/>
        <v>365095.55777198391</v>
      </c>
      <c r="M14" s="17" t="str">
        <f>'TABLA 2'!B12</f>
        <v>Brazil</v>
      </c>
      <c r="P14" s="64"/>
    </row>
    <row r="15" spans="1:16" s="1" customFormat="1" ht="10.55" customHeight="1" x14ac:dyDescent="0.25">
      <c r="A15" s="2"/>
      <c r="B15" s="15" t="str">
        <f>'TABLA 2'!B13</f>
        <v>Cabo Verde</v>
      </c>
      <c r="C15" s="5" t="str">
        <f>'TABLA 2'!C13</f>
        <v>C</v>
      </c>
      <c r="D15" s="24">
        <f>'TABLA 2'!J13</f>
        <v>9882</v>
      </c>
      <c r="E15" s="5">
        <f>'TABLA 2'!P13</f>
        <v>3</v>
      </c>
      <c r="F15" s="25">
        <f>D15/LOOKUP(C15,'TABLA 6'!B$9:B$12,'TABLA 6'!E$9:E$12)</f>
        <v>2.47524628475101E-2</v>
      </c>
      <c r="G15" s="25">
        <f>(E15+1)/(LOOKUP(C15,'TABLA 6'!B$9:B$12,'TABLA 6'!D$9:D$12)+LOOKUP(C15,'TABLA 6'!B$9:B$12,'TABLA 6'!C$9:C$12))</f>
        <v>5.4054054054054057E-2</v>
      </c>
      <c r="H15" s="26">
        <f t="shared" si="1"/>
        <v>864.99999999999989</v>
      </c>
      <c r="I15" s="26">
        <f t="shared" si="2"/>
        <v>2594.9999999999995</v>
      </c>
      <c r="J15" s="26">
        <f>LOOKUP(C15,'TABLA 6'!B$9:B$12,'TABLA 6'!J$9:J$12)/3*G15</f>
        <v>25037.122006666668</v>
      </c>
      <c r="K15" s="26">
        <f>LOOKUP(C15,'TABLA 6'!B$9:B$12,'TABLA 6'!J$9:J$12)/3*2*F15</f>
        <v>22930.025994307984</v>
      </c>
      <c r="L15" s="27">
        <f t="shared" si="3"/>
        <v>51427.148000974652</v>
      </c>
      <c r="M15" s="17" t="str">
        <f>'TABLA 2'!B13</f>
        <v>Cabo Verde</v>
      </c>
      <c r="P15" s="64"/>
    </row>
    <row r="16" spans="1:16" s="1" customFormat="1" ht="10.55" customHeight="1" x14ac:dyDescent="0.25">
      <c r="A16" s="2"/>
      <c r="B16" s="15" t="str">
        <f>'TABLA 2'!B14</f>
        <v>Canada</v>
      </c>
      <c r="C16" s="5" t="str">
        <f>'TABLA 2'!C14</f>
        <v>A</v>
      </c>
      <c r="D16" s="24">
        <f>'TABLA 2'!J14</f>
        <v>2966</v>
      </c>
      <c r="E16" s="5">
        <f>'TABLA 2'!P14</f>
        <v>3</v>
      </c>
      <c r="F16" s="25">
        <f>D16/LOOKUP(C16,'TABLA 6'!B$9:B$12,'TABLA 6'!E$9:E$12)</f>
        <v>8.249613386291068E-3</v>
      </c>
      <c r="G16" s="25">
        <f>(E16+1)/(LOOKUP(C16,'TABLA 6'!B$9:B$12,'TABLA 6'!D$9:D$12)+LOOKUP(C16,'TABLA 6'!B$9:B$12,'TABLA 6'!C$9:C$12))</f>
        <v>8.6956521739130432E-2</v>
      </c>
      <c r="H16" s="26">
        <f t="shared" si="1"/>
        <v>864.99999999999989</v>
      </c>
      <c r="I16" s="26">
        <f t="shared" si="2"/>
        <v>2594.9999999999995</v>
      </c>
      <c r="J16" s="26">
        <f>LOOKUP(C16,'TABLA 6'!B$9:B$12,'TABLA 6'!J$9:J$12)/3*G16</f>
        <v>124742.50452514492</v>
      </c>
      <c r="K16" s="26">
        <f>LOOKUP(C16,'TABLA 6'!B$9:B$12,'TABLA 6'!J$9:J$12)/3*2*F16</f>
        <v>23668.781008912523</v>
      </c>
      <c r="L16" s="27">
        <f t="shared" si="3"/>
        <v>151871.28553405745</v>
      </c>
      <c r="M16" s="17" t="str">
        <f>'TABLA 2'!B14</f>
        <v>Canada</v>
      </c>
      <c r="P16" s="64"/>
    </row>
    <row r="17" spans="1:16" s="1" customFormat="1" ht="10.55" customHeight="1" x14ac:dyDescent="0.25">
      <c r="A17" s="2"/>
      <c r="B17" s="15" t="str">
        <f>'TABLA 2'!B15</f>
        <v>China, People's Rep. of</v>
      </c>
      <c r="C17" s="5" t="str">
        <f>'TABLA 2'!C15</f>
        <v>B</v>
      </c>
      <c r="D17" s="24">
        <f>'TABLA 2'!J15</f>
        <v>5204</v>
      </c>
      <c r="E17" s="5">
        <f>'TABLA 2'!P15</f>
        <v>4</v>
      </c>
      <c r="F17" s="25">
        <f>D17/LOOKUP(C17,'TABLA 6'!B$9:B$12,'TABLA 6'!E$9:E$12)</f>
        <v>4.4257722139066542E-2</v>
      </c>
      <c r="G17" s="25">
        <f>(E17+1)/(LOOKUP(C17,'TABLA 6'!B$9:B$12,'TABLA 6'!D$9:D$12)+LOOKUP(C17,'TABLA 6'!B$9:B$12,'TABLA 6'!C$9:C$12))</f>
        <v>0.29411764705882354</v>
      </c>
      <c r="H17" s="26">
        <f t="shared" si="1"/>
        <v>864.99999999999989</v>
      </c>
      <c r="I17" s="26">
        <f t="shared" si="2"/>
        <v>3459.9999999999995</v>
      </c>
      <c r="J17" s="26">
        <f>LOOKUP(C17,'TABLA 6'!B$9:B$12,'TABLA 6'!J$9:J$12)/3*G17</f>
        <v>79990.84153333334</v>
      </c>
      <c r="K17" s="26">
        <f>LOOKUP(C17,'TABLA 6'!B$9:B$12,'TABLA 6'!J$9:J$12)/3*2*F17</f>
        <v>24073.444580116116</v>
      </c>
      <c r="L17" s="27">
        <f t="shared" si="3"/>
        <v>108389.28611344946</v>
      </c>
      <c r="M17" s="17" t="str">
        <f>'TABLA 2'!B15</f>
        <v>China, People's Rep. of</v>
      </c>
      <c r="P17" s="64"/>
    </row>
    <row r="18" spans="1:16" s="1" customFormat="1" ht="10.55" customHeight="1" x14ac:dyDescent="0.25">
      <c r="A18" s="2"/>
      <c r="B18" s="15" t="str">
        <f>'TABLA 2'!B16</f>
        <v>Costa Rica</v>
      </c>
      <c r="C18" s="5" t="str">
        <f>'TABLA 2'!C16</f>
        <v>C</v>
      </c>
      <c r="D18" s="24">
        <f>'TABLA 2'!J16</f>
        <v>142</v>
      </c>
      <c r="E18" s="5">
        <f>'TABLA 2'!P16</f>
        <v>2</v>
      </c>
      <c r="F18" s="25">
        <f>D18/LOOKUP(C18,'TABLA 6'!B$9:B$12,'TABLA 6'!E$9:E$12)</f>
        <v>3.5568202027387515E-4</v>
      </c>
      <c r="G18" s="25">
        <f>(E18+1)/(LOOKUP(C18,'TABLA 6'!B$9:B$12,'TABLA 6'!D$9:D$12)+LOOKUP(C18,'TABLA 6'!B$9:B$12,'TABLA 6'!C$9:C$12))</f>
        <v>4.0540540540540543E-2</v>
      </c>
      <c r="H18" s="26">
        <f t="shared" si="1"/>
        <v>864.99999999999989</v>
      </c>
      <c r="I18" s="26">
        <f t="shared" si="2"/>
        <v>1729.9999999999998</v>
      </c>
      <c r="J18" s="26">
        <f>LOOKUP(C18,'TABLA 6'!B$9:B$12,'TABLA 6'!J$9:J$12)/3*G18</f>
        <v>18777.841505</v>
      </c>
      <c r="K18" s="26">
        <f>LOOKUP(C18,'TABLA 6'!B$9:B$12,'TABLA 6'!J$9:J$12)/3*2*F18</f>
        <v>329.49440307546388</v>
      </c>
      <c r="L18" s="27">
        <f t="shared" si="3"/>
        <v>21702.335908075464</v>
      </c>
      <c r="M18" s="17" t="str">
        <f>'TABLA 2'!B16</f>
        <v>Costa Rica</v>
      </c>
      <c r="P18" s="64"/>
    </row>
    <row r="19" spans="1:16" s="1" customFormat="1" ht="10.55" customHeight="1" x14ac:dyDescent="0.25">
      <c r="A19" s="2"/>
      <c r="B19" s="15" t="str">
        <f>'TABLA 2'!B17</f>
        <v>Côte d'Ivoire</v>
      </c>
      <c r="C19" s="5" t="str">
        <f>'TABLA 2'!C17</f>
        <v>C</v>
      </c>
      <c r="D19" s="24">
        <f>'TABLA 2'!J17</f>
        <v>19236</v>
      </c>
      <c r="E19" s="5">
        <f>'TABLA 2'!P17</f>
        <v>3</v>
      </c>
      <c r="F19" s="25">
        <f>D19/LOOKUP(C19,'TABLA 6'!B$9:B$12,'TABLA 6'!E$9:E$12)</f>
        <v>4.818238973231171E-2</v>
      </c>
      <c r="G19" s="25">
        <f>(E19+1)/(LOOKUP(C19,'TABLA 6'!B$9:B$12,'TABLA 6'!D$9:D$12)+LOOKUP(C19,'TABLA 6'!B$9:B$12,'TABLA 6'!C$9:C$12))</f>
        <v>5.4054054054054057E-2</v>
      </c>
      <c r="H19" s="26">
        <f t="shared" si="1"/>
        <v>864.99999999999989</v>
      </c>
      <c r="I19" s="26">
        <f t="shared" si="2"/>
        <v>2594.9999999999995</v>
      </c>
      <c r="J19" s="26">
        <f>LOOKUP(C19,'TABLA 6'!B$9:B$12,'TABLA 6'!J$9:J$12)/3*G19</f>
        <v>25037.122006666668</v>
      </c>
      <c r="K19" s="26">
        <f>LOOKUP(C19,'TABLA 6'!B$9:B$12,'TABLA 6'!J$9:J$12)/3*2*F19</f>
        <v>44634.889701124106</v>
      </c>
      <c r="L19" s="27">
        <f t="shared" si="3"/>
        <v>73132.011707790778</v>
      </c>
      <c r="M19" s="17" t="str">
        <f>'TABLA 2'!B17</f>
        <v>Côte d'Ivoire</v>
      </c>
      <c r="P19" s="64"/>
    </row>
    <row r="20" spans="1:16" s="1" customFormat="1" ht="10.55" customHeight="1" x14ac:dyDescent="0.25">
      <c r="A20" s="2"/>
      <c r="B20" s="15" t="str">
        <f>'TABLA 2'!B18</f>
        <v>Cuba</v>
      </c>
      <c r="C20" s="5" t="str">
        <f>'TABLA 2'!C18</f>
        <v>C</v>
      </c>
      <c r="D20" s="24">
        <f>'TABLA 2'!J18</f>
        <v>0</v>
      </c>
      <c r="E20" s="5">
        <f>'TABLA 2'!P18</f>
        <v>3</v>
      </c>
      <c r="F20" s="25">
        <f>D20/LOOKUP(C20,'TABLA 6'!B$9:B$12,'TABLA 6'!E$9:E$12)</f>
        <v>0</v>
      </c>
      <c r="G20" s="25">
        <f>(E20+1)/(LOOKUP(C20,'TABLA 6'!B$9:B$12,'TABLA 6'!D$9:D$12)+LOOKUP(C20,'TABLA 6'!B$9:B$12,'TABLA 6'!C$9:C$12))</f>
        <v>5.4054054054054057E-2</v>
      </c>
      <c r="H20" s="26">
        <f t="shared" si="1"/>
        <v>864.99999999999989</v>
      </c>
      <c r="I20" s="26">
        <f t="shared" si="2"/>
        <v>2594.9999999999995</v>
      </c>
      <c r="J20" s="26">
        <f>LOOKUP(C20,'TABLA 6'!B$9:B$12,'TABLA 6'!J$9:J$12)/3*G20</f>
        <v>25037.122006666668</v>
      </c>
      <c r="K20" s="26">
        <f>LOOKUP(C20,'TABLA 6'!B$9:B$12,'TABLA 6'!J$9:J$12)/3*2*F20</f>
        <v>0</v>
      </c>
      <c r="L20" s="27">
        <f t="shared" si="3"/>
        <v>28497.122006666668</v>
      </c>
      <c r="M20" s="17" t="str">
        <f>'TABLA 2'!B18</f>
        <v>Cuba</v>
      </c>
      <c r="P20" s="64"/>
    </row>
    <row r="21" spans="1:16" s="1" customFormat="1" ht="10.55" customHeight="1" x14ac:dyDescent="0.25">
      <c r="A21" s="2"/>
      <c r="B21" s="15" t="str">
        <f>'TABLA 2'!B19</f>
        <v>Curaçao</v>
      </c>
      <c r="C21" s="5" t="str">
        <f>'TABLA 2'!C19</f>
        <v>A</v>
      </c>
      <c r="D21" s="24">
        <f>'TABLA 2'!J19</f>
        <v>11487</v>
      </c>
      <c r="E21" s="5">
        <f>'TABLA 2'!P19</f>
        <v>1</v>
      </c>
      <c r="F21" s="25">
        <f>D21/LOOKUP(C21,'TABLA 6'!B$9:B$12,'TABLA 6'!E$9:E$12)</f>
        <v>3.194986816194386E-2</v>
      </c>
      <c r="G21" s="25">
        <f>(E21+1)/(LOOKUP(C21,'TABLA 6'!B$9:B$12,'TABLA 6'!D$9:D$12)+LOOKUP(C21,'TABLA 6'!B$9:B$12,'TABLA 6'!C$9:C$12))</f>
        <v>4.3478260869565216E-2</v>
      </c>
      <c r="H21" s="26">
        <f t="shared" si="1"/>
        <v>864.99999999999989</v>
      </c>
      <c r="I21" s="26">
        <f t="shared" si="2"/>
        <v>864.99999999999989</v>
      </c>
      <c r="J21" s="26">
        <f>LOOKUP(C21,'TABLA 6'!B$9:B$12,'TABLA 6'!J$9:J$12)/3*G21</f>
        <v>62371.25226257246</v>
      </c>
      <c r="K21" s="26">
        <f>LOOKUP(C21,'TABLA 6'!B$9:B$12,'TABLA 6'!J$9:J$12)/3*2*F21</f>
        <v>91666.651196688515</v>
      </c>
      <c r="L21" s="27">
        <f t="shared" si="3"/>
        <v>155767.90345926097</v>
      </c>
      <c r="M21" s="17" t="str">
        <f>'TABLA 2'!B19</f>
        <v>Curaçao</v>
      </c>
      <c r="P21" s="64"/>
    </row>
    <row r="22" spans="1:16" s="1" customFormat="1" ht="10.55" customHeight="1" x14ac:dyDescent="0.25">
      <c r="A22" s="2"/>
      <c r="B22" s="15" t="str">
        <f>'TABLA 2'!B20</f>
        <v>Egypt</v>
      </c>
      <c r="C22" s="5" t="str">
        <f>'TABLA 2'!C20</f>
        <v>D</v>
      </c>
      <c r="D22" s="24">
        <f>'TABLA 2'!J20</f>
        <v>489</v>
      </c>
      <c r="E22" s="5">
        <f>'TABLA 2'!P20</f>
        <v>2</v>
      </c>
      <c r="F22" s="25">
        <f>D22/LOOKUP(C22,'TABLA 6'!B$9:B$12,'TABLA 6'!E$9:E$12)</f>
        <v>2.1195440162975164E-2</v>
      </c>
      <c r="G22" s="25">
        <f>(E22+1)/(LOOKUP(C22,'TABLA 6'!B$9:B$12,'TABLA 6'!D$9:D$12)+LOOKUP(C22,'TABLA 6'!B$9:B$12,'TABLA 6'!C$9:C$12))</f>
        <v>5.6603773584905662E-2</v>
      </c>
      <c r="H22" s="26">
        <f t="shared" si="1"/>
        <v>864.99999999999989</v>
      </c>
      <c r="I22" s="26">
        <f t="shared" si="2"/>
        <v>1729.9999999999998</v>
      </c>
      <c r="J22" s="26">
        <f>LOOKUP(C22,'TABLA 6'!B$9:B$12,'TABLA 6'!J$9:J$12)/3*G22</f>
        <v>4685.4704881603775</v>
      </c>
      <c r="K22" s="26">
        <f>LOOKUP(C22,'TABLA 6'!B$9:B$12,'TABLA 6'!J$9:J$12)/3*2*F22</f>
        <v>3508.9748643073553</v>
      </c>
      <c r="L22" s="27">
        <f t="shared" si="3"/>
        <v>10789.445352467734</v>
      </c>
      <c r="M22" s="17" t="str">
        <f>'TABLA 2'!B20</f>
        <v>Egypt</v>
      </c>
      <c r="P22" s="64"/>
    </row>
    <row r="23" spans="1:16" s="1" customFormat="1" ht="10.55" customHeight="1" x14ac:dyDescent="0.25">
      <c r="A23" s="2"/>
      <c r="B23" s="15" t="str">
        <f>'TABLA 2'!B21</f>
        <v>El Salvador</v>
      </c>
      <c r="C23" s="5" t="str">
        <f>'TABLA 2'!C21</f>
        <v>C</v>
      </c>
      <c r="D23" s="24">
        <f>'TABLA 2'!J21</f>
        <v>18613</v>
      </c>
      <c r="E23" s="5">
        <f>'TABLA 2'!P21</f>
        <v>1</v>
      </c>
      <c r="F23" s="25">
        <f>D23/LOOKUP(C23,'TABLA 6'!B$9:B$12,'TABLA 6'!E$9:E$12)</f>
        <v>4.6621897488434073E-2</v>
      </c>
      <c r="G23" s="25">
        <f>(E23+1)/(LOOKUP(C23,'TABLA 6'!B$9:B$12,'TABLA 6'!D$9:D$12)+LOOKUP(C23,'TABLA 6'!B$9:B$12,'TABLA 6'!C$9:C$12))</f>
        <v>2.7027027027027029E-2</v>
      </c>
      <c r="H23" s="26">
        <f t="shared" si="1"/>
        <v>864.99999999999989</v>
      </c>
      <c r="I23" s="26">
        <f t="shared" si="2"/>
        <v>864.99999999999989</v>
      </c>
      <c r="J23" s="26">
        <f>LOOKUP(C23,'TABLA 6'!B$9:B$12,'TABLA 6'!J$9:J$12)/3*G23</f>
        <v>12518.561003333334</v>
      </c>
      <c r="K23" s="26">
        <f>LOOKUP(C23,'TABLA 6'!B$9:B$12,'TABLA 6'!J$9:J$12)/3*2*F23</f>
        <v>43189.291017208518</v>
      </c>
      <c r="L23" s="27">
        <f t="shared" si="3"/>
        <v>57437.852020541854</v>
      </c>
      <c r="M23" s="17" t="str">
        <f>'TABLA 2'!B21</f>
        <v>El Salvador</v>
      </c>
      <c r="P23" s="64"/>
    </row>
    <row r="24" spans="1:16" s="1" customFormat="1" ht="10.55" customHeight="1" x14ac:dyDescent="0.25">
      <c r="A24" s="2"/>
      <c r="B24" s="15" t="str">
        <f>'TABLA 2'!B22</f>
        <v>France (St. P. &amp; M.)</v>
      </c>
      <c r="C24" s="5" t="str">
        <f>'TABLA 2'!C22</f>
        <v>A</v>
      </c>
      <c r="D24" s="24">
        <f>'TABLA 2'!J22</f>
        <v>77</v>
      </c>
      <c r="E24" s="5">
        <f>'TABLA 2'!P22</f>
        <v>3</v>
      </c>
      <c r="F24" s="25">
        <f>D24/LOOKUP(C24,'TABLA 6'!B$9:B$12,'TABLA 6'!E$9:E$12)</f>
        <v>2.1416730638719223E-4</v>
      </c>
      <c r="G24" s="25">
        <f>(E24+1)/(LOOKUP(C24,'TABLA 6'!B$9:B$12,'TABLA 6'!D$9:D$12)+LOOKUP(C24,'TABLA 6'!B$9:B$12,'TABLA 6'!C$9:C$12))</f>
        <v>8.6956521739130432E-2</v>
      </c>
      <c r="H24" s="26">
        <f t="shared" si="1"/>
        <v>864.99999999999989</v>
      </c>
      <c r="I24" s="26">
        <f t="shared" si="2"/>
        <v>2594.9999999999995</v>
      </c>
      <c r="J24" s="26">
        <f>LOOKUP(C24,'TABLA 6'!B$9:B$12,'TABLA 6'!J$9:J$12)/3*G24</f>
        <v>124742.50452514492</v>
      </c>
      <c r="K24" s="26">
        <f>LOOKUP(C24,'TABLA 6'!B$9:B$12,'TABLA 6'!J$9:J$12)/3*2*F24</f>
        <v>614.4626222812758</v>
      </c>
      <c r="L24" s="27">
        <f t="shared" si="3"/>
        <v>128816.9671474262</v>
      </c>
      <c r="M24" s="17" t="str">
        <f>'TABLA 2'!B22</f>
        <v>France (St. P. &amp; M.)</v>
      </c>
      <c r="P24" s="64"/>
    </row>
    <row r="25" spans="1:16" s="1" customFormat="1" ht="10.55" customHeight="1" x14ac:dyDescent="0.25">
      <c r="A25" s="2"/>
      <c r="B25" s="15" t="str">
        <f>'TABLA 2'!B23</f>
        <v>Gabon</v>
      </c>
      <c r="C25" s="5" t="str">
        <f>'TABLA 2'!C23</f>
        <v>D</v>
      </c>
      <c r="D25" s="24">
        <f>'TABLA 2'!J23</f>
        <v>258</v>
      </c>
      <c r="E25" s="5">
        <f>'TABLA 2'!P23</f>
        <v>2</v>
      </c>
      <c r="F25" s="25">
        <f>D25/LOOKUP(C25,'TABLA 6'!B$9:B$12,'TABLA 6'!E$9:E$12)</f>
        <v>1.1182870270035975E-2</v>
      </c>
      <c r="G25" s="25">
        <f>(E25+1)/(LOOKUP(C25,'TABLA 6'!B$9:B$12,'TABLA 6'!D$9:D$12)+LOOKUP(C25,'TABLA 6'!B$9:B$12,'TABLA 6'!C$9:C$12))</f>
        <v>5.6603773584905662E-2</v>
      </c>
      <c r="H25" s="26">
        <f t="shared" si="1"/>
        <v>864.99999999999989</v>
      </c>
      <c r="I25" s="26">
        <f t="shared" si="2"/>
        <v>1729.9999999999998</v>
      </c>
      <c r="J25" s="26">
        <f>LOOKUP(C25,'TABLA 6'!B$9:B$12,'TABLA 6'!J$9:J$12)/3*G25</f>
        <v>4685.4704881603775</v>
      </c>
      <c r="K25" s="26">
        <f>LOOKUP(C25,'TABLA 6'!B$9:B$12,'TABLA 6'!J$9:J$12)/3*2*F25</f>
        <v>1851.360971352347</v>
      </c>
      <c r="L25" s="27">
        <f t="shared" si="3"/>
        <v>9131.8314595127249</v>
      </c>
      <c r="M25" s="17" t="str">
        <f>'TABLA 2'!B23</f>
        <v>Gabon</v>
      </c>
      <c r="P25" s="64"/>
    </row>
    <row r="26" spans="1:16" s="1" customFormat="1" ht="10.55" customHeight="1" x14ac:dyDescent="0.25">
      <c r="A26" s="2"/>
      <c r="B26" s="15" t="str">
        <f>'TABLA 2'!B24</f>
        <v>Gambia</v>
      </c>
      <c r="C26" s="5" t="str">
        <f>'TABLA 2'!C24</f>
        <v>D</v>
      </c>
      <c r="D26" s="24">
        <f>'TABLA 2'!J24</f>
        <v>3591</v>
      </c>
      <c r="E26" s="5">
        <f>'TABLA 2'!P24</f>
        <v>2</v>
      </c>
      <c r="F26" s="25">
        <f>D26/LOOKUP(C26,'TABLA 6'!B$9:B$12,'TABLA 6'!E$9:E$12)</f>
        <v>0.15564995015387284</v>
      </c>
      <c r="G26" s="25">
        <f>(E26+1)/(LOOKUP(C26,'TABLA 6'!B$9:B$12,'TABLA 6'!D$9:D$12)+LOOKUP(C26,'TABLA 6'!B$9:B$12,'TABLA 6'!C$9:C$12))</f>
        <v>5.6603773584905662E-2</v>
      </c>
      <c r="H26" s="26">
        <f t="shared" si="1"/>
        <v>864.99999999999989</v>
      </c>
      <c r="I26" s="26">
        <f t="shared" si="2"/>
        <v>1729.9999999999998</v>
      </c>
      <c r="J26" s="26">
        <f>LOOKUP(C26,'TABLA 6'!B$9:B$12,'TABLA 6'!J$9:J$12)/3*G26</f>
        <v>4685.4704881603775</v>
      </c>
      <c r="K26" s="26">
        <f>LOOKUP(C26,'TABLA 6'!B$9:B$12,'TABLA 6'!J$9:J$12)/3*2*F26</f>
        <v>25768.361426846041</v>
      </c>
      <c r="L26" s="27">
        <f t="shared" si="3"/>
        <v>33048.83191500642</v>
      </c>
      <c r="M26" s="17" t="str">
        <f>'TABLA 2'!B24</f>
        <v>Gambia</v>
      </c>
      <c r="P26" s="64"/>
    </row>
    <row r="27" spans="1:16" s="1" customFormat="1" ht="10.55" customHeight="1" x14ac:dyDescent="0.25">
      <c r="A27" s="2"/>
      <c r="B27" s="15" t="str">
        <f>'TABLA 2'!B25</f>
        <v>Ghana</v>
      </c>
      <c r="C27" s="5" t="str">
        <f>'TABLA 2'!C25</f>
        <v>C</v>
      </c>
      <c r="D27" s="24">
        <f>'TABLA 2'!J25</f>
        <v>125993</v>
      </c>
      <c r="E27" s="5">
        <f>'TABLA 2'!P25</f>
        <v>1</v>
      </c>
      <c r="F27" s="25">
        <f>D27/LOOKUP(C27,'TABLA 6'!B$9:B$12,'TABLA 6'!E$9:E$12)</f>
        <v>0.31558763929835459</v>
      </c>
      <c r="G27" s="25">
        <f>(E27+1)/(LOOKUP(C27,'TABLA 6'!B$9:B$12,'TABLA 6'!D$9:D$12)+LOOKUP(C27,'TABLA 6'!B$9:B$12,'TABLA 6'!C$9:C$12))</f>
        <v>2.7027027027027029E-2</v>
      </c>
      <c r="H27" s="26">
        <f t="shared" si="1"/>
        <v>864.99999999999989</v>
      </c>
      <c r="I27" s="26">
        <f t="shared" si="2"/>
        <v>864.99999999999989</v>
      </c>
      <c r="J27" s="26">
        <f>LOOKUP(C27,'TABLA 6'!B$9:B$12,'TABLA 6'!J$9:J$12)/3*G27</f>
        <v>12518.561003333334</v>
      </c>
      <c r="K27" s="26">
        <f>LOOKUP(C27,'TABLA 6'!B$9:B$12,'TABLA 6'!J$9:J$12)/3*2*F27</f>
        <v>292352.03046962619</v>
      </c>
      <c r="L27" s="27">
        <f t="shared" si="3"/>
        <v>306600.5914729595</v>
      </c>
      <c r="M27" s="17" t="str">
        <f>'TABLA 2'!B25</f>
        <v>Ghana</v>
      </c>
      <c r="P27" s="64"/>
    </row>
    <row r="28" spans="1:16" s="1" customFormat="1" ht="10.55" customHeight="1" x14ac:dyDescent="0.25">
      <c r="A28" s="2"/>
      <c r="B28" s="15" t="str">
        <f>'TABLA 2'!B26</f>
        <v>Grenada</v>
      </c>
      <c r="C28" s="5" t="str">
        <f>'TABLA 2'!C26</f>
        <v>C</v>
      </c>
      <c r="D28" s="24">
        <f>'TABLA 2'!J26</f>
        <v>1395</v>
      </c>
      <c r="E28" s="5">
        <f>'TABLA 2'!P26</f>
        <v>0</v>
      </c>
      <c r="F28" s="25">
        <f>D28/LOOKUP(C28,'TABLA 6'!B$9:B$12,'TABLA 6'!E$9:E$12)</f>
        <v>3.4942001287468719E-3</v>
      </c>
      <c r="G28" s="25">
        <f>(E28+1)/(LOOKUP(C28,'TABLA 6'!B$9:B$12,'TABLA 6'!D$9:D$12)+LOOKUP(C28,'TABLA 6'!B$9:B$12,'TABLA 6'!C$9:C$12))</f>
        <v>1.3513513513513514E-2</v>
      </c>
      <c r="H28" s="26">
        <f t="shared" si="1"/>
        <v>864.99999999999989</v>
      </c>
      <c r="I28" s="26">
        <f t="shared" si="2"/>
        <v>0</v>
      </c>
      <c r="J28" s="26">
        <f>LOOKUP(C28,'TABLA 6'!B$9:B$12,'TABLA 6'!J$9:J$12)/3*G28</f>
        <v>6259.2805016666671</v>
      </c>
      <c r="K28" s="26">
        <f>LOOKUP(C28,'TABLA 6'!B$9:B$12,'TABLA 6'!J$9:J$12)/3*2*F28</f>
        <v>3236.934452748395</v>
      </c>
      <c r="L28" s="27">
        <f t="shared" si="3"/>
        <v>10361.214954415062</v>
      </c>
      <c r="M28" s="17" t="str">
        <f>'TABLA 2'!B26</f>
        <v>Grenada</v>
      </c>
      <c r="P28" s="64"/>
    </row>
    <row r="29" spans="1:16" s="1" customFormat="1" ht="10.55" customHeight="1" x14ac:dyDescent="0.25">
      <c r="A29" s="2"/>
      <c r="B29" s="15" t="str">
        <f>'TABLA 2'!B27</f>
        <v>Guatemala, Rep. de</v>
      </c>
      <c r="C29" s="5" t="str">
        <f>'TABLA 2'!C27</f>
        <v>C</v>
      </c>
      <c r="D29" s="24">
        <f>'TABLA 2'!J27</f>
        <v>10907</v>
      </c>
      <c r="E29" s="5">
        <f>'TABLA 2'!P27</f>
        <v>2</v>
      </c>
      <c r="F29" s="25">
        <f>D29/LOOKUP(C29,'TABLA 6'!B$9:B$12,'TABLA 6'!E$9:E$12)</f>
        <v>2.7319885881177158E-2</v>
      </c>
      <c r="G29" s="25">
        <f>(E29+1)/(LOOKUP(C29,'TABLA 6'!B$9:B$12,'TABLA 6'!D$9:D$12)+LOOKUP(C29,'TABLA 6'!B$9:B$12,'TABLA 6'!C$9:C$12))</f>
        <v>4.0540540540540543E-2</v>
      </c>
      <c r="H29" s="26">
        <f t="shared" si="1"/>
        <v>864.99999999999989</v>
      </c>
      <c r="I29" s="26">
        <f t="shared" si="2"/>
        <v>1729.9999999999998</v>
      </c>
      <c r="J29" s="26">
        <f>LOOKUP(C29,'TABLA 6'!B$9:B$12,'TABLA 6'!J$9:J$12)/3*G29</f>
        <v>18777.841505</v>
      </c>
      <c r="K29" s="26">
        <f>LOOKUP(C29,'TABLA 6'!B$9:B$12,'TABLA 6'!J$9:J$12)/3*2*F29</f>
        <v>25308.418692563977</v>
      </c>
      <c r="L29" s="27">
        <f t="shared" si="3"/>
        <v>46681.260197563977</v>
      </c>
      <c r="M29" s="17" t="str">
        <f>'TABLA 2'!B27</f>
        <v>Guatemala, Rep. de</v>
      </c>
      <c r="P29" s="64"/>
    </row>
    <row r="30" spans="1:16" s="1" customFormat="1" ht="10.55" customHeight="1" x14ac:dyDescent="0.25">
      <c r="A30" s="2"/>
      <c r="B30" s="15" t="str">
        <f>'TABLA 2'!B28</f>
        <v>Guinea Ecuatorial</v>
      </c>
      <c r="C30" s="5" t="str">
        <f>'TABLA 2'!C28</f>
        <v>D</v>
      </c>
      <c r="D30" s="24">
        <f>'TABLA 2'!J28</f>
        <v>214</v>
      </c>
      <c r="E30" s="5">
        <f>'TABLA 2'!P28</f>
        <v>2</v>
      </c>
      <c r="F30" s="25">
        <f>D30/LOOKUP(C30,'TABLA 6'!B$9:B$12,'TABLA 6'!E$9:E$12)</f>
        <v>9.2757140999523216E-3</v>
      </c>
      <c r="G30" s="25">
        <f>(E30+1)/(LOOKUP(C30,'TABLA 6'!B$9:B$12,'TABLA 6'!D$9:D$12)+LOOKUP(C30,'TABLA 6'!B$9:B$12,'TABLA 6'!C$9:C$12))</f>
        <v>5.6603773584905662E-2</v>
      </c>
      <c r="H30" s="26">
        <f t="shared" si="1"/>
        <v>864.99999999999989</v>
      </c>
      <c r="I30" s="26">
        <f t="shared" si="2"/>
        <v>1729.9999999999998</v>
      </c>
      <c r="J30" s="26">
        <f>LOOKUP(C30,'TABLA 6'!B$9:B$12,'TABLA 6'!J$9:J$12)/3*G30</f>
        <v>4685.4704881603775</v>
      </c>
      <c r="K30" s="26">
        <f>LOOKUP(C30,'TABLA 6'!B$9:B$12,'TABLA 6'!J$9:J$12)/3*2*F30</f>
        <v>1535.6249917418693</v>
      </c>
      <c r="L30" s="27">
        <f t="shared" si="3"/>
        <v>8816.0954799022475</v>
      </c>
      <c r="M30" s="17" t="str">
        <f>'TABLA 2'!B28</f>
        <v>Guinea Ecuatorial</v>
      </c>
      <c r="P30" s="64"/>
    </row>
    <row r="31" spans="1:16" s="1" customFormat="1" ht="10.55" customHeight="1" x14ac:dyDescent="0.25">
      <c r="A31" s="2"/>
      <c r="B31" s="15" t="str">
        <f>'TABLA 2'!B29</f>
        <v>Guinea, Rep. of</v>
      </c>
      <c r="C31" s="5" t="str">
        <f>'TABLA 2'!C29</f>
        <v>D</v>
      </c>
      <c r="D31" s="24">
        <f>'TABLA 2'!J29</f>
        <v>4219</v>
      </c>
      <c r="E31" s="5">
        <f>'TABLA 2'!P29</f>
        <v>2</v>
      </c>
      <c r="F31" s="25">
        <f>D31/LOOKUP(C31,'TABLA 6'!B$9:B$12,'TABLA 6'!E$9:E$12)</f>
        <v>0.18287027003597589</v>
      </c>
      <c r="G31" s="25">
        <f>(E31+1)/(LOOKUP(C31,'TABLA 6'!B$9:B$12,'TABLA 6'!D$9:D$12)+LOOKUP(C31,'TABLA 6'!B$9:B$12,'TABLA 6'!C$9:C$12))</f>
        <v>5.6603773584905662E-2</v>
      </c>
      <c r="H31" s="26">
        <f t="shared" si="1"/>
        <v>864.99999999999989</v>
      </c>
      <c r="I31" s="26">
        <f t="shared" si="2"/>
        <v>1729.9999999999998</v>
      </c>
      <c r="J31" s="26">
        <f>LOOKUP(C31,'TABLA 6'!B$9:B$12,'TABLA 6'!J$9:J$12)/3*G31</f>
        <v>4685.4704881603775</v>
      </c>
      <c r="K31" s="26">
        <f>LOOKUP(C31,'TABLA 6'!B$9:B$12,'TABLA 6'!J$9:J$12)/3*2*F31</f>
        <v>30274.774954013767</v>
      </c>
      <c r="L31" s="27">
        <f t="shared" si="3"/>
        <v>37555.245442174142</v>
      </c>
      <c r="M31" s="17" t="str">
        <f>'TABLA 2'!B29</f>
        <v>Guinea, Rep. of</v>
      </c>
      <c r="P31" s="64"/>
    </row>
    <row r="32" spans="1:16" s="1" customFormat="1" ht="10.55" customHeight="1" x14ac:dyDescent="0.25">
      <c r="A32" s="2"/>
      <c r="B32" s="15" t="str">
        <f>'TABLA 2'!B30</f>
        <v>Guinée-Bissau</v>
      </c>
      <c r="C32" s="5" t="str">
        <f>'TABLA 2'!C30</f>
        <v>D</v>
      </c>
      <c r="D32" s="24">
        <f>'TABLA 2'!J30</f>
        <v>0</v>
      </c>
      <c r="E32" s="5">
        <f>'TABLA 2'!P30</f>
        <v>2</v>
      </c>
      <c r="F32" s="25">
        <f>D32/LOOKUP(C32,'TABLA 6'!B$9:B$12,'TABLA 6'!E$9:E$12)</f>
        <v>0</v>
      </c>
      <c r="G32" s="25">
        <f>(E32+1)/(LOOKUP(C32,'TABLA 6'!B$9:B$12,'TABLA 6'!D$9:D$12)+LOOKUP(C32,'TABLA 6'!B$9:B$12,'TABLA 6'!C$9:C$12))</f>
        <v>5.6603773584905662E-2</v>
      </c>
      <c r="H32" s="26">
        <f t="shared" si="1"/>
        <v>864.99999999999989</v>
      </c>
      <c r="I32" s="26">
        <f t="shared" si="2"/>
        <v>1729.9999999999998</v>
      </c>
      <c r="J32" s="26">
        <f>LOOKUP(C32,'TABLA 6'!B$9:B$12,'TABLA 6'!J$9:J$12)/3*G32</f>
        <v>4685.4704881603775</v>
      </c>
      <c r="K32" s="26">
        <f>LOOKUP(C32,'TABLA 6'!B$9:B$12,'TABLA 6'!J$9:J$12)/3*2*F32</f>
        <v>0</v>
      </c>
      <c r="L32" s="27">
        <f t="shared" si="3"/>
        <v>7280.4704881603775</v>
      </c>
      <c r="M32" s="17" t="str">
        <f>'TABLA 2'!B30</f>
        <v>Guinée-Bissau</v>
      </c>
      <c r="P32" s="64"/>
    </row>
    <row r="33" spans="1:16" s="1" customFormat="1" ht="10.55" customHeight="1" x14ac:dyDescent="0.25">
      <c r="A33" s="2"/>
      <c r="B33" s="15" t="str">
        <f>'TABLA 2'!B31</f>
        <v>Honduras</v>
      </c>
      <c r="C33" s="5" t="str">
        <f>'TABLA 2'!C31</f>
        <v>D</v>
      </c>
      <c r="D33" s="24">
        <f>'TABLA 2'!J31</f>
        <v>0</v>
      </c>
      <c r="E33" s="5">
        <f>'TABLA 2'!P31</f>
        <v>2</v>
      </c>
      <c r="F33" s="25">
        <f>D33/LOOKUP(C33,'TABLA 6'!B$9:B$12,'TABLA 6'!E$9:E$12)</f>
        <v>0</v>
      </c>
      <c r="G33" s="25">
        <f>(E33+1)/(LOOKUP(C33,'TABLA 6'!B$9:B$12,'TABLA 6'!D$9:D$12)+LOOKUP(C33,'TABLA 6'!B$9:B$12,'TABLA 6'!C$9:C$12))</f>
        <v>5.6603773584905662E-2</v>
      </c>
      <c r="H33" s="26">
        <f t="shared" si="1"/>
        <v>864.99999999999989</v>
      </c>
      <c r="I33" s="26">
        <f t="shared" si="2"/>
        <v>1729.9999999999998</v>
      </c>
      <c r="J33" s="26">
        <f>LOOKUP(C33,'TABLA 6'!B$9:B$12,'TABLA 6'!J$9:J$12)/3*G33</f>
        <v>4685.4704881603775</v>
      </c>
      <c r="K33" s="26">
        <f>LOOKUP(C33,'TABLA 6'!B$9:B$12,'TABLA 6'!J$9:J$12)/3*2*F33</f>
        <v>0</v>
      </c>
      <c r="L33" s="27">
        <f t="shared" si="3"/>
        <v>7280.4704881603775</v>
      </c>
      <c r="M33" s="17" t="str">
        <f>'TABLA 2'!B31</f>
        <v>Honduras</v>
      </c>
      <c r="P33" s="64"/>
    </row>
    <row r="34" spans="1:16" s="1" customFormat="1" ht="10.55" customHeight="1" x14ac:dyDescent="0.25">
      <c r="A34" s="2"/>
      <c r="B34" s="15" t="str">
        <f>'TABLA 2'!B32</f>
        <v>Iceland</v>
      </c>
      <c r="C34" s="5" t="str">
        <f>'TABLA 2'!C32</f>
        <v>A</v>
      </c>
      <c r="D34" s="24">
        <f>'TABLA 2'!J32</f>
        <v>1</v>
      </c>
      <c r="E34" s="5">
        <f>'TABLA 2'!P32</f>
        <v>1</v>
      </c>
      <c r="F34" s="25">
        <f>D34/LOOKUP(C34,'TABLA 6'!B$9:B$12,'TABLA 6'!E$9:E$12)</f>
        <v>2.781393589444055E-6</v>
      </c>
      <c r="G34" s="25">
        <f>(E34+1)/(LOOKUP(C34,'TABLA 6'!B$9:B$12,'TABLA 6'!D$9:D$12)+LOOKUP(C34,'TABLA 6'!B$9:B$12,'TABLA 6'!C$9:C$12))</f>
        <v>4.3478260869565216E-2</v>
      </c>
      <c r="H34" s="26">
        <f t="shared" si="1"/>
        <v>864.99999999999989</v>
      </c>
      <c r="I34" s="26">
        <f t="shared" si="2"/>
        <v>864.99999999999989</v>
      </c>
      <c r="J34" s="26">
        <f>LOOKUP(C34,'TABLA 6'!B$9:B$12,'TABLA 6'!J$9:J$12)/3*G34</f>
        <v>62371.25226257246</v>
      </c>
      <c r="K34" s="26">
        <f>LOOKUP(C34,'TABLA 6'!B$9:B$12,'TABLA 6'!J$9:J$12)/3*2*F34</f>
        <v>7.980034055600985</v>
      </c>
      <c r="L34" s="27">
        <f t="shared" si="3"/>
        <v>64109.232296628063</v>
      </c>
      <c r="M34" s="17" t="str">
        <f>'TABLA 2'!B32</f>
        <v>Iceland</v>
      </c>
      <c r="P34" s="64"/>
    </row>
    <row r="35" spans="1:16" s="1" customFormat="1" ht="10.55" customHeight="1" x14ac:dyDescent="0.25">
      <c r="A35" s="2"/>
      <c r="B35" s="15" t="str">
        <f>'TABLA 2'!B33</f>
        <v>Japan</v>
      </c>
      <c r="C35" s="5" t="str">
        <f>'TABLA 2'!C33</f>
        <v>A</v>
      </c>
      <c r="D35" s="24">
        <f>'TABLA 2'!J33</f>
        <v>27664</v>
      </c>
      <c r="E35" s="5">
        <f>'TABLA 2'!P33</f>
        <v>4</v>
      </c>
      <c r="F35" s="25">
        <f>D35/LOOKUP(C35,'TABLA 6'!B$9:B$12,'TABLA 6'!E$9:E$12)</f>
        <v>7.6944472258380345E-2</v>
      </c>
      <c r="G35" s="25">
        <f>(E35+1)/(LOOKUP(C35,'TABLA 6'!B$9:B$12,'TABLA 6'!D$9:D$12)+LOOKUP(C35,'TABLA 6'!B$9:B$12,'TABLA 6'!C$9:C$12))</f>
        <v>0.10869565217391304</v>
      </c>
      <c r="H35" s="26">
        <f t="shared" si="1"/>
        <v>864.99999999999989</v>
      </c>
      <c r="I35" s="26">
        <f t="shared" si="2"/>
        <v>3459.9999999999995</v>
      </c>
      <c r="J35" s="26">
        <f>LOOKUP(C35,'TABLA 6'!B$9:B$12,'TABLA 6'!J$9:J$12)/3*G35</f>
        <v>155928.13065643117</v>
      </c>
      <c r="K35" s="26">
        <f>LOOKUP(C35,'TABLA 6'!B$9:B$12,'TABLA 6'!J$9:J$12)/3*2*F35</f>
        <v>220759.66211414567</v>
      </c>
      <c r="L35" s="27">
        <f t="shared" si="3"/>
        <v>381012.79277057684</v>
      </c>
      <c r="M35" s="17" t="str">
        <f>'TABLA 2'!B33</f>
        <v>Japan</v>
      </c>
      <c r="P35" s="64"/>
    </row>
    <row r="36" spans="1:16" s="1" customFormat="1" ht="10.55" customHeight="1" x14ac:dyDescent="0.25">
      <c r="A36" s="2"/>
      <c r="B36" s="15" t="str">
        <f>'TABLA 2'!B34</f>
        <v>Korea, Rep. of</v>
      </c>
      <c r="C36" s="5" t="str">
        <f>'TABLA 2'!C34</f>
        <v>A</v>
      </c>
      <c r="D36" s="24">
        <f>'TABLA 2'!J34</f>
        <v>2920</v>
      </c>
      <c r="E36" s="5">
        <f>'TABLA 2'!P34</f>
        <v>4</v>
      </c>
      <c r="F36" s="25">
        <f>D36/LOOKUP(C36,'TABLA 6'!B$9:B$12,'TABLA 6'!E$9:E$12)</f>
        <v>8.1216692811766408E-3</v>
      </c>
      <c r="G36" s="25">
        <f>(E36+1)/(LOOKUP(C36,'TABLA 6'!B$9:B$12,'TABLA 6'!D$9:D$12)+LOOKUP(C36,'TABLA 6'!B$9:B$12,'TABLA 6'!C$9:C$12))</f>
        <v>0.10869565217391304</v>
      </c>
      <c r="H36" s="26">
        <f t="shared" si="1"/>
        <v>864.99999999999989</v>
      </c>
      <c r="I36" s="26">
        <f t="shared" si="2"/>
        <v>3459.9999999999995</v>
      </c>
      <c r="J36" s="26">
        <f>LOOKUP(C36,'TABLA 6'!B$9:B$12,'TABLA 6'!J$9:J$12)/3*G36</f>
        <v>155928.13065643117</v>
      </c>
      <c r="K36" s="26">
        <f>LOOKUP(C36,'TABLA 6'!B$9:B$12,'TABLA 6'!J$9:J$12)/3*2*F36</f>
        <v>23301.699442354875</v>
      </c>
      <c r="L36" s="27">
        <f t="shared" si="3"/>
        <v>183554.83009878604</v>
      </c>
      <c r="M36" s="17" t="str">
        <f>'TABLA 2'!B34</f>
        <v>Korea, Rep. of</v>
      </c>
      <c r="P36" s="64"/>
    </row>
    <row r="37" spans="1:16" s="1" customFormat="1" ht="10.55" customHeight="1" x14ac:dyDescent="0.25">
      <c r="A37" s="2"/>
      <c r="B37" s="15" t="str">
        <f>'TABLA 2'!B35</f>
        <v>Liberia</v>
      </c>
      <c r="C37" s="5" t="str">
        <f>'TABLA 2'!C35</f>
        <v>D</v>
      </c>
      <c r="D37" s="24">
        <f>'TABLA 2'!J35</f>
        <v>228</v>
      </c>
      <c r="E37" s="5">
        <f>'TABLA 2'!P35</f>
        <v>2</v>
      </c>
      <c r="F37" s="25">
        <f>D37/LOOKUP(C37,'TABLA 6'!B$9:B$12,'TABLA 6'!E$9:E$12)</f>
        <v>9.882536517706212E-3</v>
      </c>
      <c r="G37" s="25">
        <f>(E37+1)/(LOOKUP(C37,'TABLA 6'!B$9:B$12,'TABLA 6'!D$9:D$12)+LOOKUP(C37,'TABLA 6'!B$9:B$12,'TABLA 6'!C$9:C$12))</f>
        <v>5.6603773584905662E-2</v>
      </c>
      <c r="H37" s="26">
        <f t="shared" si="1"/>
        <v>864.99999999999989</v>
      </c>
      <c r="I37" s="26">
        <f t="shared" si="2"/>
        <v>1729.9999999999998</v>
      </c>
      <c r="J37" s="26">
        <f>LOOKUP(C37,'TABLA 6'!B$9:B$12,'TABLA 6'!J$9:J$12)/3*G37</f>
        <v>4685.4704881603775</v>
      </c>
      <c r="K37" s="26">
        <f>LOOKUP(C37,'TABLA 6'!B$9:B$12,'TABLA 6'!J$9:J$12)/3*2*F37</f>
        <v>1636.0864397997486</v>
      </c>
      <c r="L37" s="27">
        <f t="shared" si="3"/>
        <v>8916.5569279601259</v>
      </c>
      <c r="M37" s="17" t="str">
        <f>'TABLA 2'!B35</f>
        <v>Liberia</v>
      </c>
      <c r="P37" s="64"/>
    </row>
    <row r="38" spans="1:16" s="1" customFormat="1" ht="10.55" customHeight="1" x14ac:dyDescent="0.25">
      <c r="A38" s="2"/>
      <c r="B38" s="15" t="str">
        <f>'TABLA 2'!B36</f>
        <v>Libya</v>
      </c>
      <c r="C38" s="5" t="str">
        <f>'TABLA 2'!C36</f>
        <v>D</v>
      </c>
      <c r="D38" s="24">
        <f>'TABLA 2'!J36</f>
        <v>4018</v>
      </c>
      <c r="E38" s="5">
        <f>'TABLA 2'!P36</f>
        <v>3</v>
      </c>
      <c r="F38" s="25">
        <f>D38/LOOKUP(C38,'TABLA 6'!B$9:B$12,'TABLA 6'!E$9:E$12)</f>
        <v>0.17415803389536647</v>
      </c>
      <c r="G38" s="25">
        <f>(E38+1)/(LOOKUP(C38,'TABLA 6'!B$9:B$12,'TABLA 6'!D$9:D$12)+LOOKUP(C38,'TABLA 6'!B$9:B$12,'TABLA 6'!C$9:C$12))</f>
        <v>7.5471698113207544E-2</v>
      </c>
      <c r="H38" s="26">
        <f t="shared" si="1"/>
        <v>864.99999999999989</v>
      </c>
      <c r="I38" s="26">
        <f t="shared" si="2"/>
        <v>2594.9999999999995</v>
      </c>
      <c r="J38" s="26">
        <f>LOOKUP(C38,'TABLA 6'!B$9:B$12,'TABLA 6'!J$9:J$12)/3*G38</f>
        <v>6247.2939842138358</v>
      </c>
      <c r="K38" s="26">
        <f>LOOKUP(C38,'TABLA 6'!B$9:B$12,'TABLA 6'!J$9:J$12)/3*2*F38</f>
        <v>28832.435592611357</v>
      </c>
      <c r="L38" s="27">
        <f t="shared" si="3"/>
        <v>38539.729576825193</v>
      </c>
      <c r="M38" s="17" t="str">
        <f>'TABLA 2'!B36</f>
        <v>Libya</v>
      </c>
      <c r="P38" s="64"/>
    </row>
    <row r="39" spans="1:16" s="1" customFormat="1" ht="10.55" customHeight="1" x14ac:dyDescent="0.25">
      <c r="A39" s="2"/>
      <c r="B39" s="15" t="str">
        <f>'TABLA 2'!B37</f>
        <v>Maroc</v>
      </c>
      <c r="C39" s="5" t="str">
        <f>'TABLA 2'!C37</f>
        <v>C</v>
      </c>
      <c r="D39" s="24">
        <f>'TABLA 2'!J37</f>
        <v>27421</v>
      </c>
      <c r="E39" s="5">
        <f>'TABLA 2'!P37</f>
        <v>3</v>
      </c>
      <c r="F39" s="25">
        <f>D39/LOOKUP(C39,'TABLA 6'!B$9:B$12,'TABLA 6'!E$9:E$12)</f>
        <v>6.8684201957253027E-2</v>
      </c>
      <c r="G39" s="25">
        <f>(E39+1)/(LOOKUP(C39,'TABLA 6'!B$9:B$12,'TABLA 6'!D$9:D$12)+LOOKUP(C39,'TABLA 6'!B$9:B$12,'TABLA 6'!C$9:C$12))</f>
        <v>5.4054054054054057E-2</v>
      </c>
      <c r="H39" s="26">
        <f t="shared" si="1"/>
        <v>864.99999999999989</v>
      </c>
      <c r="I39" s="26">
        <f t="shared" si="2"/>
        <v>2594.9999999999995</v>
      </c>
      <c r="J39" s="26">
        <f>LOOKUP(C39,'TABLA 6'!B$9:B$12,'TABLA 6'!J$9:J$12)/3*G39</f>
        <v>25037.122006666668</v>
      </c>
      <c r="K39" s="26">
        <f>LOOKUP(C39,'TABLA 6'!B$9:B$12,'TABLA 6'!J$9:J$12)/3*2*F39</f>
        <v>63627.225540368272</v>
      </c>
      <c r="L39" s="27">
        <f t="shared" si="3"/>
        <v>92124.347547034937</v>
      </c>
      <c r="M39" s="17" t="str">
        <f>'TABLA 2'!B37</f>
        <v>Maroc</v>
      </c>
      <c r="P39" s="64"/>
    </row>
    <row r="40" spans="1:16" s="1" customFormat="1" ht="10.55" customHeight="1" x14ac:dyDescent="0.25">
      <c r="A40" s="2"/>
      <c r="B40" s="15" t="str">
        <f>'TABLA 2'!B38</f>
        <v>Mauritania</v>
      </c>
      <c r="C40" s="5" t="str">
        <f>'TABLA 2'!C38</f>
        <v>C</v>
      </c>
      <c r="D40" s="24">
        <f>'TABLA 2'!J38</f>
        <v>20785</v>
      </c>
      <c r="E40" s="5">
        <f>'TABLA 2'!P38</f>
        <v>3</v>
      </c>
      <c r="F40" s="25">
        <f>D40/LOOKUP(C40,'TABLA 6'!B$9:B$12,'TABLA 6'!E$9:E$12)</f>
        <v>5.2062329516848554E-2</v>
      </c>
      <c r="G40" s="25">
        <f>(E40+1)/(LOOKUP(C40,'TABLA 6'!B$9:B$12,'TABLA 6'!D$9:D$12)+LOOKUP(C40,'TABLA 6'!B$9:B$12,'TABLA 6'!C$9:C$12))</f>
        <v>5.4054054054054057E-2</v>
      </c>
      <c r="H40" s="26">
        <f t="shared" si="1"/>
        <v>864.99999999999989</v>
      </c>
      <c r="I40" s="26">
        <f>E40*H40</f>
        <v>2594.9999999999995</v>
      </c>
      <c r="J40" s="26">
        <f>LOOKUP(C40,'TABLA 6'!B$9:B$12,'TABLA 6'!J$9:J$12)/3*G40</f>
        <v>25037.122006666668</v>
      </c>
      <c r="K40" s="26">
        <f>LOOKUP(C40,'TABLA 6'!B$9:B$12,'TABLA 6'!J$9:J$12)/3*2*F40</f>
        <v>48229.163154390961</v>
      </c>
      <c r="L40" s="27">
        <f>SUM(H40:K40)</f>
        <v>76726.285161057633</v>
      </c>
      <c r="M40" s="17" t="str">
        <f>'TABLA 2'!B38</f>
        <v>Mauritania</v>
      </c>
      <c r="P40" s="64"/>
    </row>
    <row r="41" spans="1:16" s="1" customFormat="1" ht="10.55" customHeight="1" x14ac:dyDescent="0.25">
      <c r="A41" s="2"/>
      <c r="B41" s="15" t="str">
        <f>'TABLA 2'!B39</f>
        <v>Mexico</v>
      </c>
      <c r="C41" s="5" t="str">
        <f>'TABLA 2'!C39</f>
        <v>C</v>
      </c>
      <c r="D41" s="24">
        <f>'TABLA 2'!J39</f>
        <v>3451</v>
      </c>
      <c r="E41" s="5">
        <f>'TABLA 2'!P39</f>
        <v>3</v>
      </c>
      <c r="F41" s="25">
        <f>D41/LOOKUP(C41,'TABLA 6'!B$9:B$12,'TABLA 6'!E$9:E$12)</f>
        <v>8.6440750138390369E-3</v>
      </c>
      <c r="G41" s="25">
        <f>(E41+1)/(LOOKUP(C41,'TABLA 6'!B$9:B$12,'TABLA 6'!D$9:D$12)+LOOKUP(C41,'TABLA 6'!B$9:B$12,'TABLA 6'!C$9:C$12))</f>
        <v>5.4054054054054057E-2</v>
      </c>
      <c r="H41" s="26">
        <f t="shared" ref="H41:H63" si="4">1000/K$2</f>
        <v>864.99999999999989</v>
      </c>
      <c r="I41" s="26">
        <f t="shared" ref="I41:I63" si="5">E41*H41</f>
        <v>2594.9999999999995</v>
      </c>
      <c r="J41" s="26">
        <f>LOOKUP(C41,'TABLA 6'!B$9:B$12,'TABLA 6'!J$9:J$12)/3*G41</f>
        <v>25037.122006666668</v>
      </c>
      <c r="K41" s="26">
        <f>LOOKUP(C41,'TABLA 6'!B$9:B$12,'TABLA 6'!J$9:J$12)/3*2*F41</f>
        <v>8007.6421479818728</v>
      </c>
      <c r="L41" s="27">
        <f t="shared" ref="L41:L63" si="6">SUM(H41:K41)</f>
        <v>36504.764154648539</v>
      </c>
      <c r="M41" s="17" t="str">
        <f>'TABLA 2'!B39</f>
        <v>Mexico</v>
      </c>
      <c r="P41" s="64"/>
    </row>
    <row r="42" spans="1:16" s="1" customFormat="1" ht="10.55" customHeight="1" x14ac:dyDescent="0.25">
      <c r="A42" s="2"/>
      <c r="B42" s="122" t="str">
        <f>'TABLA 2'!B40</f>
        <v>Montenegro</v>
      </c>
      <c r="C42" s="118" t="str">
        <f>'TABLA 2'!C40</f>
        <v>A</v>
      </c>
      <c r="D42" s="123">
        <f>'TABLA 2'!J40</f>
        <v>0</v>
      </c>
      <c r="E42" s="118">
        <f>'TABLA 2'!P40</f>
        <v>0</v>
      </c>
      <c r="F42" s="124">
        <f>D42/LOOKUP(C42,'TABLA 6'!B$9:B$12,'TABLA 6'!E$9:E$12)</f>
        <v>0</v>
      </c>
      <c r="G42" s="124">
        <f>(E42+1)/(LOOKUP(C42,'TABLA 6'!B$9:B$12,'TABLA 6'!D$9:D$12)+LOOKUP(C42,'TABLA 6'!B$9:B$12,'TABLA 6'!C$9:C$12))</f>
        <v>2.1739130434782608E-2</v>
      </c>
      <c r="H42" s="125">
        <f t="shared" ref="H42" si="7">1000/K$2</f>
        <v>864.99999999999989</v>
      </c>
      <c r="I42" s="125">
        <f t="shared" ref="I42" si="8">E42*H42</f>
        <v>0</v>
      </c>
      <c r="J42" s="125">
        <f>LOOKUP(C42,'TABLA 6'!B$9:B$12,'TABLA 6'!J$9:J$12)/3*G42</f>
        <v>31185.62613128623</v>
      </c>
      <c r="K42" s="125">
        <f>LOOKUP(C42,'TABLA 6'!B$9:B$12,'TABLA 6'!J$9:J$12)/3*2*F42</f>
        <v>0</v>
      </c>
      <c r="L42" s="126">
        <f t="shared" ref="L42" si="9">SUM(H42:K42)</f>
        <v>32050.62613128623</v>
      </c>
      <c r="M42" s="121" t="str">
        <f>'TABLA 2'!B40</f>
        <v>Montenegro</v>
      </c>
      <c r="P42" s="64"/>
    </row>
    <row r="43" spans="1:16" s="1" customFormat="1" ht="10.55" customHeight="1" x14ac:dyDescent="0.25">
      <c r="A43" s="2"/>
      <c r="B43" s="15" t="str">
        <f>'TABLA 2'!B41</f>
        <v>Namibia</v>
      </c>
      <c r="C43" s="5" t="str">
        <f>'TABLA 2'!C41</f>
        <v>C</v>
      </c>
      <c r="D43" s="24">
        <f>'TABLA 2'!J41</f>
        <v>13933</v>
      </c>
      <c r="E43" s="5">
        <f>'TABLA 2'!P41</f>
        <v>4</v>
      </c>
      <c r="F43" s="25">
        <f>D43/LOOKUP(C43,'TABLA 6'!B$9:B$12,'TABLA 6'!E$9:E$12)</f>
        <v>3.489941963715424E-2</v>
      </c>
      <c r="G43" s="25">
        <f>(E43+1)/(LOOKUP(C43,'TABLA 6'!B$9:B$12,'TABLA 6'!D$9:D$12)+LOOKUP(C43,'TABLA 6'!B$9:B$12,'TABLA 6'!C$9:C$12))</f>
        <v>6.7567567567567571E-2</v>
      </c>
      <c r="H43" s="26">
        <f t="shared" si="4"/>
        <v>864.99999999999989</v>
      </c>
      <c r="I43" s="26">
        <f t="shared" si="5"/>
        <v>3459.9999999999995</v>
      </c>
      <c r="J43" s="26">
        <f>LOOKUP(C43,'TABLA 6'!B$9:B$12,'TABLA 6'!J$9:J$12)/3*G43</f>
        <v>31296.402508333336</v>
      </c>
      <c r="K43" s="26">
        <f>LOOKUP(C43,'TABLA 6'!B$9:B$12,'TABLA 6'!J$9:J$12)/3*2*F43</f>
        <v>32329.898014439703</v>
      </c>
      <c r="L43" s="27">
        <f t="shared" si="6"/>
        <v>67951.300522773032</v>
      </c>
      <c r="M43" s="17" t="str">
        <f>'TABLA 2'!B41</f>
        <v>Namibia</v>
      </c>
      <c r="P43" s="64"/>
    </row>
    <row r="44" spans="1:16" s="1" customFormat="1" ht="10.55" customHeight="1" x14ac:dyDescent="0.25">
      <c r="A44" s="2"/>
      <c r="B44" s="15" t="str">
        <f>'TABLA 2'!B42</f>
        <v>Nicaragua, Rep. de</v>
      </c>
      <c r="C44" s="5" t="str">
        <f>'TABLA 2'!C42</f>
        <v>D</v>
      </c>
      <c r="D44" s="24">
        <f>'TABLA 2'!J42</f>
        <v>0</v>
      </c>
      <c r="E44" s="5">
        <f>'TABLA 2'!P42</f>
        <v>1</v>
      </c>
      <c r="F44" s="25">
        <f>D44/LOOKUP(C44,'TABLA 6'!B$9:B$12,'TABLA 6'!E$9:E$12)</f>
        <v>0</v>
      </c>
      <c r="G44" s="25">
        <f>(E44+1)/(LOOKUP(C44,'TABLA 6'!B$9:B$12,'TABLA 6'!D$9:D$12)+LOOKUP(C44,'TABLA 6'!B$9:B$12,'TABLA 6'!C$9:C$12))</f>
        <v>3.7735849056603772E-2</v>
      </c>
      <c r="H44" s="26">
        <f t="shared" si="4"/>
        <v>864.99999999999989</v>
      </c>
      <c r="I44" s="26">
        <f t="shared" si="5"/>
        <v>864.99999999999989</v>
      </c>
      <c r="J44" s="26">
        <f>LOOKUP(C44,'TABLA 6'!B$9:B$12,'TABLA 6'!J$9:J$12)/3*G44</f>
        <v>3123.6469921069179</v>
      </c>
      <c r="K44" s="26">
        <f>LOOKUP(C44,'TABLA 6'!B$9:B$12,'TABLA 6'!J$9:J$12)/3*2*F44</f>
        <v>0</v>
      </c>
      <c r="L44" s="27">
        <f t="shared" si="6"/>
        <v>4853.6469921069174</v>
      </c>
      <c r="M44" s="17" t="str">
        <f>'TABLA 2'!B42</f>
        <v>Nicaragua, Rep. de</v>
      </c>
      <c r="P44" s="64"/>
    </row>
    <row r="45" spans="1:16" s="1" customFormat="1" ht="10.55" customHeight="1" x14ac:dyDescent="0.25">
      <c r="A45" s="2"/>
      <c r="B45" s="15" t="str">
        <f>'TABLA 2'!B43</f>
        <v>Nigeria</v>
      </c>
      <c r="C45" s="5" t="str">
        <f>'TABLA 2'!C43</f>
        <v>D</v>
      </c>
      <c r="D45" s="24">
        <f>'TABLA 2'!J43</f>
        <v>0</v>
      </c>
      <c r="E45" s="5">
        <f>'TABLA 2'!P43</f>
        <v>3</v>
      </c>
      <c r="F45" s="25">
        <f>D45/LOOKUP(C45,'TABLA 6'!B$9:B$12,'TABLA 6'!E$9:E$12)</f>
        <v>0</v>
      </c>
      <c r="G45" s="25">
        <f>(E45+1)/(LOOKUP(C45,'TABLA 6'!B$9:B$12,'TABLA 6'!D$9:D$12)+LOOKUP(C45,'TABLA 6'!B$9:B$12,'TABLA 6'!C$9:C$12))</f>
        <v>7.5471698113207544E-2</v>
      </c>
      <c r="H45" s="26">
        <f t="shared" si="4"/>
        <v>864.99999999999989</v>
      </c>
      <c r="I45" s="26">
        <f t="shared" si="5"/>
        <v>2594.9999999999995</v>
      </c>
      <c r="J45" s="26">
        <f>LOOKUP(C45,'TABLA 6'!B$9:B$12,'TABLA 6'!J$9:J$12)/3*G45</f>
        <v>6247.2939842138358</v>
      </c>
      <c r="K45" s="26">
        <f>LOOKUP(C45,'TABLA 6'!B$9:B$12,'TABLA 6'!J$9:J$12)/3*2*F45</f>
        <v>0</v>
      </c>
      <c r="L45" s="27">
        <f t="shared" si="6"/>
        <v>9707.2939842138348</v>
      </c>
      <c r="M45" s="17" t="str">
        <f>'TABLA 2'!B43</f>
        <v>Nigeria</v>
      </c>
      <c r="P45" s="64"/>
    </row>
    <row r="46" spans="1:16" s="1" customFormat="1" ht="10.55" customHeight="1" x14ac:dyDescent="0.25">
      <c r="A46" s="2"/>
      <c r="B46" s="15" t="str">
        <f>'TABLA 2'!B44</f>
        <v>Norway</v>
      </c>
      <c r="C46" s="5" t="str">
        <f>'TABLA 2'!C44</f>
        <v>A</v>
      </c>
      <c r="D46" s="24">
        <f>'TABLA 2'!J44</f>
        <v>133</v>
      </c>
      <c r="E46" s="5">
        <f>'TABLA 2'!P44</f>
        <v>2</v>
      </c>
      <c r="F46" s="25">
        <f>D46/LOOKUP(C46,'TABLA 6'!B$9:B$12,'TABLA 6'!E$9:E$12)</f>
        <v>3.699253473960593E-4</v>
      </c>
      <c r="G46" s="25">
        <f>(E46+1)/(LOOKUP(C46,'TABLA 6'!B$9:B$12,'TABLA 6'!D$9:D$12)+LOOKUP(C46,'TABLA 6'!B$9:B$12,'TABLA 6'!C$9:C$12))</f>
        <v>6.5217391304347824E-2</v>
      </c>
      <c r="H46" s="26">
        <f t="shared" si="4"/>
        <v>864.99999999999989</v>
      </c>
      <c r="I46" s="26">
        <f t="shared" si="5"/>
        <v>1729.9999999999998</v>
      </c>
      <c r="J46" s="26">
        <f>LOOKUP(C46,'TABLA 6'!B$9:B$12,'TABLA 6'!J$9:J$12)/3*G46</f>
        <v>93556.8783938587</v>
      </c>
      <c r="K46" s="26">
        <f>LOOKUP(C46,'TABLA 6'!B$9:B$12,'TABLA 6'!J$9:J$12)/3*2*F46</f>
        <v>1061.344529394931</v>
      </c>
      <c r="L46" s="27">
        <f t="shared" si="6"/>
        <v>97213.222923253634</v>
      </c>
      <c r="M46" s="17" t="str">
        <f>'TABLA 2'!B44</f>
        <v>Norway</v>
      </c>
      <c r="P46" s="64"/>
    </row>
    <row r="47" spans="1:16" s="1" customFormat="1" ht="10.55" customHeight="1" x14ac:dyDescent="0.25">
      <c r="A47" s="2"/>
      <c r="B47" s="15" t="str">
        <f>'TABLA 2'!B45</f>
        <v>Panama</v>
      </c>
      <c r="C47" s="5" t="str">
        <f>'TABLA 2'!C45</f>
        <v>B</v>
      </c>
      <c r="D47" s="24">
        <f>'TABLA 2'!J45</f>
        <v>25373</v>
      </c>
      <c r="E47" s="5">
        <f>'TABLA 2'!P45</f>
        <v>4</v>
      </c>
      <c r="F47" s="25">
        <f>D47/LOOKUP(C47,'TABLA 6'!B$9:B$12,'TABLA 6'!E$9:E$12)</f>
        <v>0.21578616138250101</v>
      </c>
      <c r="G47" s="25">
        <f>(E47+1)/(LOOKUP(C47,'TABLA 6'!B$9:B$12,'TABLA 6'!D$9:D$12)+LOOKUP(C47,'TABLA 6'!B$9:B$12,'TABLA 6'!C$9:C$12))</f>
        <v>0.29411764705882354</v>
      </c>
      <c r="H47" s="26">
        <f t="shared" si="4"/>
        <v>864.99999999999989</v>
      </c>
      <c r="I47" s="26">
        <f t="shared" si="5"/>
        <v>3459.9999999999995</v>
      </c>
      <c r="J47" s="26">
        <f>LOOKUP(C47,'TABLA 6'!B$9:B$12,'TABLA 6'!J$9:J$12)/3*G47</f>
        <v>79990.84153333334</v>
      </c>
      <c r="K47" s="26">
        <f>LOOKUP(C47,'TABLA 6'!B$9:B$12,'TABLA 6'!J$9:J$12)/3*2*F47</f>
        <v>117374.23315359073</v>
      </c>
      <c r="L47" s="27">
        <f t="shared" si="6"/>
        <v>201690.07468692405</v>
      </c>
      <c r="M47" s="17" t="str">
        <f>'TABLA 2'!B45</f>
        <v>Panama</v>
      </c>
      <c r="P47" s="64"/>
    </row>
    <row r="48" spans="1:16" s="1" customFormat="1" ht="10.55" customHeight="1" x14ac:dyDescent="0.25">
      <c r="A48" s="2"/>
      <c r="B48" s="15" t="str">
        <f>'TABLA 2'!B46</f>
        <v>Philippines, Rep. of</v>
      </c>
      <c r="C48" s="5" t="str">
        <f>'TABLA 2'!C46</f>
        <v>D</v>
      </c>
      <c r="D48" s="24">
        <f>'TABLA 2'!J46</f>
        <v>0</v>
      </c>
      <c r="E48" s="5">
        <f>'TABLA 2'!P46</f>
        <v>2</v>
      </c>
      <c r="F48" s="25">
        <f>D48/LOOKUP(C48,'TABLA 6'!B$9:B$12,'TABLA 6'!E$9:E$12)</f>
        <v>0</v>
      </c>
      <c r="G48" s="25">
        <f>(E48+1)/(LOOKUP(C48,'TABLA 6'!B$9:B$12,'TABLA 6'!D$9:D$12)+LOOKUP(C48,'TABLA 6'!B$9:B$12,'TABLA 6'!C$9:C$12))</f>
        <v>5.6603773584905662E-2</v>
      </c>
      <c r="H48" s="26">
        <f t="shared" si="4"/>
        <v>864.99999999999989</v>
      </c>
      <c r="I48" s="26">
        <f t="shared" si="5"/>
        <v>1729.9999999999998</v>
      </c>
      <c r="J48" s="26">
        <f>LOOKUP(C48,'TABLA 6'!B$9:B$12,'TABLA 6'!J$9:J$12)/3*G48</f>
        <v>4685.4704881603775</v>
      </c>
      <c r="K48" s="26">
        <f>LOOKUP(C48,'TABLA 6'!B$9:B$12,'TABLA 6'!J$9:J$12)/3*2*F48</f>
        <v>0</v>
      </c>
      <c r="L48" s="27">
        <f t="shared" si="6"/>
        <v>7280.4704881603775</v>
      </c>
      <c r="M48" s="17" t="str">
        <f>'TABLA 2'!B46</f>
        <v>Philippines, Rep. of</v>
      </c>
      <c r="P48" s="64"/>
    </row>
    <row r="49" spans="1:16" s="1" customFormat="1" ht="10.55" customHeight="1" x14ac:dyDescent="0.25">
      <c r="A49" s="2"/>
      <c r="B49" s="15" t="str">
        <f>'TABLA 2'!B47</f>
        <v>Russia</v>
      </c>
      <c r="C49" s="5" t="str">
        <f>'TABLA 2'!C47</f>
        <v>A</v>
      </c>
      <c r="D49" s="24">
        <f>'TABLA 2'!J47</f>
        <v>3271</v>
      </c>
      <c r="E49" s="5">
        <f>'TABLA 2'!P47</f>
        <v>2</v>
      </c>
      <c r="F49" s="25">
        <f>D49/LOOKUP(C49,'TABLA 6'!B$9:B$12,'TABLA 6'!E$9:E$12)</f>
        <v>9.0979384310715047E-3</v>
      </c>
      <c r="G49" s="25">
        <f>(E49+1)/(LOOKUP(C49,'TABLA 6'!B$9:B$12,'TABLA 6'!D$9:D$12)+LOOKUP(C49,'TABLA 6'!B$9:B$12,'TABLA 6'!C$9:C$12))</f>
        <v>6.5217391304347824E-2</v>
      </c>
      <c r="H49" s="26">
        <f t="shared" si="4"/>
        <v>864.99999999999989</v>
      </c>
      <c r="I49" s="26">
        <f t="shared" si="5"/>
        <v>1729.9999999999998</v>
      </c>
      <c r="J49" s="26">
        <f>LOOKUP(C49,'TABLA 6'!B$9:B$12,'TABLA 6'!J$9:J$12)/3*G49</f>
        <v>93556.8783938587</v>
      </c>
      <c r="K49" s="26">
        <f>LOOKUP(C49,'TABLA 6'!B$9:B$12,'TABLA 6'!J$9:J$12)/3*2*F49</f>
        <v>26102.691395870825</v>
      </c>
      <c r="L49" s="27">
        <f t="shared" si="6"/>
        <v>122254.56978972952</v>
      </c>
      <c r="M49" s="17" t="str">
        <f>'TABLA 2'!B47</f>
        <v>Russia</v>
      </c>
      <c r="P49" s="64"/>
    </row>
    <row r="50" spans="1:16" s="1" customFormat="1" ht="10.55" customHeight="1" x14ac:dyDescent="0.25">
      <c r="A50" s="2"/>
      <c r="B50" s="15" t="str">
        <f>'TABLA 2'!B48</f>
        <v>Saint Vincent and Grenadines</v>
      </c>
      <c r="C50" s="5" t="str">
        <f>'TABLA 2'!C48</f>
        <v>C</v>
      </c>
      <c r="D50" s="24">
        <f>'TABLA 2'!J48</f>
        <v>333</v>
      </c>
      <c r="E50" s="5">
        <f>'TABLA 2'!P48</f>
        <v>4</v>
      </c>
      <c r="F50" s="25">
        <f>D50/LOOKUP(C50,'TABLA 6'!B$9:B$12,'TABLA 6'!E$9:E$12)</f>
        <v>8.3409938557183394E-4</v>
      </c>
      <c r="G50" s="25">
        <f>(E50+1)/(LOOKUP(C50,'TABLA 6'!B$9:B$12,'TABLA 6'!D$9:D$12)+LOOKUP(C50,'TABLA 6'!B$9:B$12,'TABLA 6'!C$9:C$12))</f>
        <v>6.7567567567567571E-2</v>
      </c>
      <c r="H50" s="26">
        <f t="shared" si="4"/>
        <v>864.99999999999989</v>
      </c>
      <c r="I50" s="26">
        <f t="shared" si="5"/>
        <v>3459.9999999999995</v>
      </c>
      <c r="J50" s="26">
        <f>LOOKUP(C50,'TABLA 6'!B$9:B$12,'TABLA 6'!J$9:J$12)/3*G50</f>
        <v>31296.402508333336</v>
      </c>
      <c r="K50" s="26">
        <f>LOOKUP(C50,'TABLA 6'!B$9:B$12,'TABLA 6'!J$9:J$12)/3*2*F50</f>
        <v>772.68757904316521</v>
      </c>
      <c r="L50" s="27">
        <f t="shared" si="6"/>
        <v>36394.090087376499</v>
      </c>
      <c r="M50" s="17" t="str">
        <f>'TABLA 2'!B48</f>
        <v>Saint Vincent and Grenadines</v>
      </c>
      <c r="P50" s="64"/>
    </row>
    <row r="51" spans="1:16" s="1" customFormat="1" ht="10.55" customHeight="1" x14ac:dyDescent="0.25">
      <c r="A51" s="2"/>
      <c r="B51" s="15" t="str">
        <f>'TABLA 2'!B49</f>
        <v>Sâo Tomé e Príncipe</v>
      </c>
      <c r="C51" s="5" t="str">
        <f>'TABLA 2'!C49</f>
        <v>D</v>
      </c>
      <c r="D51" s="24">
        <f>'TABLA 2'!J49</f>
        <v>1255</v>
      </c>
      <c r="E51" s="5">
        <f>'TABLA 2'!P49</f>
        <v>2</v>
      </c>
      <c r="F51" s="25">
        <f>D51/LOOKUP(C51,'TABLA 6'!B$9:B$12,'TABLA 6'!E$9:E$12)</f>
        <v>5.4397295305795151E-2</v>
      </c>
      <c r="G51" s="25">
        <f>(E51+1)/(LOOKUP(C51,'TABLA 6'!B$9:B$12,'TABLA 6'!D$9:D$12)+LOOKUP(C51,'TABLA 6'!B$9:B$12,'TABLA 6'!C$9:C$12))</f>
        <v>5.6603773584905662E-2</v>
      </c>
      <c r="H51" s="26">
        <f t="shared" si="4"/>
        <v>864.99999999999989</v>
      </c>
      <c r="I51" s="26">
        <f t="shared" si="5"/>
        <v>1729.9999999999998</v>
      </c>
      <c r="J51" s="26">
        <f>LOOKUP(C51,'TABLA 6'!B$9:B$12,'TABLA 6'!J$9:J$12)/3*G51</f>
        <v>4685.4704881603775</v>
      </c>
      <c r="K51" s="26">
        <f>LOOKUP(C51,'TABLA 6'!B$9:B$12,'TABLA 6'!J$9:J$12)/3*2*F51</f>
        <v>9005.6512366170373</v>
      </c>
      <c r="L51" s="27">
        <f t="shared" si="6"/>
        <v>16286.121724777415</v>
      </c>
      <c r="M51" s="17" t="str">
        <f>'TABLA 2'!B49</f>
        <v>Sâo Tomé e Príncipe</v>
      </c>
      <c r="P51" s="64"/>
    </row>
    <row r="52" spans="1:16" s="1" customFormat="1" ht="10.55" customHeight="1" x14ac:dyDescent="0.25">
      <c r="A52" s="2"/>
      <c r="B52" s="15" t="str">
        <f>'TABLA 2'!B50</f>
        <v>Senegal</v>
      </c>
      <c r="C52" s="5" t="str">
        <f>'TABLA 2'!C50</f>
        <v>C</v>
      </c>
      <c r="D52" s="24">
        <f>'TABLA 2'!J50</f>
        <v>66369</v>
      </c>
      <c r="E52" s="5">
        <f>'TABLA 2'!P50</f>
        <v>3</v>
      </c>
      <c r="F52" s="25">
        <f>D52/LOOKUP(C52,'TABLA 6'!B$9:B$12,'TABLA 6'!E$9:E$12)</f>
        <v>0.16624126763068184</v>
      </c>
      <c r="G52" s="25">
        <f>(E52+1)/(LOOKUP(C52,'TABLA 6'!B$9:B$12,'TABLA 6'!D$9:D$12)+LOOKUP(C52,'TABLA 6'!B$9:B$12,'TABLA 6'!C$9:C$12))</f>
        <v>5.4054054054054057E-2</v>
      </c>
      <c r="H52" s="26">
        <f t="shared" si="4"/>
        <v>864.99999999999989</v>
      </c>
      <c r="I52" s="26">
        <f t="shared" si="5"/>
        <v>2594.9999999999995</v>
      </c>
      <c r="J52" s="26">
        <f>LOOKUP(C52,'TABLA 6'!B$9:B$12,'TABLA 6'!J$9:J$12)/3*G52</f>
        <v>25037.122006666668</v>
      </c>
      <c r="K52" s="26">
        <f>LOOKUP(C52,'TABLA 6'!B$9:B$12,'TABLA 6'!J$9:J$12)/3*2*F52</f>
        <v>154001.50730785538</v>
      </c>
      <c r="L52" s="27">
        <f t="shared" si="6"/>
        <v>182498.62931452206</v>
      </c>
      <c r="M52" s="17" t="str">
        <f>'TABLA 2'!B50</f>
        <v>Senegal</v>
      </c>
      <c r="P52" s="64"/>
    </row>
    <row r="53" spans="1:16" s="1" customFormat="1" ht="10.55" customHeight="1" x14ac:dyDescent="0.25">
      <c r="A53" s="2"/>
      <c r="B53" s="15" t="str">
        <f>'TABLA 2'!B51</f>
        <v>Sierra Leone</v>
      </c>
      <c r="C53" s="5" t="str">
        <f>'TABLA 2'!C51</f>
        <v>D</v>
      </c>
      <c r="D53" s="24">
        <f>'TABLA 2'!J51</f>
        <v>0</v>
      </c>
      <c r="E53" s="5">
        <f>'TABLA 2'!P51</f>
        <v>2</v>
      </c>
      <c r="F53" s="25">
        <f>D53/LOOKUP(C53,'TABLA 6'!B$9:B$12,'TABLA 6'!E$9:E$12)</f>
        <v>0</v>
      </c>
      <c r="G53" s="25">
        <f>(E53+1)/(LOOKUP(C53,'TABLA 6'!B$9:B$12,'TABLA 6'!D$9:D$12)+LOOKUP(C53,'TABLA 6'!B$9:B$12,'TABLA 6'!C$9:C$12))</f>
        <v>5.6603773584905662E-2</v>
      </c>
      <c r="H53" s="26">
        <f t="shared" si="4"/>
        <v>864.99999999999989</v>
      </c>
      <c r="I53" s="26">
        <f t="shared" si="5"/>
        <v>1729.9999999999998</v>
      </c>
      <c r="J53" s="26">
        <f>LOOKUP(C53,'TABLA 6'!B$9:B$12,'TABLA 6'!J$9:J$12)/3*G53</f>
        <v>4685.4704881603775</v>
      </c>
      <c r="K53" s="26">
        <f>LOOKUP(C53,'TABLA 6'!B$9:B$12,'TABLA 6'!J$9:J$12)/3*2*F53</f>
        <v>0</v>
      </c>
      <c r="L53" s="27">
        <f t="shared" si="6"/>
        <v>7280.4704881603775</v>
      </c>
      <c r="M53" s="17" t="str">
        <f>'TABLA 2'!B51</f>
        <v>Sierra Leone</v>
      </c>
      <c r="P53" s="64"/>
    </row>
    <row r="54" spans="1:16" s="1" customFormat="1" ht="10.55" customHeight="1" x14ac:dyDescent="0.25">
      <c r="A54" s="2"/>
      <c r="B54" s="15" t="str">
        <f>'TABLA 2'!B52</f>
        <v>South Africa</v>
      </c>
      <c r="C54" s="5" t="str">
        <f>'TABLA 2'!C52</f>
        <v>C</v>
      </c>
      <c r="D54" s="24">
        <f>'TABLA 2'!J52</f>
        <v>6049</v>
      </c>
      <c r="E54" s="5">
        <f>'TABLA 2'!P52</f>
        <v>3</v>
      </c>
      <c r="F54" s="25">
        <f>D54/LOOKUP(C54,'TABLA 6'!B$9:B$12,'TABLA 6'!E$9:E$12)</f>
        <v>1.5151553103075147E-2</v>
      </c>
      <c r="G54" s="25">
        <f>(E54+1)/(LOOKUP(C54,'TABLA 6'!B$9:B$12,'TABLA 6'!D$9:D$12)+LOOKUP(C54,'TABLA 6'!B$9:B$12,'TABLA 6'!C$9:C$12))</f>
        <v>5.4054054054054057E-2</v>
      </c>
      <c r="H54" s="26">
        <f t="shared" si="4"/>
        <v>864.99999999999989</v>
      </c>
      <c r="I54" s="26">
        <f t="shared" si="5"/>
        <v>2594.9999999999995</v>
      </c>
      <c r="J54" s="26">
        <f>LOOKUP(C54,'TABLA 6'!B$9:B$12,'TABLA 6'!J$9:J$12)/3*G54</f>
        <v>25037.122006666668</v>
      </c>
      <c r="K54" s="26">
        <f>LOOKUP(C54,'TABLA 6'!B$9:B$12,'TABLA 6'!J$9:J$12)/3*2*F54</f>
        <v>14035.997494390711</v>
      </c>
      <c r="L54" s="27">
        <f t="shared" si="6"/>
        <v>42533.119501057379</v>
      </c>
      <c r="M54" s="17" t="str">
        <f>'TABLA 2'!B52</f>
        <v>South Africa</v>
      </c>
      <c r="P54" s="64"/>
    </row>
    <row r="55" spans="1:16" s="1" customFormat="1" ht="10.55" customHeight="1" x14ac:dyDescent="0.25">
      <c r="A55" s="2"/>
      <c r="B55" s="15" t="str">
        <f>'TABLA 2'!B53</f>
        <v>Syrian Arab Republic</v>
      </c>
      <c r="C55" s="5" t="str">
        <f>'TABLA 2'!C53</f>
        <v>D</v>
      </c>
      <c r="D55" s="24">
        <f>'TABLA 2'!J53</f>
        <v>79</v>
      </c>
      <c r="E55" s="5">
        <f>'TABLA 2'!P53</f>
        <v>1</v>
      </c>
      <c r="F55" s="25">
        <f>D55/LOOKUP(C55,'TABLA 6'!B$9:B$12,'TABLA 6'!E$9:E$12)</f>
        <v>3.4242122144683804E-3</v>
      </c>
      <c r="G55" s="25">
        <f>(E55+1)/(LOOKUP(C55,'TABLA 6'!B$9:B$12,'TABLA 6'!D$9:D$12)+LOOKUP(C55,'TABLA 6'!B$9:B$12,'TABLA 6'!C$9:C$12))</f>
        <v>3.7735849056603772E-2</v>
      </c>
      <c r="H55" s="26">
        <f t="shared" si="4"/>
        <v>864.99999999999989</v>
      </c>
      <c r="I55" s="26">
        <f t="shared" si="5"/>
        <v>864.99999999999989</v>
      </c>
      <c r="J55" s="26">
        <f>LOOKUP(C55,'TABLA 6'!B$9:B$12,'TABLA 6'!J$9:J$12)/3*G55</f>
        <v>3123.6469921069179</v>
      </c>
      <c r="K55" s="26">
        <f>LOOKUP(C55,'TABLA 6'!B$9:B$12,'TABLA 6'!J$9:J$12)/3*2*F55</f>
        <v>566.88959975517605</v>
      </c>
      <c r="L55" s="27">
        <f t="shared" si="6"/>
        <v>5420.5365918620937</v>
      </c>
      <c r="M55" s="17" t="str">
        <f>'TABLA 2'!B53</f>
        <v>Syrian Arab Republic</v>
      </c>
      <c r="P55" s="64"/>
    </row>
    <row r="56" spans="1:16" s="1" customFormat="1" ht="10.55" customHeight="1" x14ac:dyDescent="0.25">
      <c r="A56" s="2"/>
      <c r="B56" s="15" t="str">
        <f>'TABLA 2'!B54</f>
        <v>Trinidad &amp; Tobago</v>
      </c>
      <c r="C56" s="5" t="str">
        <f>'TABLA 2'!C54</f>
        <v>C</v>
      </c>
      <c r="D56" s="24">
        <f>'TABLA 2'!J54</f>
        <v>2776</v>
      </c>
      <c r="E56" s="5">
        <f>'TABLA 2'!P54</f>
        <v>2</v>
      </c>
      <c r="F56" s="25">
        <f>D56/LOOKUP(C56,'TABLA 6'!B$9:B$12,'TABLA 6'!E$9:E$12)</f>
        <v>6.9533330160582918E-3</v>
      </c>
      <c r="G56" s="25">
        <f>(E56+1)/(LOOKUP(C56,'TABLA 6'!B$9:B$12,'TABLA 6'!D$9:D$12)+LOOKUP(C56,'TABLA 6'!B$9:B$12,'TABLA 6'!C$9:C$12))</f>
        <v>4.0540540540540543E-2</v>
      </c>
      <c r="H56" s="26">
        <f t="shared" si="4"/>
        <v>864.99999999999989</v>
      </c>
      <c r="I56" s="26">
        <f t="shared" si="5"/>
        <v>1729.9999999999998</v>
      </c>
      <c r="J56" s="26">
        <f>LOOKUP(C56,'TABLA 6'!B$9:B$12,'TABLA 6'!J$9:J$12)/3*G56</f>
        <v>18777.841505</v>
      </c>
      <c r="K56" s="26">
        <f>LOOKUP(C56,'TABLA 6'!B$9:B$12,'TABLA 6'!J$9:J$12)/3*2*F56</f>
        <v>6441.383541813294</v>
      </c>
      <c r="L56" s="27">
        <f t="shared" si="6"/>
        <v>27814.225046813295</v>
      </c>
      <c r="M56" s="17" t="str">
        <f>'TABLA 2'!B54</f>
        <v>Trinidad &amp; Tobago</v>
      </c>
      <c r="P56" s="64"/>
    </row>
    <row r="57" spans="1:16" s="1" customFormat="1" ht="10.55" customHeight="1" x14ac:dyDescent="0.25">
      <c r="A57" s="2"/>
      <c r="B57" s="15" t="str">
        <f>'TABLA 2'!B55</f>
        <v>Tunisie</v>
      </c>
      <c r="C57" s="5" t="str">
        <f>'TABLA 2'!C55</f>
        <v>C</v>
      </c>
      <c r="D57" s="24">
        <f>'TABLA 2'!J55</f>
        <v>18228</v>
      </c>
      <c r="E57" s="5">
        <f>'TABLA 2'!P55</f>
        <v>2</v>
      </c>
      <c r="F57" s="25">
        <f>D57/LOOKUP(C57,'TABLA 6'!B$9:B$12,'TABLA 6'!E$9:E$12)</f>
        <v>4.5657548348959132E-2</v>
      </c>
      <c r="G57" s="25">
        <f>(E57+1)/(LOOKUP(C57,'TABLA 6'!B$9:B$12,'TABLA 6'!D$9:D$12)+LOOKUP(C57,'TABLA 6'!B$9:B$12,'TABLA 6'!C$9:C$12))</f>
        <v>4.0540540540540543E-2</v>
      </c>
      <c r="H57" s="26">
        <f t="shared" si="4"/>
        <v>864.99999999999989</v>
      </c>
      <c r="I57" s="26">
        <f t="shared" si="5"/>
        <v>1729.9999999999998</v>
      </c>
      <c r="J57" s="26">
        <f>LOOKUP(C57,'TABLA 6'!B$9:B$12,'TABLA 6'!J$9:J$12)/3*G57</f>
        <v>18777.841505</v>
      </c>
      <c r="K57" s="26">
        <f>LOOKUP(C57,'TABLA 6'!B$9:B$12,'TABLA 6'!J$9:J$12)/3*2*F57</f>
        <v>42295.943515912368</v>
      </c>
      <c r="L57" s="27">
        <f t="shared" si="6"/>
        <v>63668.785020912372</v>
      </c>
      <c r="M57" s="17" t="str">
        <f>'TABLA 2'!B55</f>
        <v>Tunisie</v>
      </c>
      <c r="P57" s="64"/>
    </row>
    <row r="58" spans="1:16" s="1" customFormat="1" ht="10.55" customHeight="1" x14ac:dyDescent="0.25">
      <c r="A58" s="2"/>
      <c r="B58" s="15" t="str">
        <f>'TABLA 2'!B56</f>
        <v>Türkiye</v>
      </c>
      <c r="C58" s="5" t="str">
        <f>'TABLA 2'!C56</f>
        <v>B</v>
      </c>
      <c r="D58" s="24">
        <f>'TABLA 2'!J56</f>
        <v>22665</v>
      </c>
      <c r="E58" s="5">
        <f>'TABLA 2'!P56</f>
        <v>2</v>
      </c>
      <c r="F58" s="25">
        <f>D58/LOOKUP(C58,'TABLA 6'!B$9:B$12,'TABLA 6'!E$9:E$12)</f>
        <v>0.19275581711797524</v>
      </c>
      <c r="G58" s="25">
        <f>(E58+1)/(LOOKUP(C58,'TABLA 6'!B$9:B$12,'TABLA 6'!D$9:D$12)+LOOKUP(C58,'TABLA 6'!B$9:B$12,'TABLA 6'!C$9:C$12))</f>
        <v>0.17647058823529413</v>
      </c>
      <c r="H58" s="26">
        <f t="shared" si="4"/>
        <v>864.99999999999989</v>
      </c>
      <c r="I58" s="26">
        <f t="shared" si="5"/>
        <v>1729.9999999999998</v>
      </c>
      <c r="J58" s="26">
        <f>LOOKUP(C58,'TABLA 6'!B$9:B$12,'TABLA 6'!J$9:J$12)/3*G58</f>
        <v>47994.504919999999</v>
      </c>
      <c r="K58" s="26">
        <f>LOOKUP(C58,'TABLA 6'!B$9:B$12,'TABLA 6'!J$9:J$12)/3*2*F58</f>
        <v>104847.16014764253</v>
      </c>
      <c r="L58" s="27">
        <f t="shared" si="6"/>
        <v>155436.66506764252</v>
      </c>
      <c r="M58" s="17" t="str">
        <f>'TABLA 2'!B56</f>
        <v>Türkiye</v>
      </c>
      <c r="P58" s="64"/>
    </row>
    <row r="59" spans="1:16" s="1" customFormat="1" ht="10.55" customHeight="1" x14ac:dyDescent="0.25">
      <c r="A59" s="2"/>
      <c r="B59" s="15" t="str">
        <f>'TABLA 2'!B57</f>
        <v>Union Européenne</v>
      </c>
      <c r="C59" s="5" t="str">
        <f>'TABLA 2'!C57</f>
        <v>A</v>
      </c>
      <c r="D59" s="24">
        <f>'TABLA 2'!J57</f>
        <v>270413</v>
      </c>
      <c r="E59" s="5">
        <f>'TABLA 2'!P57</f>
        <v>4</v>
      </c>
      <c r="F59" s="25">
        <f>D59/LOOKUP(C59,'TABLA 6'!B$9:B$12,'TABLA 6'!E$9:E$12)</f>
        <v>0.75212498470233524</v>
      </c>
      <c r="G59" s="25">
        <f>(E59+1)/(LOOKUP(C59,'TABLA 6'!B$9:B$12,'TABLA 6'!D$9:D$12)+LOOKUP(C59,'TABLA 6'!B$9:B$12,'TABLA 6'!C$9:C$12))</f>
        <v>0.10869565217391304</v>
      </c>
      <c r="H59" s="26">
        <f t="shared" si="4"/>
        <v>864.99999999999989</v>
      </c>
      <c r="I59" s="26">
        <f t="shared" si="5"/>
        <v>3459.9999999999995</v>
      </c>
      <c r="J59" s="26">
        <f>LOOKUP(C59,'TABLA 6'!B$9:B$12,'TABLA 6'!J$9:J$12)/3*G59</f>
        <v>155928.13065643117</v>
      </c>
      <c r="K59" s="26">
        <f>LOOKUP(C59,'TABLA 6'!B$9:B$12,'TABLA 6'!J$9:J$12)/3*2*F59</f>
        <v>2157904.949077229</v>
      </c>
      <c r="L59" s="27">
        <f t="shared" si="6"/>
        <v>2318158.07973366</v>
      </c>
      <c r="M59" s="17" t="str">
        <f>'TABLA 2'!B57</f>
        <v>Union Européenne</v>
      </c>
      <c r="P59" s="64"/>
    </row>
    <row r="60" spans="1:16" s="1" customFormat="1" ht="21.5" customHeight="1" x14ac:dyDescent="0.25">
      <c r="A60" s="2"/>
      <c r="B60" s="58" t="str">
        <f>'TABLA 2'!B58</f>
        <v xml:space="preserve">United Kingdom of Great Britain and Northern Ireland </v>
      </c>
      <c r="C60" s="5" t="str">
        <f>'TABLA 2'!C58</f>
        <v>A</v>
      </c>
      <c r="D60" s="24">
        <f>'TABLA 2'!J58</f>
        <v>396</v>
      </c>
      <c r="E60" s="5">
        <f>'TABLA 2'!P58</f>
        <v>4</v>
      </c>
      <c r="F60" s="25">
        <f>D60/LOOKUP(C60,'TABLA 6'!B$9:B$12,'TABLA 6'!E$9:E$12)</f>
        <v>1.1014318614198458E-3</v>
      </c>
      <c r="G60" s="25">
        <f>(E60+1)/(LOOKUP(C60,'TABLA 6'!B$9:B$12,'TABLA 6'!D$9:D$12)+LOOKUP(C60,'TABLA 6'!B$9:B$12,'TABLA 6'!C$9:C$12))</f>
        <v>0.10869565217391304</v>
      </c>
      <c r="H60" s="26">
        <f t="shared" si="4"/>
        <v>864.99999999999989</v>
      </c>
      <c r="I60" s="26">
        <f t="shared" si="5"/>
        <v>3459.9999999999995</v>
      </c>
      <c r="J60" s="26">
        <f>LOOKUP(C60,'TABLA 6'!B$9:B$12,'TABLA 6'!J$9:J$12)/3*G60</f>
        <v>155928.13065643117</v>
      </c>
      <c r="K60" s="26">
        <f>LOOKUP(C60,'TABLA 6'!B$9:B$12,'TABLA 6'!J$9:J$12)/3*2*F60</f>
        <v>3160.09348601799</v>
      </c>
      <c r="L60" s="27">
        <f t="shared" si="6"/>
        <v>163413.22414244915</v>
      </c>
      <c r="M60" s="59" t="str">
        <f>'TABLA 2'!B58</f>
        <v xml:space="preserve">United Kingdom of Great Britain and Northern Ireland </v>
      </c>
      <c r="P60" s="64"/>
    </row>
    <row r="61" spans="1:16" s="1" customFormat="1" ht="10.55" customHeight="1" x14ac:dyDescent="0.25">
      <c r="A61" s="2"/>
      <c r="B61" s="15" t="str">
        <f>'TABLA 2'!B59</f>
        <v>United States</v>
      </c>
      <c r="C61" s="5" t="str">
        <f>'TABLA 2'!C59</f>
        <v>A</v>
      </c>
      <c r="D61" s="24">
        <f>'TABLA 2'!J59</f>
        <v>40011</v>
      </c>
      <c r="E61" s="5">
        <f>'TABLA 2'!P59</f>
        <v>4</v>
      </c>
      <c r="F61" s="25">
        <f>D61/LOOKUP(C61,'TABLA 6'!B$9:B$12,'TABLA 6'!E$9:E$12)</f>
        <v>0.11128633890724608</v>
      </c>
      <c r="G61" s="25">
        <f>(E61+1)/(LOOKUP(C61,'TABLA 6'!B$9:B$12,'TABLA 6'!D$9:D$12)+LOOKUP(C61,'TABLA 6'!B$9:B$12,'TABLA 6'!C$9:C$12))</f>
        <v>0.10869565217391304</v>
      </c>
      <c r="H61" s="26">
        <f t="shared" si="4"/>
        <v>864.99999999999989</v>
      </c>
      <c r="I61" s="26">
        <f t="shared" si="5"/>
        <v>3459.9999999999995</v>
      </c>
      <c r="J61" s="26">
        <f>LOOKUP(C61,'TABLA 6'!B$9:B$12,'TABLA 6'!J$9:J$12)/3*G61</f>
        <v>155928.13065643117</v>
      </c>
      <c r="K61" s="26">
        <f>LOOKUP(C61,'TABLA 6'!B$9:B$12,'TABLA 6'!J$9:J$12)/3*2*F61</f>
        <v>319289.142598651</v>
      </c>
      <c r="L61" s="27">
        <f t="shared" si="6"/>
        <v>479542.2732550822</v>
      </c>
      <c r="M61" s="17" t="str">
        <f>'TABLA 2'!B59</f>
        <v>United States</v>
      </c>
      <c r="P61" s="64"/>
    </row>
    <row r="62" spans="1:16" s="1" customFormat="1" ht="10.55" customHeight="1" x14ac:dyDescent="0.25">
      <c r="A62" s="2"/>
      <c r="B62" s="15" t="str">
        <f>'TABLA 2'!B60</f>
        <v>Uruguay</v>
      </c>
      <c r="C62" s="5" t="str">
        <f>'TABLA 2'!C60</f>
        <v>C</v>
      </c>
      <c r="D62" s="24">
        <f>'TABLA 2'!J60</f>
        <v>0</v>
      </c>
      <c r="E62" s="5">
        <f>'TABLA 2'!P60</f>
        <v>3</v>
      </c>
      <c r="F62" s="25">
        <f>D62/LOOKUP(C62,'TABLA 6'!B$9:B$12,'TABLA 6'!E$9:E$12)</f>
        <v>0</v>
      </c>
      <c r="G62" s="25">
        <f>(E62+1)/(LOOKUP(C62,'TABLA 6'!B$9:B$12,'TABLA 6'!D$9:D$12)+LOOKUP(C62,'TABLA 6'!B$9:B$12,'TABLA 6'!C$9:C$12))</f>
        <v>5.4054054054054057E-2</v>
      </c>
      <c r="H62" s="26">
        <f t="shared" si="4"/>
        <v>864.99999999999989</v>
      </c>
      <c r="I62" s="26">
        <f t="shared" si="5"/>
        <v>2594.9999999999995</v>
      </c>
      <c r="J62" s="26">
        <f>LOOKUP(C62,'TABLA 6'!B$9:B$12,'TABLA 6'!J$9:J$12)/3*G62</f>
        <v>25037.122006666668</v>
      </c>
      <c r="K62" s="26">
        <f>LOOKUP(C62,'TABLA 6'!B$9:B$12,'TABLA 6'!J$9:J$12)/3*2*F62</f>
        <v>0</v>
      </c>
      <c r="L62" s="27">
        <f t="shared" si="6"/>
        <v>28497.122006666668</v>
      </c>
      <c r="M62" s="17" t="str">
        <f>'TABLA 2'!B60</f>
        <v>Uruguay</v>
      </c>
      <c r="P62" s="64"/>
    </row>
    <row r="63" spans="1:16" s="1" customFormat="1" ht="10.55" customHeight="1" x14ac:dyDescent="0.25">
      <c r="A63" s="2"/>
      <c r="B63" s="15" t="str">
        <f>'TABLA 2'!B61</f>
        <v>Venezuela</v>
      </c>
      <c r="C63" s="5" t="str">
        <f>'TABLA 2'!C61</f>
        <v>D</v>
      </c>
      <c r="D63" s="24">
        <f>'TABLA 2'!J61</f>
        <v>4867</v>
      </c>
      <c r="E63" s="5">
        <f>'TABLA 2'!P61</f>
        <v>3</v>
      </c>
      <c r="F63" s="25">
        <f>D63/LOOKUP(C63,'TABLA 6'!B$9:B$12,'TABLA 6'!E$9:E$12)</f>
        <v>0.2109574790862988</v>
      </c>
      <c r="G63" s="25">
        <f>(E63+1)/(LOOKUP(C63,'TABLA 6'!B$9:B$12,'TABLA 6'!D$9:D$12)+LOOKUP(C63,'TABLA 6'!B$9:B$12,'TABLA 6'!C$9:C$12))</f>
        <v>7.5471698113207544E-2</v>
      </c>
      <c r="H63" s="26">
        <f t="shared" si="4"/>
        <v>864.99999999999989</v>
      </c>
      <c r="I63" s="26">
        <f t="shared" si="5"/>
        <v>2594.9999999999995</v>
      </c>
      <c r="J63" s="26">
        <f>LOOKUP(C63,'TABLA 6'!B$9:B$12,'TABLA 6'!J$9:J$12)/3*G63</f>
        <v>6247.2939842138358</v>
      </c>
      <c r="K63" s="26">
        <f>LOOKUP(C63,'TABLA 6'!B$9:B$12,'TABLA 6'!J$9:J$12)/3*2*F63</f>
        <v>34924.704835549892</v>
      </c>
      <c r="L63" s="27">
        <f t="shared" si="6"/>
        <v>44631.998819763729</v>
      </c>
      <c r="M63" s="17" t="str">
        <f>'TABLA 2'!B61</f>
        <v>Venezuela</v>
      </c>
      <c r="P63" s="64"/>
    </row>
    <row r="64" spans="1:16" x14ac:dyDescent="0.25">
      <c r="A64" s="28" t="s">
        <v>234</v>
      </c>
      <c r="B64" s="29"/>
      <c r="C64" s="30"/>
      <c r="D64" s="30"/>
      <c r="E64" s="30"/>
      <c r="F64" s="29"/>
      <c r="G64" s="29"/>
      <c r="H64" s="31"/>
      <c r="I64" s="31"/>
      <c r="J64" s="31"/>
      <c r="K64" s="31"/>
      <c r="L64" s="31"/>
      <c r="M64" s="29"/>
    </row>
    <row r="66" spans="1:1" x14ac:dyDescent="0.25">
      <c r="A66" s="19" t="s">
        <v>336</v>
      </c>
    </row>
    <row r="67" spans="1:1" x14ac:dyDescent="0.25">
      <c r="A67" s="19" t="s">
        <v>335</v>
      </c>
    </row>
    <row r="68" spans="1:1" x14ac:dyDescent="0.25">
      <c r="A68" s="19" t="s">
        <v>337</v>
      </c>
    </row>
  </sheetData>
  <mergeCells count="1">
    <mergeCell ref="A1:M1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A842-6F7B-4C94-87CE-157E1D15835F}">
  <dimension ref="A1:K28"/>
  <sheetViews>
    <sheetView showGridLines="0" zoomScaleNormal="100" workbookViewId="0">
      <selection activeCell="N37" sqref="N37"/>
    </sheetView>
  </sheetViews>
  <sheetFormatPr defaultColWidth="11.33203125" defaultRowHeight="13.05" x14ac:dyDescent="0.3"/>
  <cols>
    <col min="1" max="1" width="1.33203125" style="10" customWidth="1"/>
    <col min="2" max="2" width="13.6640625" style="11" customWidth="1"/>
    <col min="3" max="4" width="13.6640625" style="10" customWidth="1"/>
    <col min="5" max="5" width="13.6640625" style="45" customWidth="1"/>
    <col min="6" max="7" width="13.6640625" style="10" customWidth="1"/>
    <col min="8" max="11" width="13.6640625" style="45" customWidth="1"/>
    <col min="12" max="16384" width="11.33203125" style="10"/>
  </cols>
  <sheetData>
    <row r="1" spans="1:11" ht="25.5" customHeight="1" x14ac:dyDescent="0.3">
      <c r="A1" s="147" t="s">
        <v>333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s="19" customFormat="1" ht="6.05" customHeight="1" x14ac:dyDescent="0.25">
      <c r="A2" s="32"/>
      <c r="B2" s="33"/>
      <c r="C2" s="32"/>
      <c r="D2" s="32"/>
      <c r="E2" s="34"/>
      <c r="F2" s="32"/>
      <c r="G2" s="32"/>
      <c r="H2" s="34"/>
      <c r="I2" s="34"/>
      <c r="J2" s="34"/>
      <c r="K2" s="34"/>
    </row>
    <row r="3" spans="1:11" s="9" customFormat="1" ht="12.45" customHeight="1" x14ac:dyDescent="0.25">
      <c r="A3" s="13"/>
      <c r="B3" s="35"/>
      <c r="C3" s="35"/>
      <c r="D3" s="35"/>
      <c r="E3" s="23" t="s">
        <v>110</v>
      </c>
      <c r="F3" s="35" t="s">
        <v>111</v>
      </c>
      <c r="G3" s="35" t="s">
        <v>112</v>
      </c>
      <c r="H3" s="23"/>
      <c r="I3" s="23" t="s">
        <v>113</v>
      </c>
      <c r="J3" s="23" t="s">
        <v>114</v>
      </c>
      <c r="K3" s="23" t="s">
        <v>2</v>
      </c>
    </row>
    <row r="4" spans="1:11" s="9" customFormat="1" ht="12.45" customHeight="1" x14ac:dyDescent="0.25">
      <c r="A4" s="13"/>
      <c r="B4" s="14" t="s">
        <v>109</v>
      </c>
      <c r="C4" s="14" t="s">
        <v>235</v>
      </c>
      <c r="D4" s="14" t="s">
        <v>236</v>
      </c>
      <c r="E4" s="8" t="s">
        <v>237</v>
      </c>
      <c r="F4" s="14" t="s">
        <v>238</v>
      </c>
      <c r="G4" s="14" t="s">
        <v>239</v>
      </c>
      <c r="H4" s="8" t="s">
        <v>240</v>
      </c>
      <c r="I4" s="8" t="s">
        <v>241</v>
      </c>
      <c r="J4" s="8" t="s">
        <v>213</v>
      </c>
      <c r="K4" s="8" t="s">
        <v>242</v>
      </c>
    </row>
    <row r="5" spans="1:11" s="9" customFormat="1" ht="12.45" customHeight="1" x14ac:dyDescent="0.25">
      <c r="A5" s="12"/>
      <c r="B5" s="35"/>
      <c r="C5" s="35"/>
      <c r="D5" s="35"/>
      <c r="E5" s="23" t="s">
        <v>98</v>
      </c>
      <c r="F5" s="35" t="s">
        <v>105</v>
      </c>
      <c r="G5" s="35" t="s">
        <v>106</v>
      </c>
      <c r="H5" s="23"/>
      <c r="I5" s="23" t="s">
        <v>107</v>
      </c>
      <c r="J5" s="23" t="s">
        <v>108</v>
      </c>
      <c r="K5" s="23" t="s">
        <v>2</v>
      </c>
    </row>
    <row r="6" spans="1:11" s="9" customFormat="1" ht="12.45" customHeight="1" x14ac:dyDescent="0.25">
      <c r="A6" s="3"/>
      <c r="B6" s="14" t="s">
        <v>104</v>
      </c>
      <c r="C6" s="14" t="s">
        <v>235</v>
      </c>
      <c r="D6" s="14" t="s">
        <v>243</v>
      </c>
      <c r="E6" s="8" t="s">
        <v>244</v>
      </c>
      <c r="F6" s="14" t="s">
        <v>245</v>
      </c>
      <c r="G6" s="14" t="s">
        <v>239</v>
      </c>
      <c r="H6" s="8" t="s">
        <v>246</v>
      </c>
      <c r="I6" s="8" t="s">
        <v>247</v>
      </c>
      <c r="J6" s="8" t="s">
        <v>248</v>
      </c>
      <c r="K6" s="8" t="s">
        <v>249</v>
      </c>
    </row>
    <row r="7" spans="1:11" s="9" customFormat="1" ht="12.45" customHeight="1" x14ac:dyDescent="0.25">
      <c r="A7" s="13"/>
      <c r="B7" s="35"/>
      <c r="C7" s="35"/>
      <c r="D7" s="35"/>
      <c r="E7" s="23" t="s">
        <v>15</v>
      </c>
      <c r="F7" s="35" t="s">
        <v>16</v>
      </c>
      <c r="G7" s="35" t="s">
        <v>18</v>
      </c>
      <c r="H7" s="23"/>
      <c r="I7" s="23" t="s">
        <v>19</v>
      </c>
      <c r="J7" s="23" t="s">
        <v>20</v>
      </c>
      <c r="K7" s="23" t="s">
        <v>2</v>
      </c>
    </row>
    <row r="8" spans="1:11" s="9" customFormat="1" ht="12.45" customHeight="1" x14ac:dyDescent="0.25">
      <c r="A8" s="3"/>
      <c r="B8" s="14" t="s">
        <v>14</v>
      </c>
      <c r="C8" s="14" t="s">
        <v>250</v>
      </c>
      <c r="D8" s="14" t="s">
        <v>251</v>
      </c>
      <c r="E8" s="8" t="s">
        <v>252</v>
      </c>
      <c r="F8" s="14" t="s">
        <v>253</v>
      </c>
      <c r="G8" s="14" t="s">
        <v>254</v>
      </c>
      <c r="H8" s="8" t="s">
        <v>255</v>
      </c>
      <c r="I8" s="8" t="s">
        <v>256</v>
      </c>
      <c r="J8" s="8" t="s">
        <v>233</v>
      </c>
      <c r="K8" s="8" t="s">
        <v>257</v>
      </c>
    </row>
    <row r="9" spans="1:11" s="1" customFormat="1" ht="12.45" customHeight="1" x14ac:dyDescent="0.25">
      <c r="A9" s="2"/>
      <c r="B9" s="35" t="s">
        <v>21</v>
      </c>
      <c r="C9" s="2">
        <f>COUNTIF('TABLA 3'!C$9:C$63,B9)</f>
        <v>13</v>
      </c>
      <c r="D9" s="2">
        <f>SUMIF('TABLA 3'!C$9:C$63,B9,'TABLA 3'!E$9:E$63)</f>
        <v>33</v>
      </c>
      <c r="E9" s="16">
        <f>SUMIF('TABLA 3'!C$9:C$63,B9,'TABLA 3'!D$9:D$63)</f>
        <v>359532</v>
      </c>
      <c r="F9" s="36" t="s">
        <v>30</v>
      </c>
      <c r="G9" s="25">
        <f>1-(SUM(G10:G12))</f>
        <v>0.62750000000000006</v>
      </c>
      <c r="H9" s="26">
        <f>SUMIF('TABLA 3'!C$9:C$63,B9,'TABLA 3'!H$9:H$63)</f>
        <v>11244.999999999998</v>
      </c>
      <c r="I9" s="26">
        <f>SUMIF('TABLA 3'!C$9:C$63,B9,'TABLA 3'!I$9:I$63)</f>
        <v>28544.999999999996</v>
      </c>
      <c r="J9" s="26">
        <f>MAX(K9-I9-H9)</f>
        <v>4303616.4061174998</v>
      </c>
      <c r="K9" s="26">
        <f>G9*K$13</f>
        <v>4343406.4061174998</v>
      </c>
    </row>
    <row r="10" spans="1:11" s="1" customFormat="1" ht="12.45" customHeight="1" x14ac:dyDescent="0.25">
      <c r="A10" s="2"/>
      <c r="B10" s="35" t="s">
        <v>26</v>
      </c>
      <c r="C10" s="2">
        <f>COUNTIF('TABLA 3'!C$9:C$63,B10)</f>
        <v>4</v>
      </c>
      <c r="D10" s="2">
        <f>SUMIF('TABLA 3'!C$9:C$63,B10,'TABLA 3'!E$9:E$63)</f>
        <v>13</v>
      </c>
      <c r="E10" s="16">
        <f>SUMIF('TABLA 3'!C$9:C$63,B10,'TABLA 3'!D$9:D$63)</f>
        <v>117584</v>
      </c>
      <c r="F10" s="25">
        <v>0.03</v>
      </c>
      <c r="G10" s="25">
        <f>C10*F10</f>
        <v>0.12</v>
      </c>
      <c r="H10" s="26">
        <f>SUMIF('TABLA 3'!C$9:C$63,B10,'TABLA 3'!H$9:H$63)</f>
        <v>3459.9999999999995</v>
      </c>
      <c r="I10" s="26">
        <f>SUMIF('TABLA 3'!C$9:C$63,B10,'TABLA 3'!I$9:I$63)</f>
        <v>11244.999999999998</v>
      </c>
      <c r="J10" s="26">
        <f>MAX(K10-I10-H10)</f>
        <v>815906.58363999997</v>
      </c>
      <c r="K10" s="26">
        <f>G10*K$13</f>
        <v>830611.58363999997</v>
      </c>
    </row>
    <row r="11" spans="1:11" s="1" customFormat="1" ht="12.45" customHeight="1" x14ac:dyDescent="0.25">
      <c r="A11" s="2"/>
      <c r="B11" s="35" t="s">
        <v>28</v>
      </c>
      <c r="C11" s="2">
        <f>COUNTIF('TABLA 3'!C$9:C$63,B11)</f>
        <v>21</v>
      </c>
      <c r="D11" s="2">
        <f>SUMIF('TABLA 3'!C$9:C$63,B11,'TABLA 3'!E$9:E$63)</f>
        <v>53</v>
      </c>
      <c r="E11" s="16">
        <f>SUMIF('TABLA 3'!C$9:C$63,B11,'TABLA 3'!D$9:D$63)</f>
        <v>399233</v>
      </c>
      <c r="F11" s="25">
        <v>0.01</v>
      </c>
      <c r="G11" s="25">
        <f>C11*F11</f>
        <v>0.21</v>
      </c>
      <c r="H11" s="26">
        <f>SUMIF('TABLA 3'!C$9:C$63,B11,'TABLA 3'!H$9:H$63)</f>
        <v>18164.999999999996</v>
      </c>
      <c r="I11" s="26">
        <f>SUMIF('TABLA 3'!C$9:C$63,B11,'TABLA 3'!I$9:I$63)</f>
        <v>45844.999999999993</v>
      </c>
      <c r="J11" s="26">
        <f>MAX(K11-I11-H11)</f>
        <v>1389560.27137</v>
      </c>
      <c r="K11" s="26">
        <f>G11*K$13</f>
        <v>1453570.27137</v>
      </c>
    </row>
    <row r="12" spans="1:11" s="1" customFormat="1" ht="12.45" customHeight="1" x14ac:dyDescent="0.25">
      <c r="A12" s="4"/>
      <c r="B12" s="14" t="s">
        <v>27</v>
      </c>
      <c r="C12" s="2">
        <f>COUNTIF('TABLA 3'!C$9:C$63,B12)</f>
        <v>17</v>
      </c>
      <c r="D12" s="2">
        <f>SUMIF('TABLA 3'!C$9:C$63,B12,'TABLA 3'!E$9:E$63)</f>
        <v>36</v>
      </c>
      <c r="E12" s="16">
        <f>SUMIF('TABLA 3'!C$9:C$63,B12,'TABLA 3'!D$9:D$63)</f>
        <v>23071</v>
      </c>
      <c r="F12" s="37">
        <v>2.5000000000000001E-3</v>
      </c>
      <c r="G12" s="37">
        <f>C12*F12</f>
        <v>4.2500000000000003E-2</v>
      </c>
      <c r="H12" s="26">
        <f>SUMIF('TABLA 3'!C$9:C$63,B12,'TABLA 3'!H$9:H$63)</f>
        <v>14704.999999999998</v>
      </c>
      <c r="I12" s="26">
        <f>SUMIF('TABLA 3'!C$9:C$63,B12,'TABLA 3'!I$9:I$63)</f>
        <v>31139.999999999996</v>
      </c>
      <c r="J12" s="38">
        <f>MAX(K12-I12-H12)</f>
        <v>248329.93587250001</v>
      </c>
      <c r="K12" s="38">
        <f>G12*K$13</f>
        <v>294174.93587250001</v>
      </c>
    </row>
    <row r="13" spans="1:11" s="9" customFormat="1" ht="12.45" customHeight="1" x14ac:dyDescent="0.25">
      <c r="A13" s="39"/>
      <c r="B13" s="40" t="s">
        <v>29</v>
      </c>
      <c r="C13" s="39">
        <f>SUM(C9:C12)</f>
        <v>55</v>
      </c>
      <c r="D13" s="39">
        <f>SUM(D9:D12)</f>
        <v>135</v>
      </c>
      <c r="E13" s="41">
        <f>SUM(E9:E12)</f>
        <v>899420</v>
      </c>
      <c r="F13" s="42"/>
      <c r="G13" s="42">
        <f>SUM(G9:G12)</f>
        <v>1</v>
      </c>
      <c r="H13" s="43">
        <f>SUM(H9:H12)</f>
        <v>47574.999999999993</v>
      </c>
      <c r="I13" s="43">
        <f>SUM(I9:I12)</f>
        <v>116774.99999999999</v>
      </c>
      <c r="J13" s="43">
        <f>SUM(J9:J12)</f>
        <v>6757413.1969999997</v>
      </c>
      <c r="K13" s="43">
        <f>'TABLA 1 PRESUPUESTO'!G34</f>
        <v>6921763.1969999997</v>
      </c>
    </row>
    <row r="14" spans="1:11" s="19" customFormat="1" ht="10.65" x14ac:dyDescent="0.25">
      <c r="B14" s="44"/>
      <c r="E14" s="21"/>
      <c r="H14" s="21"/>
      <c r="I14" s="21"/>
      <c r="J14" s="21"/>
      <c r="K14" s="21"/>
    </row>
    <row r="15" spans="1:11" s="19" customFormat="1" ht="11.6" x14ac:dyDescent="0.25">
      <c r="A15" s="9" t="s">
        <v>258</v>
      </c>
      <c r="B15" s="44"/>
      <c r="E15" s="21"/>
      <c r="H15" s="21"/>
      <c r="I15" s="21"/>
      <c r="J15" s="21"/>
      <c r="K15" s="21"/>
    </row>
    <row r="16" spans="1:11" s="19" customFormat="1" ht="10.65" x14ac:dyDescent="0.25">
      <c r="B16" s="44"/>
      <c r="E16" s="21"/>
      <c r="H16" s="21"/>
      <c r="I16" s="21"/>
      <c r="J16" s="21"/>
      <c r="K16" s="21"/>
    </row>
    <row r="17" spans="1:11" s="19" customFormat="1" ht="10.65" x14ac:dyDescent="0.25">
      <c r="A17" s="19" t="s">
        <v>336</v>
      </c>
      <c r="B17" s="44"/>
      <c r="E17" s="21"/>
      <c r="H17" s="21"/>
      <c r="I17" s="21"/>
      <c r="J17" s="21"/>
      <c r="K17" s="21"/>
    </row>
    <row r="18" spans="1:11" s="19" customFormat="1" ht="10.65" x14ac:dyDescent="0.25">
      <c r="A18" s="19" t="s">
        <v>335</v>
      </c>
      <c r="B18" s="44"/>
      <c r="E18" s="21"/>
      <c r="H18" s="21"/>
      <c r="I18" s="21"/>
      <c r="J18" s="21"/>
      <c r="K18" s="21"/>
    </row>
    <row r="19" spans="1:11" s="19" customFormat="1" ht="10.65" x14ac:dyDescent="0.25">
      <c r="A19" s="19" t="s">
        <v>337</v>
      </c>
      <c r="B19" s="44"/>
      <c r="E19" s="21"/>
      <c r="H19" s="21"/>
      <c r="I19" s="21"/>
      <c r="J19" s="21"/>
      <c r="K19" s="21"/>
    </row>
    <row r="20" spans="1:11" s="19" customFormat="1" ht="10.65" x14ac:dyDescent="0.25">
      <c r="B20" s="44"/>
      <c r="E20" s="21"/>
      <c r="H20" s="21"/>
      <c r="I20" s="21"/>
      <c r="J20" s="21"/>
      <c r="K20" s="21"/>
    </row>
    <row r="21" spans="1:11" s="19" customFormat="1" ht="10.65" x14ac:dyDescent="0.25">
      <c r="B21" s="44"/>
      <c r="E21" s="21"/>
      <c r="H21" s="21"/>
      <c r="I21" s="21"/>
      <c r="J21" s="21"/>
      <c r="K21" s="21"/>
    </row>
    <row r="22" spans="1:11" s="19" customFormat="1" ht="10.65" x14ac:dyDescent="0.25">
      <c r="B22" s="44"/>
      <c r="E22" s="21"/>
      <c r="H22" s="21"/>
      <c r="I22" s="21"/>
      <c r="J22" s="21"/>
      <c r="K22" s="21"/>
    </row>
    <row r="23" spans="1:11" s="19" customFormat="1" ht="10.65" x14ac:dyDescent="0.25">
      <c r="B23" s="44"/>
      <c r="E23" s="21"/>
      <c r="H23" s="21"/>
      <c r="I23" s="21"/>
      <c r="J23" s="21"/>
      <c r="K23" s="21"/>
    </row>
    <row r="24" spans="1:11" s="19" customFormat="1" ht="10.65" x14ac:dyDescent="0.25">
      <c r="B24" s="44"/>
      <c r="E24" s="21"/>
      <c r="H24" s="21"/>
      <c r="I24" s="21"/>
      <c r="J24" s="21"/>
      <c r="K24" s="21"/>
    </row>
    <row r="25" spans="1:11" s="19" customFormat="1" ht="10.65" x14ac:dyDescent="0.25">
      <c r="B25" s="44"/>
      <c r="E25" s="21"/>
      <c r="H25" s="21"/>
      <c r="I25" s="21"/>
      <c r="J25" s="21"/>
      <c r="K25" s="21"/>
    </row>
    <row r="26" spans="1:11" s="19" customFormat="1" ht="10.65" x14ac:dyDescent="0.25">
      <c r="B26" s="44"/>
      <c r="E26" s="21"/>
      <c r="H26" s="21"/>
      <c r="I26" s="21"/>
      <c r="J26" s="21"/>
      <c r="K26" s="21"/>
    </row>
    <row r="27" spans="1:11" s="19" customFormat="1" ht="10.65" x14ac:dyDescent="0.25">
      <c r="B27" s="44"/>
      <c r="E27" s="21"/>
      <c r="H27" s="21"/>
      <c r="I27" s="21"/>
      <c r="J27" s="21"/>
      <c r="K27" s="21"/>
    </row>
    <row r="28" spans="1:11" s="19" customFormat="1" ht="10.65" x14ac:dyDescent="0.25">
      <c r="B28" s="44"/>
      <c r="E28" s="21"/>
      <c r="H28" s="21"/>
      <c r="I28" s="21"/>
      <c r="J28" s="21"/>
      <c r="K28" s="21"/>
    </row>
  </sheetData>
  <mergeCells count="1">
    <mergeCell ref="A1:K1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5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6"/>
  <sheetViews>
    <sheetView showGridLines="0" zoomScale="130" zoomScaleNormal="130" workbookViewId="0">
      <selection activeCell="S35" sqref="S35"/>
    </sheetView>
  </sheetViews>
  <sheetFormatPr defaultColWidth="11.33203125" defaultRowHeight="13.05" x14ac:dyDescent="0.3"/>
  <cols>
    <col min="1" max="1" width="21.33203125" style="19" customWidth="1"/>
    <col min="2" max="2" width="8.33203125" style="21" customWidth="1"/>
    <col min="3" max="3" width="3.33203125" style="10" customWidth="1"/>
    <col min="4" max="4" width="8.33203125" style="10" customWidth="1"/>
    <col min="5" max="5" width="3.33203125" style="10" customWidth="1"/>
    <col min="6" max="6" width="8.33203125" style="10" customWidth="1"/>
    <col min="7" max="7" width="8.6640625" style="113" customWidth="1"/>
    <col min="8" max="8" width="3.33203125" style="113" customWidth="1"/>
    <col min="9" max="9" width="8.6640625" style="21" customWidth="1"/>
    <col min="10" max="10" width="3.6640625" style="21" customWidth="1"/>
    <col min="11" max="11" width="8.6640625" style="21" customWidth="1"/>
    <col min="12" max="12" width="8.33203125" style="21" customWidth="1"/>
    <col min="13" max="13" width="3.33203125" style="10" customWidth="1"/>
    <col min="14" max="14" width="8.33203125" style="10" customWidth="1"/>
    <col min="15" max="15" width="3.6640625" style="10" customWidth="1"/>
    <col min="16" max="16" width="8.33203125" style="10" customWidth="1"/>
    <col min="17" max="17" width="25.9140625" style="10" customWidth="1"/>
    <col min="18" max="16384" width="11.33203125" style="10"/>
  </cols>
  <sheetData>
    <row r="1" spans="1:23" ht="25.5" customHeight="1" x14ac:dyDescent="0.3">
      <c r="A1" s="147" t="s">
        <v>334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23" ht="6.05" customHeight="1" x14ac:dyDescent="0.3">
      <c r="A2" s="62"/>
      <c r="B2" s="83"/>
      <c r="G2" s="63"/>
      <c r="H2" s="63"/>
      <c r="I2" s="45"/>
      <c r="J2" s="45"/>
      <c r="K2" s="45"/>
      <c r="L2" s="83"/>
    </row>
    <row r="3" spans="1:23" s="89" customFormat="1" ht="10.55" customHeight="1" x14ac:dyDescent="0.25">
      <c r="A3" s="84"/>
      <c r="B3" s="85"/>
      <c r="C3" s="86"/>
      <c r="D3" s="87">
        <v>2021</v>
      </c>
      <c r="E3" s="86"/>
      <c r="F3" s="88"/>
      <c r="G3" s="85"/>
      <c r="H3" s="86"/>
      <c r="I3" s="87">
        <v>2022</v>
      </c>
      <c r="J3" s="86"/>
      <c r="K3" s="88"/>
      <c r="L3" s="85"/>
      <c r="M3" s="86"/>
      <c r="N3" s="87">
        <v>2023</v>
      </c>
      <c r="O3" s="86"/>
      <c r="P3" s="88"/>
      <c r="Q3" s="85"/>
    </row>
    <row r="4" spans="1:23" s="1" customFormat="1" ht="10.55" customHeight="1" x14ac:dyDescent="0.25">
      <c r="A4" s="90" t="s">
        <v>63</v>
      </c>
      <c r="B4" s="91" t="s">
        <v>64</v>
      </c>
      <c r="C4" s="92"/>
      <c r="D4" s="93" t="s">
        <v>65</v>
      </c>
      <c r="E4" s="93"/>
      <c r="F4" s="94" t="s">
        <v>2</v>
      </c>
      <c r="G4" s="91" t="s">
        <v>64</v>
      </c>
      <c r="H4" s="92"/>
      <c r="I4" s="93" t="s">
        <v>65</v>
      </c>
      <c r="J4" s="93"/>
      <c r="K4" s="94" t="s">
        <v>2</v>
      </c>
      <c r="L4" s="91" t="s">
        <v>64</v>
      </c>
      <c r="M4" s="92"/>
      <c r="N4" s="93" t="s">
        <v>65</v>
      </c>
      <c r="O4" s="93"/>
      <c r="P4" s="94" t="s">
        <v>2</v>
      </c>
      <c r="Q4" s="95" t="s">
        <v>63</v>
      </c>
    </row>
    <row r="5" spans="1:23" s="1" customFormat="1" ht="10.55" customHeight="1" x14ac:dyDescent="0.25">
      <c r="A5" s="90" t="s">
        <v>63</v>
      </c>
      <c r="B5" s="91" t="s">
        <v>66</v>
      </c>
      <c r="C5" s="92"/>
      <c r="D5" s="93" t="s">
        <v>67</v>
      </c>
      <c r="E5" s="93"/>
      <c r="F5" s="94"/>
      <c r="G5" s="91" t="s">
        <v>66</v>
      </c>
      <c r="H5" s="92"/>
      <c r="I5" s="93" t="s">
        <v>67</v>
      </c>
      <c r="J5" s="93"/>
      <c r="K5" s="94"/>
      <c r="L5" s="91" t="s">
        <v>66</v>
      </c>
      <c r="M5" s="92"/>
      <c r="N5" s="93" t="s">
        <v>67</v>
      </c>
      <c r="O5" s="93"/>
      <c r="P5" s="94"/>
      <c r="Q5" s="95" t="s">
        <v>63</v>
      </c>
    </row>
    <row r="6" spans="1:23" s="1" customFormat="1" ht="10.55" customHeight="1" x14ac:dyDescent="0.25">
      <c r="A6" s="96" t="s">
        <v>68</v>
      </c>
      <c r="B6" s="97" t="s">
        <v>69</v>
      </c>
      <c r="C6" s="98"/>
      <c r="D6" s="99" t="s">
        <v>1</v>
      </c>
      <c r="E6" s="99"/>
      <c r="F6" s="100"/>
      <c r="G6" s="97" t="s">
        <v>69</v>
      </c>
      <c r="H6" s="98"/>
      <c r="I6" s="99" t="s">
        <v>1</v>
      </c>
      <c r="J6" s="99"/>
      <c r="K6" s="100"/>
      <c r="L6" s="97" t="s">
        <v>69</v>
      </c>
      <c r="M6" s="98"/>
      <c r="N6" s="99" t="s">
        <v>1</v>
      </c>
      <c r="O6" s="99"/>
      <c r="P6" s="100"/>
      <c r="Q6" s="101" t="s">
        <v>68</v>
      </c>
    </row>
    <row r="7" spans="1:23" s="1" customFormat="1" ht="10.55" customHeight="1" x14ac:dyDescent="0.25">
      <c r="A7" s="15" t="str">
        <f>'TABLA 2'!B7</f>
        <v>Albania</v>
      </c>
      <c r="B7" s="102">
        <v>148</v>
      </c>
      <c r="C7" s="103" t="s">
        <v>308</v>
      </c>
      <c r="D7" s="104"/>
      <c r="E7" s="104"/>
      <c r="F7" s="105">
        <f>B7+D7</f>
        <v>148</v>
      </c>
      <c r="G7" s="102">
        <v>168</v>
      </c>
      <c r="H7" s="103" t="s">
        <v>308</v>
      </c>
      <c r="I7" s="104"/>
      <c r="J7" s="104"/>
      <c r="K7" s="105">
        <f>G7+I7</f>
        <v>168</v>
      </c>
      <c r="L7" s="102">
        <v>264</v>
      </c>
      <c r="M7" s="103" t="s">
        <v>308</v>
      </c>
      <c r="N7" s="104"/>
      <c r="O7" s="104"/>
      <c r="P7" s="105">
        <f>L7+N7</f>
        <v>264</v>
      </c>
      <c r="Q7" s="2" t="str">
        <f>'TABLA 2'!Q7</f>
        <v>Albania</v>
      </c>
      <c r="R7" s="106"/>
      <c r="S7" s="61"/>
      <c r="V7" s="106"/>
      <c r="W7" s="106"/>
    </row>
    <row r="8" spans="1:23" s="1" customFormat="1" ht="10.55" customHeight="1" x14ac:dyDescent="0.25">
      <c r="A8" s="15" t="str">
        <f>'TABLA 2'!B8</f>
        <v>Algérie</v>
      </c>
      <c r="B8" s="107">
        <v>4773</v>
      </c>
      <c r="C8" s="16"/>
      <c r="D8" s="16">
        <v>0</v>
      </c>
      <c r="E8" s="16"/>
      <c r="F8" s="105">
        <f t="shared" ref="F8:F61" si="0">B8+D8</f>
        <v>4773</v>
      </c>
      <c r="G8" s="107">
        <v>7374</v>
      </c>
      <c r="H8" s="16"/>
      <c r="I8" s="16">
        <v>0</v>
      </c>
      <c r="J8" s="16"/>
      <c r="K8" s="105">
        <f t="shared" ref="K8:K61" si="1">G8+I8</f>
        <v>7374</v>
      </c>
      <c r="L8" s="107">
        <v>5879</v>
      </c>
      <c r="M8" s="16"/>
      <c r="N8" s="16">
        <v>0</v>
      </c>
      <c r="O8" s="16"/>
      <c r="P8" s="105">
        <f t="shared" ref="P8:P61" si="2">L8+N8</f>
        <v>5879</v>
      </c>
      <c r="Q8" s="2" t="str">
        <f>'TABLA 2'!Q8</f>
        <v>Algérie</v>
      </c>
      <c r="R8" s="106"/>
      <c r="S8" s="61"/>
      <c r="V8" s="106"/>
      <c r="W8" s="106"/>
    </row>
    <row r="9" spans="1:23" s="1" customFormat="1" ht="10.55" customHeight="1" x14ac:dyDescent="0.25">
      <c r="A9" s="15" t="str">
        <f>'TABLA 2'!B9</f>
        <v>Angola</v>
      </c>
      <c r="B9" s="107">
        <v>99</v>
      </c>
      <c r="C9" s="16" t="s">
        <v>308</v>
      </c>
      <c r="D9" s="16"/>
      <c r="E9" s="16"/>
      <c r="F9" s="105">
        <f t="shared" si="0"/>
        <v>99</v>
      </c>
      <c r="G9" s="107">
        <v>181</v>
      </c>
      <c r="H9" s="16" t="s">
        <v>308</v>
      </c>
      <c r="I9" s="16"/>
      <c r="J9" s="16"/>
      <c r="K9" s="105">
        <f t="shared" si="1"/>
        <v>181</v>
      </c>
      <c r="L9" s="107">
        <v>11280</v>
      </c>
      <c r="M9" s="16" t="s">
        <v>308</v>
      </c>
      <c r="N9" s="16"/>
      <c r="O9" s="16"/>
      <c r="P9" s="105">
        <f t="shared" si="2"/>
        <v>11280</v>
      </c>
      <c r="Q9" s="2" t="str">
        <f>'TABLA 2'!Q9</f>
        <v xml:space="preserve">Angola </v>
      </c>
      <c r="R9" s="106"/>
      <c r="S9" s="61"/>
      <c r="V9" s="106"/>
      <c r="W9" s="106"/>
    </row>
    <row r="10" spans="1:23" s="1" customFormat="1" ht="10.55" customHeight="1" x14ac:dyDescent="0.25">
      <c r="A10" s="15" t="str">
        <f>'TABLA 2'!B10</f>
        <v>Barbados</v>
      </c>
      <c r="B10" s="107">
        <v>317</v>
      </c>
      <c r="C10" s="16" t="s">
        <v>308</v>
      </c>
      <c r="D10" s="16"/>
      <c r="E10" s="16"/>
      <c r="F10" s="105">
        <f t="shared" si="0"/>
        <v>317</v>
      </c>
      <c r="G10" s="107">
        <v>303</v>
      </c>
      <c r="H10" s="16" t="s">
        <v>308</v>
      </c>
      <c r="I10" s="16"/>
      <c r="J10" s="16"/>
      <c r="K10" s="105">
        <f t="shared" si="1"/>
        <v>303</v>
      </c>
      <c r="L10" s="107">
        <v>342</v>
      </c>
      <c r="M10" s="16" t="s">
        <v>308</v>
      </c>
      <c r="N10" s="16"/>
      <c r="O10" s="16"/>
      <c r="P10" s="105">
        <f t="shared" si="2"/>
        <v>342</v>
      </c>
      <c r="Q10" s="2" t="str">
        <f>'TABLA 2'!Q10</f>
        <v xml:space="preserve">Barbados </v>
      </c>
      <c r="R10" s="106"/>
      <c r="S10" s="61"/>
      <c r="V10" s="106"/>
      <c r="W10" s="106"/>
    </row>
    <row r="11" spans="1:23" s="1" customFormat="1" ht="10.55" customHeight="1" x14ac:dyDescent="0.25">
      <c r="A11" s="15" t="str">
        <f>'TABLA 2'!B11</f>
        <v>Belize</v>
      </c>
      <c r="B11" s="107">
        <v>26881</v>
      </c>
      <c r="C11" s="16"/>
      <c r="D11" s="16">
        <v>12794</v>
      </c>
      <c r="E11" s="16"/>
      <c r="F11" s="105">
        <f t="shared" si="0"/>
        <v>39675</v>
      </c>
      <c r="G11" s="107">
        <v>39890</v>
      </c>
      <c r="H11" s="16"/>
      <c r="I11" s="16">
        <v>21030</v>
      </c>
      <c r="J11" s="16"/>
      <c r="K11" s="105">
        <f t="shared" si="1"/>
        <v>60920</v>
      </c>
      <c r="L11" s="107">
        <v>32271</v>
      </c>
      <c r="M11" s="16"/>
      <c r="N11" s="16">
        <v>9305</v>
      </c>
      <c r="O11" s="16"/>
      <c r="P11" s="105">
        <f t="shared" si="2"/>
        <v>41576</v>
      </c>
      <c r="Q11" s="2" t="str">
        <f>'TABLA 2'!Q11</f>
        <v>Belize</v>
      </c>
      <c r="R11" s="106"/>
      <c r="S11" s="61"/>
      <c r="V11" s="106"/>
      <c r="W11" s="106"/>
    </row>
    <row r="12" spans="1:23" s="1" customFormat="1" ht="10.55" customHeight="1" x14ac:dyDescent="0.25">
      <c r="A12" s="15" t="str">
        <f>'TABLA 2'!B12</f>
        <v>Brazil</v>
      </c>
      <c r="B12" s="107">
        <v>50830</v>
      </c>
      <c r="C12" s="16"/>
      <c r="D12" s="119">
        <v>4523</v>
      </c>
      <c r="E12" s="16"/>
      <c r="F12" s="105">
        <f t="shared" si="0"/>
        <v>55353</v>
      </c>
      <c r="G12" s="107">
        <v>58670</v>
      </c>
      <c r="H12" s="16"/>
      <c r="I12" s="119">
        <v>5461</v>
      </c>
      <c r="J12" s="16"/>
      <c r="K12" s="105">
        <f t="shared" si="1"/>
        <v>64131</v>
      </c>
      <c r="L12" s="107">
        <v>67550</v>
      </c>
      <c r="M12" s="16"/>
      <c r="N12" s="119">
        <v>5992</v>
      </c>
      <c r="O12" s="16"/>
      <c r="P12" s="105">
        <f t="shared" si="2"/>
        <v>73542</v>
      </c>
      <c r="Q12" s="2" t="str">
        <f>'TABLA 2'!Q12</f>
        <v>Brazil</v>
      </c>
      <c r="R12" s="106"/>
      <c r="S12" s="61"/>
      <c r="V12" s="106"/>
      <c r="W12" s="106"/>
    </row>
    <row r="13" spans="1:23" s="1" customFormat="1" ht="10.55" customHeight="1" x14ac:dyDescent="0.25">
      <c r="A13" s="15" t="str">
        <f>'TABLA 2'!B13</f>
        <v>Cabo Verde</v>
      </c>
      <c r="B13" s="107">
        <v>6972</v>
      </c>
      <c r="C13" s="16"/>
      <c r="D13" s="16">
        <v>5441</v>
      </c>
      <c r="E13" s="16"/>
      <c r="F13" s="105">
        <f>B13+D13</f>
        <v>12413</v>
      </c>
      <c r="G13" s="107">
        <v>3450</v>
      </c>
      <c r="H13" s="16"/>
      <c r="I13" s="16">
        <v>6217</v>
      </c>
      <c r="J13" s="16"/>
      <c r="K13" s="105">
        <f>G13+I13</f>
        <v>9667</v>
      </c>
      <c r="L13" s="107">
        <v>2325</v>
      </c>
      <c r="M13" s="16"/>
      <c r="N13" s="16">
        <v>5240</v>
      </c>
      <c r="O13" s="16"/>
      <c r="P13" s="105">
        <f>L13+N13</f>
        <v>7565</v>
      </c>
      <c r="Q13" s="2" t="str">
        <f>'TABLA 2'!Q13</f>
        <v>Cabo Verde</v>
      </c>
      <c r="R13" s="106"/>
      <c r="S13" s="61"/>
      <c r="V13" s="106"/>
      <c r="W13" s="106"/>
    </row>
    <row r="14" spans="1:23" s="1" customFormat="1" ht="10.55" customHeight="1" x14ac:dyDescent="0.25">
      <c r="A14" s="15" t="str">
        <f>'TABLA 2'!B14</f>
        <v>Canada</v>
      </c>
      <c r="B14" s="107">
        <v>2691</v>
      </c>
      <c r="C14" s="16"/>
      <c r="D14" s="16">
        <v>0</v>
      </c>
      <c r="E14" s="16"/>
      <c r="F14" s="105">
        <f t="shared" si="0"/>
        <v>2691</v>
      </c>
      <c r="G14" s="107">
        <v>2921</v>
      </c>
      <c r="H14" s="16"/>
      <c r="I14" s="16">
        <v>0</v>
      </c>
      <c r="J14" s="16"/>
      <c r="K14" s="105">
        <f t="shared" si="1"/>
        <v>2921</v>
      </c>
      <c r="L14" s="107">
        <v>3285</v>
      </c>
      <c r="M14" s="16"/>
      <c r="N14" s="16">
        <v>0</v>
      </c>
      <c r="O14" s="16"/>
      <c r="P14" s="105">
        <f t="shared" si="2"/>
        <v>3285</v>
      </c>
      <c r="Q14" s="2" t="str">
        <f>'TABLA 2'!Q14</f>
        <v>Canada</v>
      </c>
      <c r="R14" s="106"/>
      <c r="S14" s="61"/>
      <c r="V14" s="106"/>
      <c r="W14" s="106"/>
    </row>
    <row r="15" spans="1:23" s="1" customFormat="1" ht="10.55" customHeight="1" x14ac:dyDescent="0.25">
      <c r="A15" s="15" t="str">
        <f>'TABLA 2'!B15</f>
        <v>China, People's Rep. of</v>
      </c>
      <c r="B15" s="107">
        <v>2293</v>
      </c>
      <c r="C15" s="16"/>
      <c r="D15" s="16">
        <v>0</v>
      </c>
      <c r="E15" s="16"/>
      <c r="F15" s="105">
        <f t="shared" si="0"/>
        <v>2293</v>
      </c>
      <c r="G15" s="107">
        <v>4453</v>
      </c>
      <c r="H15" s="16"/>
      <c r="I15" s="16">
        <v>0</v>
      </c>
      <c r="J15" s="16"/>
      <c r="K15" s="105">
        <f t="shared" si="1"/>
        <v>4453</v>
      </c>
      <c r="L15" s="107">
        <v>8865</v>
      </c>
      <c r="M15" s="16"/>
      <c r="N15" s="16">
        <v>0</v>
      </c>
      <c r="O15" s="16"/>
      <c r="P15" s="105">
        <f t="shared" si="2"/>
        <v>8865</v>
      </c>
      <c r="Q15" s="2" t="str">
        <f>'TABLA 2'!Q15</f>
        <v>China, People's Rep. of</v>
      </c>
      <c r="R15" s="106"/>
      <c r="S15" s="61"/>
      <c r="V15" s="106"/>
      <c r="W15" s="106"/>
    </row>
    <row r="16" spans="1:23" s="1" customFormat="1" ht="10.55" customHeight="1" x14ac:dyDescent="0.25">
      <c r="A16" s="15" t="str">
        <f>'TABLA 2'!B16</f>
        <v>Costa Rica</v>
      </c>
      <c r="B16" s="107">
        <v>238</v>
      </c>
      <c r="C16" s="16"/>
      <c r="D16" s="16">
        <v>0</v>
      </c>
      <c r="E16" s="16"/>
      <c r="F16" s="105">
        <f>B16+D16</f>
        <v>238</v>
      </c>
      <c r="G16" s="107">
        <v>94</v>
      </c>
      <c r="H16" s="16"/>
      <c r="I16" s="16">
        <v>0</v>
      </c>
      <c r="J16" s="16"/>
      <c r="K16" s="105">
        <f>G16+I16</f>
        <v>94</v>
      </c>
      <c r="L16" s="107">
        <v>94</v>
      </c>
      <c r="M16" s="16"/>
      <c r="N16" s="16">
        <v>0</v>
      </c>
      <c r="O16" s="16"/>
      <c r="P16" s="105">
        <f>L16+N16</f>
        <v>94</v>
      </c>
      <c r="Q16" s="2" t="str">
        <f>'TABLA 2'!Q16</f>
        <v>Costa Rica</v>
      </c>
      <c r="R16" s="106"/>
      <c r="S16" s="61"/>
      <c r="V16" s="106"/>
      <c r="W16" s="106"/>
    </row>
    <row r="17" spans="1:23" s="1" customFormat="1" ht="10.55" customHeight="1" x14ac:dyDescent="0.25">
      <c r="A17" s="15" t="str">
        <f>'TABLA 2'!B17</f>
        <v>Côte d'Ivoire</v>
      </c>
      <c r="B17" s="107">
        <v>12728</v>
      </c>
      <c r="C17" s="16" t="s">
        <v>308</v>
      </c>
      <c r="D17" s="119">
        <v>13255</v>
      </c>
      <c r="E17" s="16"/>
      <c r="F17" s="105">
        <f t="shared" si="0"/>
        <v>25983</v>
      </c>
      <c r="G17" s="107">
        <v>8412</v>
      </c>
      <c r="H17" s="16" t="s">
        <v>308</v>
      </c>
      <c r="I17" s="119">
        <v>10258</v>
      </c>
      <c r="J17" s="16"/>
      <c r="K17" s="105">
        <f t="shared" si="1"/>
        <v>18670</v>
      </c>
      <c r="L17" s="107">
        <v>2174</v>
      </c>
      <c r="M17" s="16" t="s">
        <v>308</v>
      </c>
      <c r="N17" s="119">
        <v>10882</v>
      </c>
      <c r="O17" s="16"/>
      <c r="P17" s="105">
        <f t="shared" si="2"/>
        <v>13056</v>
      </c>
      <c r="Q17" s="2" t="str">
        <f>'TABLA 2'!Q17</f>
        <v>Côte d'Ivoire</v>
      </c>
      <c r="R17" s="106"/>
      <c r="S17" s="61"/>
      <c r="V17" s="106"/>
      <c r="W17" s="106"/>
    </row>
    <row r="18" spans="1:23" s="1" customFormat="1" ht="10.55" customHeight="1" x14ac:dyDescent="0.25">
      <c r="A18" s="15" t="str">
        <f>'TABLA 2'!B18</f>
        <v>Cuba</v>
      </c>
      <c r="B18" s="107">
        <v>0</v>
      </c>
      <c r="C18" s="16"/>
      <c r="D18" s="16">
        <v>0</v>
      </c>
      <c r="E18" s="16"/>
      <c r="F18" s="105">
        <f t="shared" si="0"/>
        <v>0</v>
      </c>
      <c r="G18" s="107">
        <v>0</v>
      </c>
      <c r="H18" s="16"/>
      <c r="I18" s="16">
        <v>0</v>
      </c>
      <c r="J18" s="16"/>
      <c r="K18" s="105">
        <f t="shared" si="1"/>
        <v>0</v>
      </c>
      <c r="L18" s="107">
        <v>0</v>
      </c>
      <c r="M18" s="16"/>
      <c r="N18" s="16">
        <v>0</v>
      </c>
      <c r="O18" s="16"/>
      <c r="P18" s="105">
        <f t="shared" si="2"/>
        <v>0</v>
      </c>
      <c r="Q18" s="2" t="str">
        <f>'TABLA 2'!Q18</f>
        <v>Cuba</v>
      </c>
      <c r="R18" s="106"/>
      <c r="S18" s="61"/>
      <c r="V18" s="106"/>
      <c r="W18" s="106"/>
    </row>
    <row r="19" spans="1:23" s="1" customFormat="1" ht="10.55" customHeight="1" x14ac:dyDescent="0.25">
      <c r="A19" s="15" t="str">
        <f>'TABLA 2'!B19</f>
        <v>Curaçao</v>
      </c>
      <c r="B19" s="107">
        <v>24521</v>
      </c>
      <c r="C19" s="16" t="s">
        <v>308</v>
      </c>
      <c r="D19" s="16"/>
      <c r="E19" s="16"/>
      <c r="F19" s="105">
        <f t="shared" si="0"/>
        <v>24521</v>
      </c>
      <c r="G19" s="107">
        <v>8343</v>
      </c>
      <c r="H19" s="16" t="s">
        <v>308</v>
      </c>
      <c r="I19" s="16"/>
      <c r="J19" s="16"/>
      <c r="K19" s="105">
        <f t="shared" si="1"/>
        <v>8343</v>
      </c>
      <c r="L19" s="107">
        <v>1597</v>
      </c>
      <c r="M19" s="16" t="s">
        <v>308</v>
      </c>
      <c r="N19" s="16"/>
      <c r="O19" s="16"/>
      <c r="P19" s="105">
        <f t="shared" si="2"/>
        <v>1597</v>
      </c>
      <c r="Q19" s="2" t="str">
        <f>'TABLA 2'!Q19</f>
        <v>Curaçao</v>
      </c>
      <c r="R19" s="106"/>
      <c r="S19" s="61"/>
      <c r="V19" s="106"/>
      <c r="W19" s="106"/>
    </row>
    <row r="20" spans="1:23" s="1" customFormat="1" ht="10.55" customHeight="1" x14ac:dyDescent="0.25">
      <c r="A20" s="15" t="str">
        <f>'TABLA 2'!B20</f>
        <v>Egypt</v>
      </c>
      <c r="B20" s="107">
        <v>961</v>
      </c>
      <c r="C20" s="16" t="s">
        <v>308</v>
      </c>
      <c r="D20" s="16"/>
      <c r="E20" s="16"/>
      <c r="F20" s="105">
        <f t="shared" si="0"/>
        <v>961</v>
      </c>
      <c r="G20" s="107">
        <v>270</v>
      </c>
      <c r="H20" s="16" t="s">
        <v>308</v>
      </c>
      <c r="I20" s="16"/>
      <c r="J20" s="16"/>
      <c r="K20" s="105">
        <f t="shared" si="1"/>
        <v>270</v>
      </c>
      <c r="L20" s="107">
        <v>237</v>
      </c>
      <c r="M20" s="16" t="s">
        <v>308</v>
      </c>
      <c r="N20" s="16"/>
      <c r="O20" s="16"/>
      <c r="P20" s="105">
        <f t="shared" si="2"/>
        <v>237</v>
      </c>
      <c r="Q20" s="2" t="str">
        <f>'TABLA 2'!Q20</f>
        <v>Egypt</v>
      </c>
      <c r="R20" s="106"/>
      <c r="S20" s="61"/>
      <c r="V20" s="106"/>
      <c r="W20" s="106"/>
    </row>
    <row r="21" spans="1:23" s="1" customFormat="1" ht="10.55" customHeight="1" x14ac:dyDescent="0.25">
      <c r="A21" s="15" t="str">
        <f>'TABLA 2'!B21</f>
        <v>El Salvador</v>
      </c>
      <c r="B21" s="107">
        <v>18182</v>
      </c>
      <c r="C21" s="16"/>
      <c r="D21" s="16">
        <v>720</v>
      </c>
      <c r="E21" s="16"/>
      <c r="F21" s="105">
        <f t="shared" si="0"/>
        <v>18902</v>
      </c>
      <c r="G21" s="107">
        <v>20115</v>
      </c>
      <c r="H21" s="16"/>
      <c r="I21" s="16">
        <v>1087</v>
      </c>
      <c r="J21" s="16"/>
      <c r="K21" s="105">
        <f t="shared" si="1"/>
        <v>21202</v>
      </c>
      <c r="L21" s="107">
        <v>15095</v>
      </c>
      <c r="M21" s="16"/>
      <c r="N21" s="16">
        <v>642</v>
      </c>
      <c r="O21" s="16"/>
      <c r="P21" s="105">
        <f t="shared" si="2"/>
        <v>15737</v>
      </c>
      <c r="Q21" s="2" t="str">
        <f>'TABLA 2'!Q21</f>
        <v>El Salvador</v>
      </c>
      <c r="R21" s="106"/>
      <c r="S21" s="61"/>
      <c r="V21" s="106"/>
      <c r="W21" s="106"/>
    </row>
    <row r="22" spans="1:23" s="1" customFormat="1" ht="10.55" customHeight="1" x14ac:dyDescent="0.25">
      <c r="A22" s="15" t="str">
        <f>'TABLA 2'!B22</f>
        <v>France (St. P. &amp; M.)</v>
      </c>
      <c r="B22" s="107">
        <v>0</v>
      </c>
      <c r="C22" s="16"/>
      <c r="D22" s="16">
        <v>0</v>
      </c>
      <c r="E22" s="16"/>
      <c r="F22" s="105">
        <f t="shared" si="0"/>
        <v>0</v>
      </c>
      <c r="G22" s="107">
        <v>231</v>
      </c>
      <c r="H22" s="16"/>
      <c r="I22" s="16">
        <v>0</v>
      </c>
      <c r="J22" s="16"/>
      <c r="K22" s="105">
        <f t="shared" si="1"/>
        <v>231</v>
      </c>
      <c r="L22" s="107">
        <v>0</v>
      </c>
      <c r="M22" s="16"/>
      <c r="N22" s="16">
        <v>0</v>
      </c>
      <c r="O22" s="16"/>
      <c r="P22" s="105">
        <f t="shared" si="2"/>
        <v>0</v>
      </c>
      <c r="Q22" s="2" t="str">
        <f>'TABLA 2'!Q22</f>
        <v>France (St. P. &amp; M.)</v>
      </c>
      <c r="R22" s="106"/>
      <c r="S22" s="61"/>
      <c r="V22" s="106"/>
      <c r="W22" s="106"/>
    </row>
    <row r="23" spans="1:23" s="1" customFormat="1" ht="10.55" customHeight="1" x14ac:dyDescent="0.25">
      <c r="A23" s="15" t="str">
        <f>'TABLA 2'!B23</f>
        <v>Gabon</v>
      </c>
      <c r="B23" s="107">
        <v>195</v>
      </c>
      <c r="C23" s="16" t="s">
        <v>308</v>
      </c>
      <c r="D23" s="16"/>
      <c r="E23" s="16"/>
      <c r="F23" s="105">
        <f t="shared" si="0"/>
        <v>195</v>
      </c>
      <c r="G23" s="107">
        <v>194</v>
      </c>
      <c r="H23" s="16" t="s">
        <v>308</v>
      </c>
      <c r="I23" s="16"/>
      <c r="J23" s="16"/>
      <c r="K23" s="105">
        <f t="shared" si="1"/>
        <v>194</v>
      </c>
      <c r="L23" s="107">
        <v>386</v>
      </c>
      <c r="M23" s="16" t="s">
        <v>308</v>
      </c>
      <c r="N23" s="16"/>
      <c r="O23" s="16"/>
      <c r="P23" s="105">
        <f t="shared" si="2"/>
        <v>386</v>
      </c>
      <c r="Q23" s="2" t="str">
        <f>'TABLA 2'!Q23</f>
        <v>Gabon</v>
      </c>
      <c r="R23" s="106"/>
      <c r="S23" s="61"/>
      <c r="V23" s="106"/>
      <c r="W23" s="106"/>
    </row>
    <row r="24" spans="1:23" s="1" customFormat="1" ht="10.55" customHeight="1" x14ac:dyDescent="0.25">
      <c r="A24" s="15" t="str">
        <f>'TABLA 2'!B24</f>
        <v>Gambia</v>
      </c>
      <c r="B24" s="107"/>
      <c r="C24" s="16" t="s">
        <v>308</v>
      </c>
      <c r="D24" s="16"/>
      <c r="E24" s="16"/>
      <c r="F24" s="105">
        <f t="shared" si="0"/>
        <v>0</v>
      </c>
      <c r="G24" s="107">
        <v>3703</v>
      </c>
      <c r="H24" s="16" t="s">
        <v>308</v>
      </c>
      <c r="I24" s="16"/>
      <c r="J24" s="16"/>
      <c r="K24" s="105">
        <f t="shared" si="1"/>
        <v>3703</v>
      </c>
      <c r="L24" s="107">
        <v>3479</v>
      </c>
      <c r="M24" s="16" t="s">
        <v>308</v>
      </c>
      <c r="N24" s="16"/>
      <c r="O24" s="16"/>
      <c r="P24" s="105">
        <f t="shared" si="2"/>
        <v>3479</v>
      </c>
      <c r="Q24" s="2" t="str">
        <f>'TABLA 2'!Q24</f>
        <v>Gambia</v>
      </c>
      <c r="R24" s="106"/>
      <c r="S24" s="61"/>
      <c r="V24" s="106"/>
      <c r="W24" s="106"/>
    </row>
    <row r="25" spans="1:23" s="1" customFormat="1" ht="10.55" customHeight="1" x14ac:dyDescent="0.25">
      <c r="A25" s="15" t="str">
        <f>'TABLA 2'!B25</f>
        <v>Ghana</v>
      </c>
      <c r="B25" s="107">
        <v>75396</v>
      </c>
      <c r="C25" s="16"/>
      <c r="D25" s="16">
        <v>31035</v>
      </c>
      <c r="E25" s="16"/>
      <c r="F25" s="105">
        <f t="shared" si="0"/>
        <v>106431</v>
      </c>
      <c r="G25" s="107">
        <v>113771</v>
      </c>
      <c r="H25" s="16"/>
      <c r="I25" s="16">
        <v>34251</v>
      </c>
      <c r="J25" s="16"/>
      <c r="K25" s="105">
        <f t="shared" si="1"/>
        <v>148022</v>
      </c>
      <c r="L25" s="107">
        <v>83754</v>
      </c>
      <c r="M25" s="16"/>
      <c r="N25" s="16">
        <v>39771</v>
      </c>
      <c r="O25" s="16"/>
      <c r="P25" s="105">
        <f t="shared" si="2"/>
        <v>123525</v>
      </c>
      <c r="Q25" s="2" t="str">
        <f>'TABLA 2'!Q25</f>
        <v>Ghana</v>
      </c>
      <c r="R25" s="106"/>
      <c r="S25" s="61"/>
      <c r="V25" s="106"/>
      <c r="W25" s="106"/>
    </row>
    <row r="26" spans="1:23" s="1" customFormat="1" ht="10.55" customHeight="1" x14ac:dyDescent="0.25">
      <c r="A26" s="15" t="str">
        <f>'TABLA 2'!B26</f>
        <v>Grenada</v>
      </c>
      <c r="B26" s="107">
        <v>412</v>
      </c>
      <c r="C26" s="16" t="s">
        <v>308</v>
      </c>
      <c r="D26" s="16"/>
      <c r="E26" s="16"/>
      <c r="F26" s="105">
        <f t="shared" si="0"/>
        <v>412</v>
      </c>
      <c r="G26" s="107">
        <v>1119</v>
      </c>
      <c r="H26" s="16" t="s">
        <v>308</v>
      </c>
      <c r="I26" s="16"/>
      <c r="J26" s="16"/>
      <c r="K26" s="105">
        <f t="shared" si="1"/>
        <v>1119</v>
      </c>
      <c r="L26" s="107">
        <v>2655</v>
      </c>
      <c r="M26" s="16" t="s">
        <v>308</v>
      </c>
      <c r="N26" s="16"/>
      <c r="O26" s="16"/>
      <c r="P26" s="105">
        <f t="shared" si="2"/>
        <v>2655</v>
      </c>
      <c r="Q26" s="2" t="str">
        <f>'TABLA 2'!Q26</f>
        <v>Grenada</v>
      </c>
      <c r="R26" s="106"/>
      <c r="S26" s="61"/>
      <c r="V26" s="106"/>
      <c r="W26" s="106"/>
    </row>
    <row r="27" spans="1:23" s="1" customFormat="1" ht="10.55" customHeight="1" x14ac:dyDescent="0.25">
      <c r="A27" s="15" t="str">
        <f>'TABLA 2'!B27</f>
        <v>Guatemala, Rep. de</v>
      </c>
      <c r="B27" s="107">
        <v>9348</v>
      </c>
      <c r="C27" s="16" t="s">
        <v>308</v>
      </c>
      <c r="D27" s="16"/>
      <c r="E27" s="16"/>
      <c r="F27" s="105">
        <f t="shared" si="0"/>
        <v>9348</v>
      </c>
      <c r="G27" s="107">
        <v>13484</v>
      </c>
      <c r="H27" s="16" t="s">
        <v>308</v>
      </c>
      <c r="I27" s="16"/>
      <c r="J27" s="16"/>
      <c r="K27" s="105">
        <f t="shared" si="1"/>
        <v>13484</v>
      </c>
      <c r="L27" s="107">
        <v>9889</v>
      </c>
      <c r="M27" s="16" t="s">
        <v>308</v>
      </c>
      <c r="N27" s="16"/>
      <c r="O27" s="16"/>
      <c r="P27" s="105">
        <f t="shared" si="2"/>
        <v>9889</v>
      </c>
      <c r="Q27" s="2" t="str">
        <f>'TABLA 2'!Q27</f>
        <v>Guatemala, Rep. de</v>
      </c>
      <c r="R27" s="106"/>
      <c r="S27" s="61"/>
      <c r="V27" s="106"/>
      <c r="W27" s="106"/>
    </row>
    <row r="28" spans="1:23" s="1" customFormat="1" ht="10.55" customHeight="1" x14ac:dyDescent="0.25">
      <c r="A28" s="15" t="str">
        <f>'TABLA 2'!B28</f>
        <v>Guinea Ecuatorial</v>
      </c>
      <c r="B28" s="107">
        <v>46</v>
      </c>
      <c r="C28" s="16" t="s">
        <v>308</v>
      </c>
      <c r="D28" s="16"/>
      <c r="E28" s="16"/>
      <c r="F28" s="105">
        <f t="shared" si="0"/>
        <v>46</v>
      </c>
      <c r="G28" s="107">
        <v>24</v>
      </c>
      <c r="H28" s="16" t="s">
        <v>308</v>
      </c>
      <c r="I28" s="16"/>
      <c r="J28" s="16"/>
      <c r="K28" s="105">
        <f t="shared" si="1"/>
        <v>24</v>
      </c>
      <c r="L28" s="107">
        <v>573</v>
      </c>
      <c r="M28" s="16" t="s">
        <v>308</v>
      </c>
      <c r="N28" s="16"/>
      <c r="O28" s="16"/>
      <c r="P28" s="105">
        <f t="shared" si="2"/>
        <v>573</v>
      </c>
      <c r="Q28" s="2" t="str">
        <f>'TABLA 2'!Q28</f>
        <v>Guinea Ecuatorial</v>
      </c>
      <c r="R28" s="106"/>
      <c r="S28" s="61"/>
      <c r="V28" s="106"/>
      <c r="W28" s="106"/>
    </row>
    <row r="29" spans="1:23" s="1" customFormat="1" ht="10.55" customHeight="1" x14ac:dyDescent="0.25">
      <c r="A29" s="15" t="str">
        <f>'TABLA 2'!B29</f>
        <v>Guinea, Rep. of</v>
      </c>
      <c r="B29" s="107">
        <v>1210</v>
      </c>
      <c r="C29" s="16" t="s">
        <v>308</v>
      </c>
      <c r="D29" s="16"/>
      <c r="E29" s="16"/>
      <c r="F29" s="105">
        <f t="shared" si="0"/>
        <v>1210</v>
      </c>
      <c r="G29" s="107">
        <v>7096</v>
      </c>
      <c r="H29" s="16" t="s">
        <v>308</v>
      </c>
      <c r="I29" s="16"/>
      <c r="J29" s="16"/>
      <c r="K29" s="105">
        <f t="shared" si="1"/>
        <v>7096</v>
      </c>
      <c r="L29" s="107">
        <v>4350</v>
      </c>
      <c r="M29" s="16" t="s">
        <v>308</v>
      </c>
      <c r="N29" s="16"/>
      <c r="O29" s="16"/>
      <c r="P29" s="105">
        <f t="shared" si="2"/>
        <v>4350</v>
      </c>
      <c r="Q29" s="2" t="str">
        <f>'TABLA 2'!Q29</f>
        <v>Guinea, Rep. of</v>
      </c>
      <c r="R29" s="106"/>
      <c r="S29" s="61"/>
      <c r="V29" s="106"/>
      <c r="W29" s="106"/>
    </row>
    <row r="30" spans="1:23" s="1" customFormat="1" ht="10.55" customHeight="1" x14ac:dyDescent="0.25">
      <c r="A30" s="15" t="str">
        <f>'TABLA 2'!B30</f>
        <v>Guinée-Bissau</v>
      </c>
      <c r="B30" s="107"/>
      <c r="C30" s="16" t="s">
        <v>308</v>
      </c>
      <c r="D30" s="16"/>
      <c r="E30" s="16"/>
      <c r="F30" s="105"/>
      <c r="G30" s="107"/>
      <c r="H30" s="16" t="s">
        <v>308</v>
      </c>
      <c r="I30" s="16"/>
      <c r="J30" s="16"/>
      <c r="K30" s="105"/>
      <c r="L30" s="107"/>
      <c r="M30" s="16" t="s">
        <v>308</v>
      </c>
      <c r="N30" s="16"/>
      <c r="O30" s="16"/>
      <c r="P30" s="105">
        <f t="shared" si="2"/>
        <v>0</v>
      </c>
      <c r="Q30" s="2" t="str">
        <f>'TABLA 2'!Q30</f>
        <v>Guinée-Bissau</v>
      </c>
      <c r="R30" s="106"/>
      <c r="S30" s="61"/>
      <c r="V30" s="106"/>
      <c r="W30" s="106"/>
    </row>
    <row r="31" spans="1:23" s="1" customFormat="1" ht="10.55" customHeight="1" x14ac:dyDescent="0.25">
      <c r="A31" s="15" t="str">
        <f>'TABLA 2'!B31</f>
        <v>Honduras</v>
      </c>
      <c r="B31" s="107"/>
      <c r="C31" s="16" t="s">
        <v>308</v>
      </c>
      <c r="D31" s="16"/>
      <c r="E31" s="16"/>
      <c r="F31" s="105"/>
      <c r="G31" s="107"/>
      <c r="H31" s="16" t="s">
        <v>308</v>
      </c>
      <c r="I31" s="16"/>
      <c r="J31" s="16"/>
      <c r="K31" s="105"/>
      <c r="L31" s="107"/>
      <c r="M31" s="16" t="s">
        <v>308</v>
      </c>
      <c r="N31" s="16"/>
      <c r="O31" s="16"/>
      <c r="P31" s="105">
        <f t="shared" si="2"/>
        <v>0</v>
      </c>
      <c r="Q31" s="2" t="str">
        <f>'TABLA 2'!Q31</f>
        <v>Honduras</v>
      </c>
      <c r="R31" s="106"/>
      <c r="S31" s="61"/>
      <c r="V31" s="106"/>
      <c r="W31" s="106"/>
    </row>
    <row r="32" spans="1:23" s="1" customFormat="1" ht="10.55" customHeight="1" x14ac:dyDescent="0.25">
      <c r="A32" s="15" t="str">
        <f>'TABLA 2'!B32</f>
        <v>Iceland</v>
      </c>
      <c r="B32" s="107">
        <v>1</v>
      </c>
      <c r="C32" s="16" t="s">
        <v>308</v>
      </c>
      <c r="D32" s="16"/>
      <c r="E32" s="16"/>
      <c r="F32" s="105">
        <f t="shared" si="0"/>
        <v>1</v>
      </c>
      <c r="G32" s="107">
        <v>0</v>
      </c>
      <c r="H32" s="16" t="s">
        <v>308</v>
      </c>
      <c r="I32" s="16"/>
      <c r="J32" s="16"/>
      <c r="K32" s="105">
        <f t="shared" si="1"/>
        <v>0</v>
      </c>
      <c r="L32" s="107">
        <v>1</v>
      </c>
      <c r="M32" s="16" t="s">
        <v>308</v>
      </c>
      <c r="N32" s="16"/>
      <c r="O32" s="16"/>
      <c r="P32" s="105">
        <f t="shared" si="2"/>
        <v>1</v>
      </c>
      <c r="Q32" s="2" t="str">
        <f>'TABLA 2'!Q32</f>
        <v>Iceland</v>
      </c>
      <c r="R32" s="106"/>
      <c r="S32" s="61"/>
      <c r="V32" s="106"/>
      <c r="W32" s="106"/>
    </row>
    <row r="33" spans="1:23" s="1" customFormat="1" ht="10.55" customHeight="1" x14ac:dyDescent="0.25">
      <c r="A33" s="15" t="str">
        <f>'TABLA 2'!B33</f>
        <v>Japan</v>
      </c>
      <c r="B33" s="107">
        <v>21780</v>
      </c>
      <c r="C33" s="16"/>
      <c r="D33" s="16"/>
      <c r="E33" s="16"/>
      <c r="F33" s="105">
        <f t="shared" si="0"/>
        <v>21780</v>
      </c>
      <c r="G33" s="107">
        <v>27377</v>
      </c>
      <c r="H33" s="16"/>
      <c r="I33" s="16"/>
      <c r="J33" s="16"/>
      <c r="K33" s="105">
        <f t="shared" si="1"/>
        <v>27377</v>
      </c>
      <c r="L33" s="107">
        <v>33834</v>
      </c>
      <c r="M33" s="16"/>
      <c r="N33" s="16"/>
      <c r="O33" s="16"/>
      <c r="P33" s="105">
        <f t="shared" si="2"/>
        <v>33834</v>
      </c>
      <c r="Q33" s="2" t="str">
        <f>'TABLA 2'!Q33</f>
        <v>Japan</v>
      </c>
      <c r="R33" s="106"/>
      <c r="S33" s="61"/>
      <c r="V33" s="106"/>
      <c r="W33" s="106"/>
    </row>
    <row r="34" spans="1:23" s="1" customFormat="1" ht="10.55" customHeight="1" x14ac:dyDescent="0.25">
      <c r="A34" s="15" t="str">
        <f>'TABLA 2'!B34</f>
        <v>Korea, Rep. of</v>
      </c>
      <c r="B34" s="107">
        <v>2648</v>
      </c>
      <c r="C34" s="16" t="s">
        <v>308</v>
      </c>
      <c r="D34" s="16"/>
      <c r="E34" s="16"/>
      <c r="F34" s="105">
        <f t="shared" si="0"/>
        <v>2648</v>
      </c>
      <c r="G34" s="107">
        <v>2955</v>
      </c>
      <c r="H34" s="16" t="s">
        <v>308</v>
      </c>
      <c r="I34" s="16"/>
      <c r="J34" s="16"/>
      <c r="K34" s="105">
        <f t="shared" si="1"/>
        <v>2955</v>
      </c>
      <c r="L34" s="107">
        <v>3158</v>
      </c>
      <c r="M34" s="16" t="s">
        <v>308</v>
      </c>
      <c r="N34" s="16"/>
      <c r="O34" s="16"/>
      <c r="P34" s="105">
        <f t="shared" si="2"/>
        <v>3158</v>
      </c>
      <c r="Q34" s="2" t="str">
        <f>'TABLA 2'!Q34</f>
        <v>Korea, Rep. of</v>
      </c>
      <c r="R34" s="106"/>
      <c r="S34" s="61"/>
      <c r="V34" s="106"/>
      <c r="W34" s="106"/>
    </row>
    <row r="35" spans="1:23" s="1" customFormat="1" ht="10.55" customHeight="1" x14ac:dyDescent="0.25">
      <c r="A35" s="15" t="str">
        <f>'TABLA 2'!B35</f>
        <v>Liberia</v>
      </c>
      <c r="B35" s="107">
        <v>567</v>
      </c>
      <c r="C35" s="16" t="s">
        <v>308</v>
      </c>
      <c r="D35" s="16"/>
      <c r="E35" s="16"/>
      <c r="F35" s="105">
        <f t="shared" si="0"/>
        <v>567</v>
      </c>
      <c r="G35" s="107">
        <v>33</v>
      </c>
      <c r="H35" s="16" t="s">
        <v>308</v>
      </c>
      <c r="I35" s="16"/>
      <c r="J35" s="16"/>
      <c r="K35" s="105">
        <f t="shared" si="1"/>
        <v>33</v>
      </c>
      <c r="L35" s="107">
        <v>84</v>
      </c>
      <c r="M35" s="16" t="s">
        <v>308</v>
      </c>
      <c r="N35" s="16"/>
      <c r="O35" s="16"/>
      <c r="P35" s="105">
        <f t="shared" si="2"/>
        <v>84</v>
      </c>
      <c r="Q35" s="2" t="str">
        <f>'TABLA 2'!Q35</f>
        <v>Liberia</v>
      </c>
      <c r="R35" s="106"/>
      <c r="S35" s="61"/>
      <c r="V35" s="106"/>
      <c r="W35" s="106"/>
    </row>
    <row r="36" spans="1:23" s="1" customFormat="1" ht="10.55" customHeight="1" x14ac:dyDescent="0.25">
      <c r="A36" s="15" t="str">
        <f>'TABLA 2'!B36</f>
        <v>Libya</v>
      </c>
      <c r="B36" s="107">
        <v>2348</v>
      </c>
      <c r="C36" s="16" t="s">
        <v>308</v>
      </c>
      <c r="D36" s="16">
        <v>1350</v>
      </c>
      <c r="E36" s="16" t="s">
        <v>309</v>
      </c>
      <c r="F36" s="105">
        <f t="shared" si="0"/>
        <v>3698</v>
      </c>
      <c r="G36" s="107">
        <v>2330</v>
      </c>
      <c r="H36" s="16" t="s">
        <v>308</v>
      </c>
      <c r="I36" s="16">
        <v>1350</v>
      </c>
      <c r="J36" s="16" t="s">
        <v>309</v>
      </c>
      <c r="K36" s="105">
        <f t="shared" si="1"/>
        <v>3680</v>
      </c>
      <c r="L36" s="107">
        <v>3325</v>
      </c>
      <c r="M36" s="16" t="s">
        <v>308</v>
      </c>
      <c r="N36" s="16">
        <v>1350</v>
      </c>
      <c r="O36" s="16" t="s">
        <v>309</v>
      </c>
      <c r="P36" s="105">
        <f t="shared" si="2"/>
        <v>4675</v>
      </c>
      <c r="Q36" s="2" t="str">
        <f>'TABLA 2'!Q36</f>
        <v xml:space="preserve">Libya </v>
      </c>
      <c r="R36" s="106"/>
      <c r="S36" s="61"/>
      <c r="V36" s="106"/>
      <c r="W36" s="106"/>
    </row>
    <row r="37" spans="1:23" s="1" customFormat="1" ht="10.55" customHeight="1" x14ac:dyDescent="0.25">
      <c r="A37" s="15" t="str">
        <f>'TABLA 2'!B37</f>
        <v>Maroc</v>
      </c>
      <c r="B37" s="107">
        <v>19418</v>
      </c>
      <c r="C37" s="16" t="s">
        <v>308</v>
      </c>
      <c r="D37" s="16">
        <v>957</v>
      </c>
      <c r="E37" s="16" t="s">
        <v>309</v>
      </c>
      <c r="F37" s="105">
        <f t="shared" si="0"/>
        <v>20375</v>
      </c>
      <c r="G37" s="107">
        <v>24168</v>
      </c>
      <c r="H37" s="16" t="s">
        <v>308</v>
      </c>
      <c r="I37" s="16">
        <v>957</v>
      </c>
      <c r="J37" s="16" t="s">
        <v>309</v>
      </c>
      <c r="K37" s="105">
        <f t="shared" si="1"/>
        <v>25125</v>
      </c>
      <c r="L37" s="107">
        <v>35806</v>
      </c>
      <c r="M37" s="16" t="s">
        <v>308</v>
      </c>
      <c r="N37" s="16">
        <v>957</v>
      </c>
      <c r="O37" s="16" t="s">
        <v>309</v>
      </c>
      <c r="P37" s="105">
        <f t="shared" si="2"/>
        <v>36763</v>
      </c>
      <c r="Q37" s="2" t="str">
        <f>'TABLA 2'!Q37</f>
        <v>Maroc</v>
      </c>
      <c r="R37" s="106"/>
      <c r="S37" s="61"/>
      <c r="V37" s="106"/>
      <c r="W37" s="106"/>
    </row>
    <row r="38" spans="1:23" s="1" customFormat="1" ht="10.55" customHeight="1" x14ac:dyDescent="0.25">
      <c r="A38" s="15" t="str">
        <f>'TABLA 2'!B38</f>
        <v>Mauritania</v>
      </c>
      <c r="B38" s="107">
        <v>12921</v>
      </c>
      <c r="C38" s="16" t="s">
        <v>308</v>
      </c>
      <c r="D38" s="16">
        <v>5330</v>
      </c>
      <c r="E38" s="16" t="s">
        <v>309</v>
      </c>
      <c r="F38" s="105">
        <f t="shared" si="0"/>
        <v>18251</v>
      </c>
      <c r="G38" s="107">
        <v>19598</v>
      </c>
      <c r="H38" s="16" t="s">
        <v>308</v>
      </c>
      <c r="I38" s="16">
        <v>5330</v>
      </c>
      <c r="J38" s="16" t="s">
        <v>309</v>
      </c>
      <c r="K38" s="105">
        <f t="shared" si="1"/>
        <v>24928</v>
      </c>
      <c r="L38" s="107">
        <v>13847</v>
      </c>
      <c r="M38" s="16" t="s">
        <v>308</v>
      </c>
      <c r="N38" s="16">
        <v>5330</v>
      </c>
      <c r="O38" s="16" t="s">
        <v>309</v>
      </c>
      <c r="P38" s="105">
        <f t="shared" si="2"/>
        <v>19177</v>
      </c>
      <c r="Q38" s="2" t="str">
        <f>'TABLA 2'!Q38</f>
        <v>Mauritania</v>
      </c>
      <c r="R38" s="106"/>
      <c r="S38" s="61"/>
      <c r="V38" s="106"/>
      <c r="W38" s="106"/>
    </row>
    <row r="39" spans="1:23" s="1" customFormat="1" ht="10.55" customHeight="1" x14ac:dyDescent="0.25">
      <c r="A39" s="15" t="str">
        <f>'TABLA 2'!B39</f>
        <v>Mexico</v>
      </c>
      <c r="B39" s="107">
        <v>5787</v>
      </c>
      <c r="C39" s="16"/>
      <c r="D39" s="16">
        <v>0</v>
      </c>
      <c r="E39" s="16"/>
      <c r="F39" s="105">
        <f t="shared" si="0"/>
        <v>5787</v>
      </c>
      <c r="G39" s="107">
        <v>3768</v>
      </c>
      <c r="H39" s="16"/>
      <c r="I39" s="16">
        <v>0</v>
      </c>
      <c r="J39" s="16"/>
      <c r="K39" s="105">
        <f t="shared" si="1"/>
        <v>3768</v>
      </c>
      <c r="L39" s="107">
        <v>798</v>
      </c>
      <c r="M39" s="16"/>
      <c r="N39" s="16">
        <v>0</v>
      </c>
      <c r="O39" s="16"/>
      <c r="P39" s="105">
        <f t="shared" si="2"/>
        <v>798</v>
      </c>
      <c r="Q39" s="2" t="str">
        <f>'TABLA 2'!Q39</f>
        <v>Mexico</v>
      </c>
      <c r="R39" s="106"/>
      <c r="S39" s="61"/>
      <c r="V39" s="106"/>
      <c r="W39" s="106"/>
    </row>
    <row r="40" spans="1:23" s="1" customFormat="1" ht="10.55" customHeight="1" x14ac:dyDescent="0.25">
      <c r="A40" s="122" t="s">
        <v>340</v>
      </c>
      <c r="B40" s="127"/>
      <c r="C40" s="119"/>
      <c r="D40" s="119"/>
      <c r="E40" s="119"/>
      <c r="F40" s="128">
        <f t="shared" si="0"/>
        <v>0</v>
      </c>
      <c r="G40" s="127"/>
      <c r="H40" s="119"/>
      <c r="I40" s="119"/>
      <c r="J40" s="119"/>
      <c r="K40" s="128">
        <f t="shared" si="1"/>
        <v>0</v>
      </c>
      <c r="L40" s="127"/>
      <c r="M40" s="119"/>
      <c r="N40" s="119"/>
      <c r="O40" s="119"/>
      <c r="P40" s="128">
        <f t="shared" si="2"/>
        <v>0</v>
      </c>
      <c r="Q40" s="129" t="str">
        <f>'TABLA 2'!Q40</f>
        <v>Montenegro</v>
      </c>
      <c r="R40" s="106"/>
      <c r="S40" s="61"/>
      <c r="V40" s="106"/>
      <c r="W40" s="106"/>
    </row>
    <row r="41" spans="1:23" s="1" customFormat="1" ht="10.55" customHeight="1" x14ac:dyDescent="0.25">
      <c r="A41" s="15" t="str">
        <f>'TABLA 2'!B41</f>
        <v>Namibia</v>
      </c>
      <c r="B41" s="107">
        <v>14338</v>
      </c>
      <c r="C41" s="16" t="s">
        <v>308</v>
      </c>
      <c r="D41" s="16"/>
      <c r="E41" s="16"/>
      <c r="F41" s="105">
        <f t="shared" si="0"/>
        <v>14338</v>
      </c>
      <c r="G41" s="107">
        <v>16036</v>
      </c>
      <c r="H41" s="16" t="s">
        <v>308</v>
      </c>
      <c r="I41" s="16"/>
      <c r="J41" s="16"/>
      <c r="K41" s="105">
        <f t="shared" si="1"/>
        <v>16036</v>
      </c>
      <c r="L41" s="107">
        <v>11425</v>
      </c>
      <c r="M41" s="16" t="s">
        <v>308</v>
      </c>
      <c r="N41" s="16"/>
      <c r="O41" s="16"/>
      <c r="P41" s="105">
        <f t="shared" si="2"/>
        <v>11425</v>
      </c>
      <c r="Q41" s="2" t="str">
        <f>'TABLA 2'!Q41</f>
        <v xml:space="preserve">Namibia </v>
      </c>
      <c r="R41" s="106"/>
      <c r="S41" s="61"/>
      <c r="V41" s="106"/>
      <c r="W41" s="106"/>
    </row>
    <row r="42" spans="1:23" s="1" customFormat="1" ht="10.55" customHeight="1" x14ac:dyDescent="0.25">
      <c r="A42" s="15" t="str">
        <f>'TABLA 2'!B42</f>
        <v>Nicaragua, Rep. de</v>
      </c>
      <c r="B42" s="107"/>
      <c r="C42" s="16"/>
      <c r="D42" s="16"/>
      <c r="E42" s="16"/>
      <c r="F42" s="105">
        <f t="shared" si="0"/>
        <v>0</v>
      </c>
      <c r="G42" s="107"/>
      <c r="H42" s="16"/>
      <c r="I42" s="16"/>
      <c r="J42" s="16"/>
      <c r="K42" s="105">
        <f t="shared" si="1"/>
        <v>0</v>
      </c>
      <c r="L42" s="107"/>
      <c r="M42" s="16"/>
      <c r="N42" s="16"/>
      <c r="O42" s="16"/>
      <c r="P42" s="105">
        <f t="shared" si="2"/>
        <v>0</v>
      </c>
      <c r="Q42" s="2" t="str">
        <f>'TABLA 2'!Q42</f>
        <v>Nicaragua, Rep. de</v>
      </c>
      <c r="R42" s="106"/>
      <c r="S42" s="61"/>
      <c r="V42" s="106"/>
      <c r="W42" s="106"/>
    </row>
    <row r="43" spans="1:23" s="1" customFormat="1" ht="10.55" customHeight="1" x14ac:dyDescent="0.25">
      <c r="A43" s="15" t="str">
        <f>'TABLA 2'!B43</f>
        <v>Nigeria</v>
      </c>
      <c r="B43" s="107"/>
      <c r="C43" s="16"/>
      <c r="D43" s="16"/>
      <c r="E43" s="16"/>
      <c r="F43" s="105">
        <f t="shared" si="0"/>
        <v>0</v>
      </c>
      <c r="G43" s="107"/>
      <c r="H43" s="16"/>
      <c r="I43" s="16"/>
      <c r="J43" s="16"/>
      <c r="K43" s="105">
        <f t="shared" si="1"/>
        <v>0</v>
      </c>
      <c r="L43" s="107"/>
      <c r="M43" s="16"/>
      <c r="N43" s="16"/>
      <c r="O43" s="16"/>
      <c r="P43" s="105">
        <f t="shared" si="2"/>
        <v>0</v>
      </c>
      <c r="Q43" s="2" t="str">
        <f>'TABLA 2'!Q43</f>
        <v>Nigeria</v>
      </c>
      <c r="R43" s="106"/>
      <c r="S43" s="61"/>
      <c r="V43" s="106"/>
      <c r="W43" s="106"/>
    </row>
    <row r="44" spans="1:23" s="1" customFormat="1" ht="10.55" customHeight="1" x14ac:dyDescent="0.25">
      <c r="A44" s="15" t="str">
        <f>'TABLA 2'!B44</f>
        <v>Norway</v>
      </c>
      <c r="B44" s="107">
        <v>158</v>
      </c>
      <c r="C44" s="16"/>
      <c r="D44" s="16"/>
      <c r="E44" s="16"/>
      <c r="F44" s="105">
        <f t="shared" si="0"/>
        <v>158</v>
      </c>
      <c r="G44" s="107">
        <v>123</v>
      </c>
      <c r="H44" s="16"/>
      <c r="I44" s="16"/>
      <c r="J44" s="16"/>
      <c r="K44" s="105">
        <f t="shared" si="1"/>
        <v>123</v>
      </c>
      <c r="L44" s="107">
        <v>117</v>
      </c>
      <c r="M44" s="16"/>
      <c r="N44" s="16"/>
      <c r="O44" s="16"/>
      <c r="P44" s="105">
        <f t="shared" si="2"/>
        <v>117</v>
      </c>
      <c r="Q44" s="2" t="str">
        <f>'TABLA 2'!Q44</f>
        <v>Norway</v>
      </c>
      <c r="R44" s="106"/>
      <c r="S44" s="61"/>
      <c r="V44" s="106"/>
      <c r="W44" s="106"/>
    </row>
    <row r="45" spans="1:23" s="1" customFormat="1" ht="10.55" customHeight="1" x14ac:dyDescent="0.25">
      <c r="A45" s="15" t="str">
        <f>'TABLA 2'!B45</f>
        <v>Panama</v>
      </c>
      <c r="B45" s="107">
        <v>23965</v>
      </c>
      <c r="C45" s="16"/>
      <c r="D45" s="16">
        <v>0</v>
      </c>
      <c r="E45" s="16"/>
      <c r="F45" s="105">
        <f t="shared" si="0"/>
        <v>23965</v>
      </c>
      <c r="G45" s="107">
        <v>28669</v>
      </c>
      <c r="H45" s="16"/>
      <c r="I45" s="16">
        <v>0</v>
      </c>
      <c r="J45" s="16"/>
      <c r="K45" s="105">
        <f t="shared" si="1"/>
        <v>28669</v>
      </c>
      <c r="L45" s="107">
        <v>23484</v>
      </c>
      <c r="M45" s="16"/>
      <c r="N45" s="16">
        <v>0</v>
      </c>
      <c r="O45" s="16"/>
      <c r="P45" s="105">
        <f t="shared" si="2"/>
        <v>23484</v>
      </c>
      <c r="Q45" s="2" t="str">
        <f>'TABLA 2'!Q45</f>
        <v>Panama</v>
      </c>
      <c r="R45" s="106"/>
      <c r="S45" s="61"/>
      <c r="V45" s="106"/>
      <c r="W45" s="106"/>
    </row>
    <row r="46" spans="1:23" s="1" customFormat="1" ht="10.55" customHeight="1" x14ac:dyDescent="0.25">
      <c r="A46" s="15" t="str">
        <f>'TABLA 2'!B46</f>
        <v>Philippines, Rep. of</v>
      </c>
      <c r="B46" s="107"/>
      <c r="C46" s="16"/>
      <c r="D46" s="16"/>
      <c r="E46" s="16"/>
      <c r="F46" s="105">
        <f t="shared" si="0"/>
        <v>0</v>
      </c>
      <c r="G46" s="107"/>
      <c r="H46" s="16"/>
      <c r="I46" s="16"/>
      <c r="J46" s="16"/>
      <c r="K46" s="105">
        <f t="shared" si="1"/>
        <v>0</v>
      </c>
      <c r="L46" s="107"/>
      <c r="M46" s="16"/>
      <c r="N46" s="16"/>
      <c r="O46" s="16"/>
      <c r="P46" s="105">
        <f t="shared" si="2"/>
        <v>0</v>
      </c>
      <c r="Q46" s="2" t="str">
        <f>'TABLA 2'!Q46</f>
        <v>Philippines, Rep. of</v>
      </c>
      <c r="R46" s="106"/>
      <c r="S46" s="61"/>
      <c r="V46" s="106"/>
      <c r="W46" s="106"/>
    </row>
    <row r="47" spans="1:23" s="1" customFormat="1" ht="10.55" customHeight="1" x14ac:dyDescent="0.25">
      <c r="A47" s="15" t="str">
        <f>'TABLA 2'!B47</f>
        <v>Russia</v>
      </c>
      <c r="B47" s="107">
        <v>1433</v>
      </c>
      <c r="C47" s="16"/>
      <c r="D47" s="16"/>
      <c r="E47" s="16"/>
      <c r="F47" s="105">
        <f t="shared" si="0"/>
        <v>1433</v>
      </c>
      <c r="G47" s="107">
        <v>7335</v>
      </c>
      <c r="H47" s="16"/>
      <c r="I47" s="16"/>
      <c r="J47" s="16"/>
      <c r="K47" s="105">
        <f t="shared" si="1"/>
        <v>7335</v>
      </c>
      <c r="L47" s="107">
        <v>1046</v>
      </c>
      <c r="M47" s="16"/>
      <c r="N47" s="16"/>
      <c r="O47" s="16"/>
      <c r="P47" s="105">
        <f t="shared" si="2"/>
        <v>1046</v>
      </c>
      <c r="Q47" s="2" t="str">
        <f>'TABLA 2'!Q47</f>
        <v>Russia</v>
      </c>
      <c r="R47" s="106"/>
      <c r="S47" s="61"/>
      <c r="V47" s="106"/>
      <c r="W47" s="106"/>
    </row>
    <row r="48" spans="1:23" s="1" customFormat="1" ht="10.55" customHeight="1" x14ac:dyDescent="0.25">
      <c r="A48" s="15" t="str">
        <f>'TABLA 2'!B48</f>
        <v>Saint Vincent and Grenadines</v>
      </c>
      <c r="B48" s="107">
        <v>188</v>
      </c>
      <c r="C48" s="16" t="s">
        <v>308</v>
      </c>
      <c r="D48" s="16"/>
      <c r="E48" s="16"/>
      <c r="F48" s="105">
        <f t="shared" si="0"/>
        <v>188</v>
      </c>
      <c r="G48" s="107">
        <v>790</v>
      </c>
      <c r="H48" s="16" t="s">
        <v>308</v>
      </c>
      <c r="I48" s="16"/>
      <c r="J48" s="16"/>
      <c r="K48" s="105">
        <f t="shared" si="1"/>
        <v>790</v>
      </c>
      <c r="L48" s="107">
        <v>20</v>
      </c>
      <c r="M48" s="16" t="s">
        <v>308</v>
      </c>
      <c r="N48" s="16"/>
      <c r="O48" s="16"/>
      <c r="P48" s="105">
        <f t="shared" si="2"/>
        <v>20</v>
      </c>
      <c r="Q48" s="2" t="str">
        <f>'TABLA 2'!Q48</f>
        <v>Saint Vincent and Grenadines</v>
      </c>
      <c r="R48" s="106"/>
      <c r="S48" s="61"/>
      <c r="V48" s="106"/>
      <c r="W48" s="106"/>
    </row>
    <row r="49" spans="1:23" s="1" customFormat="1" ht="10.55" customHeight="1" x14ac:dyDescent="0.25">
      <c r="A49" s="15" t="str">
        <f>'TABLA 2'!B49</f>
        <v>Sâo Tomé e Príncipe</v>
      </c>
      <c r="B49" s="107">
        <v>1365</v>
      </c>
      <c r="C49" s="16"/>
      <c r="D49" s="16">
        <v>0</v>
      </c>
      <c r="E49" s="16"/>
      <c r="F49" s="105">
        <f t="shared" si="0"/>
        <v>1365</v>
      </c>
      <c r="G49" s="107">
        <v>1245</v>
      </c>
      <c r="H49" s="16"/>
      <c r="I49" s="16">
        <v>0</v>
      </c>
      <c r="J49" s="16"/>
      <c r="K49" s="105">
        <f t="shared" si="1"/>
        <v>1245</v>
      </c>
      <c r="L49" s="107">
        <v>1156</v>
      </c>
      <c r="M49" s="16"/>
      <c r="N49" s="16">
        <v>0</v>
      </c>
      <c r="O49" s="16"/>
      <c r="P49" s="105">
        <f t="shared" si="2"/>
        <v>1156</v>
      </c>
      <c r="Q49" s="2" t="str">
        <f>'TABLA 2'!Q49</f>
        <v>Sâo Tomé e Príncipe</v>
      </c>
      <c r="R49" s="106"/>
      <c r="S49" s="61"/>
      <c r="V49" s="106"/>
      <c r="W49" s="106"/>
    </row>
    <row r="50" spans="1:23" s="1" customFormat="1" ht="10.55" customHeight="1" x14ac:dyDescent="0.25">
      <c r="A50" s="15" t="str">
        <f>'TABLA 2'!B50</f>
        <v>Senegal</v>
      </c>
      <c r="B50" s="107">
        <v>52981</v>
      </c>
      <c r="C50" s="16" t="s">
        <v>308</v>
      </c>
      <c r="D50" s="16">
        <v>9229</v>
      </c>
      <c r="E50" s="16" t="s">
        <v>309</v>
      </c>
      <c r="F50" s="105">
        <f t="shared" si="0"/>
        <v>62210</v>
      </c>
      <c r="G50" s="107">
        <v>62510</v>
      </c>
      <c r="H50" s="16" t="s">
        <v>308</v>
      </c>
      <c r="I50" s="16">
        <v>9229</v>
      </c>
      <c r="J50" s="16" t="s">
        <v>309</v>
      </c>
      <c r="K50" s="105">
        <f t="shared" si="1"/>
        <v>71739</v>
      </c>
      <c r="L50" s="107">
        <v>55930</v>
      </c>
      <c r="M50" s="16" t="s">
        <v>308</v>
      </c>
      <c r="N50" s="16">
        <v>9229</v>
      </c>
      <c r="O50" s="16" t="s">
        <v>309</v>
      </c>
      <c r="P50" s="105">
        <f t="shared" si="2"/>
        <v>65159</v>
      </c>
      <c r="Q50" s="2" t="str">
        <f>'TABLA 2'!Q50</f>
        <v>Senegal</v>
      </c>
      <c r="R50" s="106"/>
      <c r="S50" s="61"/>
      <c r="V50" s="106"/>
      <c r="W50" s="106"/>
    </row>
    <row r="51" spans="1:23" s="1" customFormat="1" ht="10.55" customHeight="1" x14ac:dyDescent="0.25">
      <c r="A51" s="15" t="str">
        <f>'TABLA 2'!B51</f>
        <v>Sierra Leone</v>
      </c>
      <c r="B51" s="107"/>
      <c r="C51" s="16"/>
      <c r="D51" s="16"/>
      <c r="E51" s="16"/>
      <c r="F51" s="105">
        <f t="shared" si="0"/>
        <v>0</v>
      </c>
      <c r="G51" s="107"/>
      <c r="H51" s="16"/>
      <c r="I51" s="16"/>
      <c r="J51" s="16"/>
      <c r="K51" s="105">
        <f t="shared" si="1"/>
        <v>0</v>
      </c>
      <c r="L51" s="107"/>
      <c r="M51" s="16"/>
      <c r="N51" s="16"/>
      <c r="O51" s="16"/>
      <c r="P51" s="105">
        <f t="shared" si="2"/>
        <v>0</v>
      </c>
      <c r="Q51" s="2" t="str">
        <f>'TABLA 2'!Q51</f>
        <v>Sierra Leone</v>
      </c>
      <c r="R51" s="106"/>
      <c r="S51" s="61"/>
      <c r="V51" s="106"/>
      <c r="W51" s="106"/>
    </row>
    <row r="52" spans="1:23" s="1" customFormat="1" ht="10.55" customHeight="1" x14ac:dyDescent="0.25">
      <c r="A52" s="15" t="str">
        <f>'TABLA 2'!B52</f>
        <v>South Africa</v>
      </c>
      <c r="B52" s="107">
        <v>5113</v>
      </c>
      <c r="C52" s="16" t="s">
        <v>308</v>
      </c>
      <c r="D52" s="16"/>
      <c r="E52" s="16"/>
      <c r="F52" s="105">
        <f t="shared" si="0"/>
        <v>5113</v>
      </c>
      <c r="G52" s="107">
        <v>7470</v>
      </c>
      <c r="H52" s="16" t="s">
        <v>308</v>
      </c>
      <c r="I52" s="16"/>
      <c r="J52" s="16"/>
      <c r="K52" s="105">
        <f t="shared" si="1"/>
        <v>7470</v>
      </c>
      <c r="L52" s="107">
        <v>5563</v>
      </c>
      <c r="M52" s="16" t="s">
        <v>308</v>
      </c>
      <c r="N52" s="16"/>
      <c r="O52" s="16"/>
      <c r="P52" s="105">
        <f t="shared" si="2"/>
        <v>5563</v>
      </c>
      <c r="Q52" s="2" t="str">
        <f>'TABLA 2'!Q52</f>
        <v>South Africa</v>
      </c>
      <c r="R52" s="106"/>
      <c r="S52" s="61"/>
      <c r="V52" s="106"/>
      <c r="W52" s="106"/>
    </row>
    <row r="53" spans="1:23" s="1" customFormat="1" ht="10.55" customHeight="1" x14ac:dyDescent="0.25">
      <c r="A53" s="15" t="str">
        <f>'TABLA 2'!B53</f>
        <v>Syrian Arab Republic</v>
      </c>
      <c r="B53" s="107"/>
      <c r="C53" s="16"/>
      <c r="D53" s="16"/>
      <c r="E53" s="16"/>
      <c r="F53" s="105">
        <f t="shared" si="0"/>
        <v>0</v>
      </c>
      <c r="G53" s="107">
        <v>79</v>
      </c>
      <c r="H53" s="16" t="s">
        <v>308</v>
      </c>
      <c r="I53" s="16"/>
      <c r="J53" s="16"/>
      <c r="K53" s="105">
        <f t="shared" si="1"/>
        <v>79</v>
      </c>
      <c r="L53" s="107"/>
      <c r="M53" s="16"/>
      <c r="N53" s="16"/>
      <c r="O53" s="16"/>
      <c r="P53" s="105">
        <f t="shared" si="2"/>
        <v>0</v>
      </c>
      <c r="Q53" s="2" t="str">
        <f>'TABLA 2'!Q53</f>
        <v>Syrian Arab Republic</v>
      </c>
      <c r="R53" s="106"/>
      <c r="S53" s="61"/>
      <c r="V53" s="106"/>
      <c r="W53" s="106"/>
    </row>
    <row r="54" spans="1:23" s="1" customFormat="1" ht="10.55" customHeight="1" x14ac:dyDescent="0.25">
      <c r="A54" s="15" t="str">
        <f>'TABLA 2'!B54</f>
        <v>Trinidad &amp; Tobago</v>
      </c>
      <c r="B54" s="107">
        <v>2869</v>
      </c>
      <c r="C54" s="16"/>
      <c r="D54" s="16">
        <v>0</v>
      </c>
      <c r="E54" s="16"/>
      <c r="F54" s="105">
        <f t="shared" si="0"/>
        <v>2869</v>
      </c>
      <c r="G54" s="107">
        <v>2694</v>
      </c>
      <c r="H54" s="16"/>
      <c r="I54" s="16">
        <v>0</v>
      </c>
      <c r="J54" s="16"/>
      <c r="K54" s="105">
        <f t="shared" si="1"/>
        <v>2694</v>
      </c>
      <c r="L54" s="107">
        <v>2765</v>
      </c>
      <c r="M54" s="16"/>
      <c r="N54" s="16">
        <v>0</v>
      </c>
      <c r="O54" s="16"/>
      <c r="P54" s="105">
        <f t="shared" si="2"/>
        <v>2765</v>
      </c>
      <c r="Q54" s="2" t="str">
        <f>'TABLA 2'!Q54</f>
        <v>Trinidad &amp; Tobago</v>
      </c>
      <c r="R54" s="106"/>
      <c r="S54" s="61"/>
      <c r="V54" s="106"/>
      <c r="W54" s="106"/>
    </row>
    <row r="55" spans="1:23" s="1" customFormat="1" ht="10.55" customHeight="1" x14ac:dyDescent="0.25">
      <c r="A55" s="15" t="str">
        <f>'TABLA 2'!B55</f>
        <v>Tunisie</v>
      </c>
      <c r="B55" s="107">
        <v>9213</v>
      </c>
      <c r="C55" s="16" t="s">
        <v>308</v>
      </c>
      <c r="D55" s="16">
        <v>6826</v>
      </c>
      <c r="E55" s="16" t="s">
        <v>309</v>
      </c>
      <c r="F55" s="105">
        <f t="shared" si="0"/>
        <v>16039</v>
      </c>
      <c r="G55" s="107">
        <v>11365</v>
      </c>
      <c r="H55" s="16" t="s">
        <v>308</v>
      </c>
      <c r="I55" s="16">
        <v>6826</v>
      </c>
      <c r="J55" s="16" t="s">
        <v>309</v>
      </c>
      <c r="K55" s="105">
        <f t="shared" si="1"/>
        <v>18191</v>
      </c>
      <c r="L55" s="107">
        <v>13628</v>
      </c>
      <c r="M55" s="16" t="s">
        <v>308</v>
      </c>
      <c r="N55" s="16">
        <v>6826</v>
      </c>
      <c r="O55" s="16" t="s">
        <v>309</v>
      </c>
      <c r="P55" s="105">
        <f t="shared" si="2"/>
        <v>20454</v>
      </c>
      <c r="Q55" s="2" t="str">
        <f>'TABLA 2'!Q55</f>
        <v>Tunisie</v>
      </c>
      <c r="R55" s="106"/>
      <c r="S55" s="61"/>
      <c r="V55" s="106"/>
      <c r="W55" s="106"/>
    </row>
    <row r="56" spans="1:23" s="1" customFormat="1" ht="10.55" customHeight="1" x14ac:dyDescent="0.25">
      <c r="A56" s="15" t="str">
        <f>'TABLA 2'!B56</f>
        <v>Türkiye</v>
      </c>
      <c r="B56" s="107">
        <v>6510</v>
      </c>
      <c r="C56" s="16" t="s">
        <v>308</v>
      </c>
      <c r="D56" s="16"/>
      <c r="E56" s="16"/>
      <c r="F56" s="105">
        <f t="shared" si="0"/>
        <v>6510</v>
      </c>
      <c r="G56" s="107">
        <v>53902</v>
      </c>
      <c r="H56" s="16" t="s">
        <v>308</v>
      </c>
      <c r="I56" s="16"/>
      <c r="J56" s="16"/>
      <c r="K56" s="105">
        <f t="shared" si="1"/>
        <v>53902</v>
      </c>
      <c r="L56" s="107">
        <v>7583</v>
      </c>
      <c r="M56" s="16" t="s">
        <v>308</v>
      </c>
      <c r="N56" s="16"/>
      <c r="O56" s="16"/>
      <c r="P56" s="105">
        <f t="shared" si="2"/>
        <v>7583</v>
      </c>
      <c r="Q56" s="2" t="str">
        <f>'TABLA 2'!Q56</f>
        <v>Türkiye</v>
      </c>
      <c r="R56" s="106"/>
      <c r="S56" s="61"/>
      <c r="V56" s="106"/>
      <c r="W56" s="106"/>
    </row>
    <row r="57" spans="1:23" s="1" customFormat="1" ht="10.55" customHeight="1" x14ac:dyDescent="0.25">
      <c r="A57" s="15" t="str">
        <f>'TABLA 2'!B57</f>
        <v>Union Européenne</v>
      </c>
      <c r="B57" s="107">
        <v>201425</v>
      </c>
      <c r="C57" s="16"/>
      <c r="D57" s="16">
        <v>68784</v>
      </c>
      <c r="E57" s="16"/>
      <c r="F57" s="105">
        <f t="shared" si="0"/>
        <v>270209</v>
      </c>
      <c r="G57" s="107">
        <v>213225</v>
      </c>
      <c r="H57" s="16"/>
      <c r="I57" s="16">
        <v>88490</v>
      </c>
      <c r="J57" s="16"/>
      <c r="K57" s="105">
        <f t="shared" si="1"/>
        <v>301715</v>
      </c>
      <c r="L57" s="107">
        <v>193365</v>
      </c>
      <c r="M57" s="16"/>
      <c r="N57" s="16">
        <v>45949</v>
      </c>
      <c r="O57" s="16"/>
      <c r="P57" s="105">
        <f t="shared" si="2"/>
        <v>239314</v>
      </c>
      <c r="Q57" s="2" t="str">
        <f>'TABLA 2'!Q57</f>
        <v>Union Européenne</v>
      </c>
      <c r="R57" s="106"/>
      <c r="S57" s="61"/>
      <c r="V57" s="106"/>
      <c r="W57" s="106"/>
    </row>
    <row r="58" spans="1:23" s="1" customFormat="1" ht="21.5" customHeight="1" x14ac:dyDescent="0.25">
      <c r="A58" s="58" t="str">
        <f>'TABLA 2'!B58</f>
        <v xml:space="preserve">United Kingdom of Great Britain and Northern Ireland </v>
      </c>
      <c r="B58" s="107">
        <v>435</v>
      </c>
      <c r="C58" s="16"/>
      <c r="D58" s="16"/>
      <c r="E58" s="16"/>
      <c r="F58" s="105">
        <f t="shared" si="0"/>
        <v>435</v>
      </c>
      <c r="G58" s="107">
        <v>378</v>
      </c>
      <c r="H58" s="16"/>
      <c r="I58" s="16"/>
      <c r="J58" s="16"/>
      <c r="K58" s="105">
        <f t="shared" si="1"/>
        <v>378</v>
      </c>
      <c r="L58" s="107">
        <v>376</v>
      </c>
      <c r="M58" s="16"/>
      <c r="N58" s="16"/>
      <c r="O58" s="16"/>
      <c r="P58" s="105">
        <f t="shared" si="2"/>
        <v>376</v>
      </c>
      <c r="Q58" s="60" t="str">
        <f>'TABLA 2'!Q58</f>
        <v xml:space="preserve">United Kingdom of Great Britain and Northern Ireland </v>
      </c>
      <c r="R58" s="106"/>
      <c r="S58" s="61"/>
      <c r="V58" s="106"/>
      <c r="W58" s="106"/>
    </row>
    <row r="59" spans="1:23" s="1" customFormat="1" ht="10.55" customHeight="1" x14ac:dyDescent="0.25">
      <c r="A59" s="15" t="str">
        <f>'TABLA 2'!B59</f>
        <v>United States</v>
      </c>
      <c r="B59" s="107">
        <v>26792</v>
      </c>
      <c r="C59" s="16"/>
      <c r="D59" s="16">
        <v>9576</v>
      </c>
      <c r="E59" s="16"/>
      <c r="F59" s="105">
        <f t="shared" si="0"/>
        <v>36368</v>
      </c>
      <c r="G59" s="107">
        <v>39789</v>
      </c>
      <c r="H59" s="16"/>
      <c r="I59" s="16">
        <v>11419</v>
      </c>
      <c r="J59" s="16"/>
      <c r="K59" s="105">
        <f t="shared" si="1"/>
        <v>51208</v>
      </c>
      <c r="L59" s="107">
        <v>25273</v>
      </c>
      <c r="M59" s="16"/>
      <c r="N59" s="16">
        <v>7184</v>
      </c>
      <c r="O59" s="16"/>
      <c r="P59" s="105">
        <f t="shared" si="2"/>
        <v>32457</v>
      </c>
      <c r="Q59" s="2" t="str">
        <f>'TABLA 2'!Q59</f>
        <v>United States</v>
      </c>
      <c r="R59" s="106"/>
      <c r="S59" s="61"/>
      <c r="V59" s="106"/>
      <c r="W59" s="106"/>
    </row>
    <row r="60" spans="1:23" s="1" customFormat="1" ht="10.55" customHeight="1" x14ac:dyDescent="0.25">
      <c r="A60" s="15" t="str">
        <f>'TABLA 2'!B60</f>
        <v>Uruguay</v>
      </c>
      <c r="B60" s="107"/>
      <c r="C60" s="16"/>
      <c r="D60" s="16"/>
      <c r="E60" s="16"/>
      <c r="F60" s="105">
        <f t="shared" si="0"/>
        <v>0</v>
      </c>
      <c r="G60" s="107"/>
      <c r="H60" s="16"/>
      <c r="I60" s="16"/>
      <c r="J60" s="16"/>
      <c r="K60" s="105">
        <f t="shared" si="1"/>
        <v>0</v>
      </c>
      <c r="L60" s="107"/>
      <c r="M60" s="16"/>
      <c r="N60" s="16"/>
      <c r="O60" s="16"/>
      <c r="P60" s="105">
        <f t="shared" si="2"/>
        <v>0</v>
      </c>
      <c r="Q60" s="2" t="str">
        <f>'TABLA 2'!Q60</f>
        <v>Uruguay</v>
      </c>
      <c r="R60" s="106"/>
      <c r="S60" s="61"/>
      <c r="V60" s="106"/>
      <c r="W60" s="106"/>
    </row>
    <row r="61" spans="1:23" s="1" customFormat="1" ht="10.55" customHeight="1" x14ac:dyDescent="0.25">
      <c r="A61" s="15" t="str">
        <f>'TABLA 2'!B61</f>
        <v>Venezuela</v>
      </c>
      <c r="B61" s="107">
        <v>3838</v>
      </c>
      <c r="C61" s="16"/>
      <c r="D61" s="16">
        <v>382</v>
      </c>
      <c r="E61" s="16"/>
      <c r="F61" s="105">
        <f t="shared" si="0"/>
        <v>4220</v>
      </c>
      <c r="G61" s="107">
        <v>4508</v>
      </c>
      <c r="H61" s="16"/>
      <c r="I61" s="16">
        <v>332</v>
      </c>
      <c r="J61" s="16"/>
      <c r="K61" s="105">
        <f t="shared" si="1"/>
        <v>4840</v>
      </c>
      <c r="L61" s="107">
        <v>5340</v>
      </c>
      <c r="M61" s="16"/>
      <c r="N61" s="16">
        <v>201</v>
      </c>
      <c r="O61" s="16"/>
      <c r="P61" s="105">
        <f t="shared" si="2"/>
        <v>5541</v>
      </c>
      <c r="Q61" s="2" t="str">
        <f>'TABLA 2'!Q61</f>
        <v>Venezuela</v>
      </c>
      <c r="R61" s="106"/>
      <c r="S61" s="61"/>
      <c r="V61" s="106"/>
      <c r="W61" s="106"/>
    </row>
    <row r="62" spans="1:23" s="1" customFormat="1" ht="10.55" customHeight="1" x14ac:dyDescent="0.25">
      <c r="A62" s="108" t="s">
        <v>29</v>
      </c>
      <c r="B62" s="109">
        <f>SUM(B7:B61)</f>
        <v>654334</v>
      </c>
      <c r="C62" s="110"/>
      <c r="D62" s="110">
        <f>SUM(D7:D61)</f>
        <v>170202</v>
      </c>
      <c r="E62" s="110"/>
      <c r="F62" s="111">
        <f>SUM(F7:F61)</f>
        <v>824536</v>
      </c>
      <c r="G62" s="109">
        <f>SUM(G7:G61)</f>
        <v>824613</v>
      </c>
      <c r="H62" s="110"/>
      <c r="I62" s="110">
        <f>SUM(I7:I61)</f>
        <v>202237</v>
      </c>
      <c r="J62" s="110"/>
      <c r="K62" s="110">
        <f>SUM(K7:K61)</f>
        <v>1026850</v>
      </c>
      <c r="L62" s="109">
        <f>SUM(L7:L61)</f>
        <v>694268</v>
      </c>
      <c r="M62" s="110"/>
      <c r="N62" s="110">
        <f>SUM(N7:N61)</f>
        <v>148858</v>
      </c>
      <c r="O62" s="110"/>
      <c r="P62" s="111">
        <f>SUM(P7:P61)</f>
        <v>843126</v>
      </c>
      <c r="Q62" s="112" t="s">
        <v>29</v>
      </c>
    </row>
    <row r="63" spans="1:23" ht="6.05" customHeight="1" x14ac:dyDescent="0.3">
      <c r="B63" s="113"/>
      <c r="C63" s="113"/>
      <c r="D63" s="113"/>
      <c r="E63" s="113"/>
      <c r="F63" s="113"/>
      <c r="I63" s="113"/>
      <c r="J63" s="113"/>
      <c r="K63" s="113"/>
      <c r="L63" s="113"/>
      <c r="M63" s="113"/>
      <c r="N63" s="113"/>
      <c r="O63" s="113"/>
      <c r="P63" s="113"/>
      <c r="Q63" s="19"/>
    </row>
    <row r="64" spans="1:23" s="114" customFormat="1" ht="9.1999999999999993" customHeight="1" x14ac:dyDescent="0.2">
      <c r="A64" s="114" t="s">
        <v>311</v>
      </c>
      <c r="B64" s="115"/>
      <c r="C64" s="115"/>
      <c r="D64" s="116"/>
      <c r="E64" s="116"/>
      <c r="F64" s="116"/>
      <c r="G64" s="115"/>
      <c r="H64" s="115"/>
      <c r="I64" s="116"/>
      <c r="J64" s="116"/>
      <c r="K64" s="116"/>
      <c r="L64" s="115"/>
      <c r="M64" s="115"/>
      <c r="N64" s="116"/>
      <c r="O64" s="116"/>
      <c r="P64" s="116"/>
      <c r="Q64" s="116"/>
    </row>
    <row r="65" spans="1:17" s="114" customFormat="1" ht="9.1999999999999993" customHeight="1" x14ac:dyDescent="0.2">
      <c r="A65" s="114" t="s">
        <v>181</v>
      </c>
      <c r="B65" s="115"/>
      <c r="C65" s="115"/>
      <c r="D65" s="116"/>
      <c r="E65" s="116"/>
      <c r="F65" s="116"/>
      <c r="G65" s="115"/>
      <c r="H65" s="115"/>
      <c r="I65" s="116"/>
      <c r="J65" s="116"/>
      <c r="K65" s="116"/>
      <c r="L65" s="115"/>
      <c r="M65" s="115"/>
      <c r="N65" s="116"/>
      <c r="O65" s="116"/>
      <c r="P65" s="116"/>
      <c r="Q65" s="116"/>
    </row>
    <row r="66" spans="1:17" s="114" customFormat="1" ht="9.1999999999999993" customHeight="1" x14ac:dyDescent="0.2">
      <c r="A66" s="117" t="s">
        <v>310</v>
      </c>
      <c r="B66" s="115"/>
      <c r="C66" s="115"/>
      <c r="D66" s="116"/>
      <c r="E66" s="116"/>
      <c r="F66" s="116"/>
      <c r="G66" s="115"/>
      <c r="H66" s="115"/>
      <c r="I66" s="116"/>
      <c r="J66" s="116"/>
      <c r="K66" s="116"/>
      <c r="L66" s="115"/>
      <c r="M66" s="115"/>
      <c r="N66" s="116"/>
      <c r="O66" s="116"/>
      <c r="P66" s="116"/>
      <c r="Q66" s="116"/>
    </row>
  </sheetData>
  <mergeCells count="1">
    <mergeCell ref="A1:Q1"/>
  </mergeCells>
  <phoneticPr fontId="0" type="noConversion"/>
  <printOptions horizontalCentered="1"/>
  <pageMargins left="0.78740157480314965" right="0.78740157480314965" top="0.31496062992125984" bottom="0.31496062992125984" header="0" footer="0.39370078740157483"/>
  <pageSetup paperSize="9" scale="81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8"/>
  <sheetViews>
    <sheetView showGridLines="0" zoomScale="115" zoomScaleNormal="115" workbookViewId="0">
      <selection activeCell="D10" sqref="D10"/>
    </sheetView>
  </sheetViews>
  <sheetFormatPr defaultColWidth="11.33203125" defaultRowHeight="10.65" x14ac:dyDescent="0.25"/>
  <cols>
    <col min="1" max="1" width="2.33203125" style="19" customWidth="1"/>
    <col min="2" max="4" width="44.33203125" style="19" customWidth="1"/>
    <col min="5" max="16384" width="11.33203125" style="19"/>
  </cols>
  <sheetData>
    <row r="1" spans="1:4" ht="12.95" customHeight="1" x14ac:dyDescent="0.3">
      <c r="A1" s="150" t="s">
        <v>174</v>
      </c>
      <c r="B1" s="150"/>
      <c r="C1" s="150"/>
      <c r="D1" s="150"/>
    </row>
    <row r="2" spans="1:4" x14ac:dyDescent="0.25">
      <c r="A2" s="44" t="s">
        <v>122</v>
      </c>
    </row>
    <row r="3" spans="1:4" ht="112.95" customHeight="1" x14ac:dyDescent="0.25">
      <c r="A3" s="46" t="s">
        <v>71</v>
      </c>
      <c r="B3" s="47" t="s">
        <v>177</v>
      </c>
      <c r="C3" s="47" t="s">
        <v>178</v>
      </c>
      <c r="D3" s="48" t="s">
        <v>179</v>
      </c>
    </row>
    <row r="4" spans="1:4" ht="48.45" customHeight="1" x14ac:dyDescent="0.25">
      <c r="A4" s="49" t="s">
        <v>72</v>
      </c>
      <c r="B4" s="50" t="s">
        <v>328</v>
      </c>
      <c r="C4" s="50" t="s">
        <v>329</v>
      </c>
      <c r="D4" s="51" t="s">
        <v>330</v>
      </c>
    </row>
    <row r="5" spans="1:4" x14ac:dyDescent="0.25">
      <c r="A5" s="49" t="s">
        <v>73</v>
      </c>
      <c r="B5" s="50" t="s">
        <v>318</v>
      </c>
      <c r="C5" s="50" t="s">
        <v>320</v>
      </c>
      <c r="D5" s="51" t="s">
        <v>331</v>
      </c>
    </row>
    <row r="6" spans="1:4" x14ac:dyDescent="0.25">
      <c r="A6" s="49" t="s">
        <v>74</v>
      </c>
      <c r="B6" s="50" t="s">
        <v>319</v>
      </c>
      <c r="C6" s="50" t="s">
        <v>321</v>
      </c>
      <c r="D6" s="51" t="s">
        <v>322</v>
      </c>
    </row>
    <row r="7" spans="1:4" ht="42.55" x14ac:dyDescent="0.25">
      <c r="A7" s="52" t="s">
        <v>75</v>
      </c>
      <c r="B7" s="53" t="s">
        <v>124</v>
      </c>
      <c r="C7" s="53" t="s">
        <v>125</v>
      </c>
      <c r="D7" s="54" t="s">
        <v>126</v>
      </c>
    </row>
    <row r="8" spans="1:4" x14ac:dyDescent="0.25">
      <c r="A8" s="55" t="s">
        <v>323</v>
      </c>
      <c r="B8" s="56"/>
      <c r="C8" s="56"/>
      <c r="D8" s="56"/>
    </row>
    <row r="9" spans="1:4" x14ac:dyDescent="0.25">
      <c r="A9" s="46" t="s">
        <v>71</v>
      </c>
      <c r="B9" s="47" t="s">
        <v>127</v>
      </c>
      <c r="C9" s="47" t="s">
        <v>128</v>
      </c>
      <c r="D9" s="48" t="s">
        <v>129</v>
      </c>
    </row>
    <row r="10" spans="1:4" ht="21.3" x14ac:dyDescent="0.25">
      <c r="A10" s="49" t="s">
        <v>72</v>
      </c>
      <c r="B10" s="50" t="s">
        <v>130</v>
      </c>
      <c r="C10" s="50" t="s">
        <v>131</v>
      </c>
      <c r="D10" s="51" t="s">
        <v>132</v>
      </c>
    </row>
    <row r="11" spans="1:4" ht="21.3" x14ac:dyDescent="0.25">
      <c r="A11" s="49" t="s">
        <v>73</v>
      </c>
      <c r="B11" s="50" t="s">
        <v>134</v>
      </c>
      <c r="C11" s="50" t="s">
        <v>133</v>
      </c>
      <c r="D11" s="51" t="s">
        <v>135</v>
      </c>
    </row>
    <row r="12" spans="1:4" ht="21.3" x14ac:dyDescent="0.25">
      <c r="A12" s="49" t="s">
        <v>74</v>
      </c>
      <c r="B12" s="50" t="s">
        <v>136</v>
      </c>
      <c r="C12" s="50" t="s">
        <v>137</v>
      </c>
      <c r="D12" s="51" t="s">
        <v>138</v>
      </c>
    </row>
    <row r="13" spans="1:4" ht="21.3" x14ac:dyDescent="0.25">
      <c r="A13" s="49" t="s">
        <v>75</v>
      </c>
      <c r="B13" s="50" t="s">
        <v>139</v>
      </c>
      <c r="C13" s="50" t="s">
        <v>140</v>
      </c>
      <c r="D13" s="51" t="s">
        <v>141</v>
      </c>
    </row>
    <row r="14" spans="1:4" ht="21.3" x14ac:dyDescent="0.25">
      <c r="A14" s="49" t="s">
        <v>76</v>
      </c>
      <c r="B14" s="50" t="s">
        <v>142</v>
      </c>
      <c r="C14" s="50" t="s">
        <v>143</v>
      </c>
      <c r="D14" s="51" t="s">
        <v>144</v>
      </c>
    </row>
    <row r="15" spans="1:4" ht="21.3" x14ac:dyDescent="0.25">
      <c r="A15" s="49" t="s">
        <v>77</v>
      </c>
      <c r="B15" s="50" t="s">
        <v>145</v>
      </c>
      <c r="C15" s="50" t="s">
        <v>146</v>
      </c>
      <c r="D15" s="51" t="s">
        <v>147</v>
      </c>
    </row>
    <row r="16" spans="1:4" x14ac:dyDescent="0.25">
      <c r="A16" s="52" t="s">
        <v>78</v>
      </c>
      <c r="B16" s="53" t="s">
        <v>148</v>
      </c>
      <c r="C16" s="53" t="s">
        <v>149</v>
      </c>
      <c r="D16" s="54" t="s">
        <v>150</v>
      </c>
    </row>
    <row r="17" spans="1:4" x14ac:dyDescent="0.25">
      <c r="A17" s="55" t="s">
        <v>324</v>
      </c>
      <c r="B17" s="56"/>
      <c r="C17" s="56"/>
      <c r="D17" s="56"/>
    </row>
    <row r="18" spans="1:4" x14ac:dyDescent="0.25">
      <c r="A18" s="46" t="s">
        <v>71</v>
      </c>
      <c r="B18" s="47" t="s">
        <v>151</v>
      </c>
      <c r="C18" s="47" t="s">
        <v>152</v>
      </c>
      <c r="D18" s="48" t="s">
        <v>265</v>
      </c>
    </row>
    <row r="19" spans="1:4" x14ac:dyDescent="0.25">
      <c r="A19" s="49" t="s">
        <v>72</v>
      </c>
      <c r="B19" s="50" t="s">
        <v>153</v>
      </c>
      <c r="C19" s="50" t="s">
        <v>154</v>
      </c>
      <c r="D19" s="51" t="s">
        <v>155</v>
      </c>
    </row>
    <row r="20" spans="1:4" x14ac:dyDescent="0.25">
      <c r="A20" s="49" t="s">
        <v>73</v>
      </c>
      <c r="B20" s="50" t="s">
        <v>156</v>
      </c>
      <c r="C20" s="50" t="s">
        <v>157</v>
      </c>
      <c r="D20" s="51" t="s">
        <v>158</v>
      </c>
    </row>
    <row r="21" spans="1:4" ht="21.3" x14ac:dyDescent="0.25">
      <c r="A21" s="49" t="s">
        <v>74</v>
      </c>
      <c r="B21" s="50" t="s">
        <v>159</v>
      </c>
      <c r="C21" s="50" t="s">
        <v>160</v>
      </c>
      <c r="D21" s="51" t="s">
        <v>161</v>
      </c>
    </row>
    <row r="22" spans="1:4" ht="21.3" x14ac:dyDescent="0.25">
      <c r="A22" s="49" t="s">
        <v>75</v>
      </c>
      <c r="B22" s="50" t="s">
        <v>162</v>
      </c>
      <c r="C22" s="50" t="s">
        <v>163</v>
      </c>
      <c r="D22" s="51" t="s">
        <v>164</v>
      </c>
    </row>
    <row r="23" spans="1:4" ht="21.3" x14ac:dyDescent="0.25">
      <c r="A23" s="49" t="s">
        <v>76</v>
      </c>
      <c r="B23" s="50" t="s">
        <v>165</v>
      </c>
      <c r="C23" s="50" t="s">
        <v>166</v>
      </c>
      <c r="D23" s="51" t="s">
        <v>167</v>
      </c>
    </row>
    <row r="24" spans="1:4" ht="21.3" x14ac:dyDescent="0.25">
      <c r="A24" s="49" t="s">
        <v>77</v>
      </c>
      <c r="B24" s="50" t="s">
        <v>168</v>
      </c>
      <c r="C24" s="50" t="s">
        <v>169</v>
      </c>
      <c r="D24" s="51" t="s">
        <v>170</v>
      </c>
    </row>
    <row r="25" spans="1:4" ht="21.3" x14ac:dyDescent="0.25">
      <c r="A25" s="49" t="s">
        <v>78</v>
      </c>
      <c r="B25" s="50" t="s">
        <v>171</v>
      </c>
      <c r="C25" s="50" t="s">
        <v>172</v>
      </c>
      <c r="D25" s="51" t="s">
        <v>173</v>
      </c>
    </row>
    <row r="26" spans="1:4" x14ac:dyDescent="0.25">
      <c r="A26" s="52" t="s">
        <v>79</v>
      </c>
      <c r="B26" s="53" t="s">
        <v>148</v>
      </c>
      <c r="C26" s="53" t="s">
        <v>149</v>
      </c>
      <c r="D26" s="54" t="s">
        <v>150</v>
      </c>
    </row>
    <row r="27" spans="1:4" x14ac:dyDescent="0.25">
      <c r="B27" s="56"/>
      <c r="C27" s="56"/>
      <c r="D27" s="56"/>
    </row>
    <row r="28" spans="1:4" x14ac:dyDescent="0.25">
      <c r="B28" s="56"/>
      <c r="C28" s="56"/>
      <c r="D28" s="56"/>
    </row>
    <row r="29" spans="1:4" x14ac:dyDescent="0.25">
      <c r="B29" s="56"/>
      <c r="C29" s="56"/>
      <c r="D29" s="56"/>
    </row>
    <row r="30" spans="1:4" x14ac:dyDescent="0.25">
      <c r="B30" s="56"/>
      <c r="C30" s="56"/>
      <c r="D30" s="56"/>
    </row>
    <row r="31" spans="1:4" x14ac:dyDescent="0.25">
      <c r="B31" s="56"/>
      <c r="C31" s="56"/>
      <c r="D31" s="56"/>
    </row>
    <row r="32" spans="1:4" x14ac:dyDescent="0.25">
      <c r="B32" s="56"/>
      <c r="C32" s="56"/>
      <c r="D32" s="56"/>
    </row>
    <row r="33" spans="2:4" x14ac:dyDescent="0.25">
      <c r="B33" s="56"/>
      <c r="C33" s="56"/>
      <c r="D33" s="56"/>
    </row>
    <row r="34" spans="2:4" x14ac:dyDescent="0.25">
      <c r="B34" s="56"/>
      <c r="C34" s="56"/>
      <c r="D34" s="56"/>
    </row>
    <row r="35" spans="2:4" x14ac:dyDescent="0.25">
      <c r="B35" s="56"/>
      <c r="C35" s="56"/>
      <c r="D35" s="56"/>
    </row>
    <row r="36" spans="2:4" x14ac:dyDescent="0.25">
      <c r="B36" s="56"/>
      <c r="C36" s="56"/>
      <c r="D36" s="56"/>
    </row>
    <row r="37" spans="2:4" x14ac:dyDescent="0.25">
      <c r="B37" s="56"/>
      <c r="C37" s="56"/>
      <c r="D37" s="56"/>
    </row>
    <row r="38" spans="2:4" x14ac:dyDescent="0.25">
      <c r="B38" s="56"/>
      <c r="C38" s="56"/>
      <c r="D38" s="56"/>
    </row>
  </sheetData>
  <mergeCells count="1">
    <mergeCell ref="A1:D1"/>
  </mergeCells>
  <phoneticPr fontId="1" type="noConversion"/>
  <printOptions horizontalCentered="1" verticalCentered="1"/>
  <pageMargins left="0.59055118110236227" right="0.59055118110236227" top="0.39370078740157483" bottom="0.39370078740157483" header="0" footer="0.19685039370078741"/>
  <pageSetup paperSize="9" scale="9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TABLA 1 PRESUPUESTO</vt:lpstr>
      <vt:lpstr>TABLA 2</vt:lpstr>
      <vt:lpstr>TABLA 3</vt:lpstr>
      <vt:lpstr>TABLA 4</vt:lpstr>
      <vt:lpstr>TABLA 5</vt:lpstr>
      <vt:lpstr>TABLA 6</vt:lpstr>
      <vt:lpstr>TABLA 7 CATCH AND CANNING</vt:lpstr>
      <vt:lpstr>Anexo</vt:lpstr>
      <vt:lpstr>'TABLA 4'!Print_Area</vt:lpstr>
      <vt:lpstr>'TABLA 6'!Print_Area</vt:lpstr>
      <vt:lpstr>'TABLA 7 CATCH AND CANNING'!Print_Area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Protectora</dc:creator>
  <cp:lastModifiedBy>Marisa de Andrés</cp:lastModifiedBy>
  <cp:lastPrinted>2024-11-17T18:59:14Z</cp:lastPrinted>
  <dcterms:created xsi:type="dcterms:W3CDTF">2003-02-19T07:57:37Z</dcterms:created>
  <dcterms:modified xsi:type="dcterms:W3CDTF">2025-11-23T08:01:36Z</dcterms:modified>
</cp:coreProperties>
</file>