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iccat-my.sharepoint.com/personal/beatriz_motos_iccat_int/Documents/Documents/2025/2025_Commission/PA2/614/"/>
    </mc:Choice>
  </mc:AlternateContent>
  <xr:revisionPtr revIDLastSave="29" documentId="8_{A107ADF3-9ABF-45C8-8F2D-2BFDB12D8384}" xr6:coauthVersionLast="47" xr6:coauthVersionMax="47" xr10:uidLastSave="{C3E0E196-D254-413E-8B75-502368E03491}"/>
  <bookViews>
    <workbookView xWindow="-108" yWindow="-108" windowWidth="23256" windowHeight="12456" xr2:uid="{822C507A-2C1A-4EB8-B1FC-823FBCC91C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B28" i="1"/>
  <c r="C28" i="1" s="1"/>
  <c r="D27" i="1"/>
  <c r="D32" i="1" s="1"/>
  <c r="C27" i="1"/>
  <c r="G27" i="1" s="1"/>
  <c r="I26" i="1"/>
  <c r="L26" i="1" s="1"/>
  <c r="C26" i="1"/>
  <c r="G26" i="1" s="1"/>
  <c r="C25" i="1"/>
  <c r="G25" i="1" s="1"/>
  <c r="I25" i="1" s="1"/>
  <c r="C24" i="1"/>
  <c r="G24" i="1" s="1"/>
  <c r="I24" i="1" s="1"/>
  <c r="C23" i="1"/>
  <c r="G23" i="1" s="1"/>
  <c r="I23" i="1" s="1"/>
  <c r="C22" i="1"/>
  <c r="G22" i="1" s="1"/>
  <c r="I22" i="1" s="1"/>
  <c r="C21" i="1"/>
  <c r="G21" i="1" s="1"/>
  <c r="I21" i="1" s="1"/>
  <c r="C20" i="1"/>
  <c r="G20" i="1" s="1"/>
  <c r="I20" i="1" s="1"/>
  <c r="C19" i="1"/>
  <c r="G19" i="1" s="1"/>
  <c r="I19" i="1" s="1"/>
  <c r="C18" i="1"/>
  <c r="G18" i="1" s="1"/>
  <c r="I18" i="1" s="1"/>
  <c r="C17" i="1"/>
  <c r="G17" i="1" s="1"/>
  <c r="I17" i="1" s="1"/>
  <c r="C16" i="1"/>
  <c r="G16" i="1" s="1"/>
  <c r="B15" i="1"/>
  <c r="C14" i="1"/>
  <c r="G14" i="1" s="1"/>
  <c r="C13" i="1"/>
  <c r="G13" i="1" s="1"/>
  <c r="I13" i="1" s="1"/>
  <c r="C12" i="1"/>
  <c r="G12" i="1" s="1"/>
  <c r="I12" i="1" s="1"/>
  <c r="C11" i="1"/>
  <c r="G11" i="1" s="1"/>
  <c r="I11" i="1" s="1"/>
  <c r="C10" i="1"/>
  <c r="G10" i="1" s="1"/>
  <c r="I10" i="1" s="1"/>
  <c r="C9" i="1"/>
  <c r="G9" i="1" s="1"/>
  <c r="I9" i="1" s="1"/>
  <c r="C8" i="1"/>
  <c r="G8" i="1" s="1"/>
  <c r="B32" i="1" l="1"/>
  <c r="J26" i="1"/>
  <c r="C15" i="1"/>
  <c r="C32" i="1" s="1"/>
  <c r="L11" i="1"/>
  <c r="J11" i="1"/>
  <c r="K11" i="1" s="1"/>
  <c r="G28" i="1"/>
  <c r="J12" i="1"/>
  <c r="K12" i="1" s="1"/>
  <c r="L12" i="1"/>
  <c r="L10" i="1"/>
  <c r="J10" i="1"/>
  <c r="K10" i="1" s="1"/>
  <c r="L22" i="1"/>
  <c r="J22" i="1"/>
  <c r="K22" i="1" s="1"/>
  <c r="J23" i="1"/>
  <c r="K23" i="1" s="1"/>
  <c r="L23" i="1"/>
  <c r="L13" i="1"/>
  <c r="J13" i="1"/>
  <c r="K13" i="1" s="1"/>
  <c r="L24" i="1"/>
  <c r="J24" i="1"/>
  <c r="K24" i="1" s="1"/>
  <c r="H14" i="1"/>
  <c r="H28" i="1" s="1"/>
  <c r="L25" i="1"/>
  <c r="J25" i="1"/>
  <c r="K25" i="1" s="1"/>
  <c r="J17" i="1"/>
  <c r="K17" i="1" s="1"/>
  <c r="L17" i="1"/>
  <c r="L18" i="1"/>
  <c r="J18" i="1"/>
  <c r="K18" i="1" s="1"/>
  <c r="L19" i="1"/>
  <c r="J19" i="1"/>
  <c r="K19" i="1" s="1"/>
  <c r="I8" i="1"/>
  <c r="G15" i="1"/>
  <c r="L20" i="1"/>
  <c r="J20" i="1"/>
  <c r="K20" i="1" s="1"/>
  <c r="J9" i="1"/>
  <c r="K9" i="1" s="1"/>
  <c r="L9" i="1"/>
  <c r="L21" i="1"/>
  <c r="J21" i="1"/>
  <c r="K21" i="1" s="1"/>
  <c r="I16" i="1"/>
  <c r="I27" i="1"/>
  <c r="G32" i="1" l="1"/>
  <c r="L8" i="1"/>
  <c r="J8" i="1"/>
  <c r="L27" i="1"/>
  <c r="J27" i="1"/>
  <c r="L16" i="1"/>
  <c r="J16" i="1"/>
  <c r="K16" i="1" s="1"/>
  <c r="I28" i="1"/>
  <c r="L28" i="1" s="1"/>
  <c r="I14" i="1"/>
  <c r="L14" i="1" l="1"/>
  <c r="J14" i="1"/>
  <c r="K14" i="1" s="1"/>
  <c r="K8" i="1"/>
  <c r="I15" i="1"/>
  <c r="I29" i="1" l="1"/>
  <c r="L29" i="1" s="1"/>
  <c r="L15" i="1"/>
  <c r="J32" i="1"/>
  <c r="I32" i="1" l="1"/>
  <c r="L32" i="1" s="1"/>
</calcChain>
</file>

<file path=xl/sharedStrings.xml><?xml version="1.0" encoding="utf-8"?>
<sst xmlns="http://schemas.openxmlformats.org/spreadsheetml/2006/main" count="40" uniqueCount="38">
  <si>
    <t xml:space="preserve">Proyecto de sistema de asignación para el atún rojo en el Atlántico este y Mediterráneo </t>
  </si>
  <si>
    <t>Nuevo TAC</t>
  </si>
  <si>
    <t>Rec. 22-08</t>
  </si>
  <si>
    <t>Porcentajes</t>
  </si>
  <si>
    <t>Asignación a nuevos participantes</t>
  </si>
  <si>
    <t>Utilización</t>
  </si>
  <si>
    <t>Factor de tasa de utilización</t>
  </si>
  <si>
    <t>Aumento prorrateado</t>
  </si>
  <si>
    <t>Condiciones especiales</t>
  </si>
  <si>
    <t>Total</t>
  </si>
  <si>
    <t>Aumento (t)</t>
  </si>
  <si>
    <t>Aumento (%)</t>
  </si>
  <si>
    <t>Nuevo porcentaje</t>
  </si>
  <si>
    <t>UE</t>
  </si>
  <si>
    <t>Marruecos</t>
  </si>
  <si>
    <t>Japón</t>
  </si>
  <si>
    <t>Túnez</t>
  </si>
  <si>
    <t>Türkiye</t>
  </si>
  <si>
    <t>Libia</t>
  </si>
  <si>
    <t>Argelia</t>
  </si>
  <si>
    <t>Subtotal</t>
  </si>
  <si>
    <t>Egipto</t>
  </si>
  <si>
    <t>Noruega</t>
  </si>
  <si>
    <t>Albania</t>
  </si>
  <si>
    <t>Islandia</t>
  </si>
  <si>
    <t>Corea</t>
  </si>
  <si>
    <t>Siria</t>
  </si>
  <si>
    <t>China</t>
  </si>
  <si>
    <t>Taipei Chino</t>
  </si>
  <si>
    <t>Reino Unido</t>
  </si>
  <si>
    <t>Namibia</t>
  </si>
  <si>
    <t>Senegal</t>
  </si>
  <si>
    <t>Panamá</t>
  </si>
  <si>
    <t>Pendiente de asignar</t>
  </si>
  <si>
    <t xml:space="preserve">Investigación </t>
  </si>
  <si>
    <t>Reservas</t>
  </si>
  <si>
    <t>PA2_614_Appendix1/2025</t>
  </si>
  <si>
    <t>TAC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</si>
</sst>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00%"/>
    <numFmt numFmtId="165" formatCode="#,##0.00_ ;[Red]\-#,##0.0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mbria"/>
      <family val="1"/>
    </font>
    <font>
      <i/>
      <sz val="10"/>
      <color theme="1"/>
      <name val="Cambria"/>
      <family val="1"/>
    </font>
    <font>
      <b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1" fontId="2" fillId="0" borderId="0" xfId="1" applyFont="1" applyAlignment="1">
      <alignment vertical="center"/>
    </xf>
    <xf numFmtId="40" fontId="2" fillId="0" borderId="0" xfId="1" applyNumberFormat="1" applyFont="1" applyAlignment="1">
      <alignment vertical="center"/>
    </xf>
    <xf numFmtId="10" fontId="2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1" fontId="3" fillId="0" borderId="0" xfId="1" applyFont="1" applyAlignment="1">
      <alignment vertical="center"/>
    </xf>
    <xf numFmtId="41" fontId="2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0" fontId="3" fillId="0" borderId="2" xfId="1" applyNumberFormat="1" applyFont="1" applyBorder="1" applyAlignment="1">
      <alignment horizontal="center" vertical="center" wrapText="1"/>
    </xf>
    <xf numFmtId="40" fontId="3" fillId="0" borderId="2" xfId="1" applyNumberFormat="1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164" fontId="2" fillId="0" borderId="2" xfId="2" applyNumberFormat="1" applyFont="1" applyBorder="1" applyAlignment="1">
      <alignment vertical="center"/>
    </xf>
    <xf numFmtId="10" fontId="2" fillId="0" borderId="2" xfId="2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164" fontId="2" fillId="0" borderId="2" xfId="2" applyNumberFormat="1" applyFont="1" applyFill="1" applyBorder="1" applyAlignment="1">
      <alignment vertical="center"/>
    </xf>
    <xf numFmtId="164" fontId="2" fillId="2" borderId="2" xfId="2" applyNumberFormat="1" applyFont="1" applyFill="1" applyBorder="1" applyAlignment="1">
      <alignment vertical="center"/>
    </xf>
    <xf numFmtId="40" fontId="2" fillId="2" borderId="2" xfId="1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2" fillId="0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1" fontId="2" fillId="3" borderId="2" xfId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40" fontId="2" fillId="3" borderId="2" xfId="1" applyNumberFormat="1" applyFont="1" applyFill="1" applyBorder="1" applyAlignment="1">
      <alignment vertical="center"/>
    </xf>
    <xf numFmtId="10" fontId="2" fillId="3" borderId="2" xfId="2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38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1" fontId="4" fillId="0" borderId="2" xfId="1" applyFont="1" applyFill="1" applyBorder="1" applyAlignment="1">
      <alignment vertical="center"/>
    </xf>
    <xf numFmtId="10" fontId="4" fillId="0" borderId="2" xfId="2" applyNumberFormat="1" applyFont="1" applyFill="1" applyBorder="1" applyAlignment="1">
      <alignment vertical="center"/>
    </xf>
    <xf numFmtId="41" fontId="4" fillId="0" borderId="2" xfId="1" applyFont="1" applyBorder="1" applyAlignment="1">
      <alignment vertical="center"/>
    </xf>
    <xf numFmtId="40" fontId="4" fillId="0" borderId="2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F0FE-3F6E-4A64-A1C0-2EF20C26B9CB}">
  <dimension ref="A1:N32"/>
  <sheetViews>
    <sheetView tabSelected="1" workbookViewId="0">
      <selection activeCell="A29" sqref="A29"/>
    </sheetView>
  </sheetViews>
  <sheetFormatPr defaultRowHeight="14.4" x14ac:dyDescent="0.3"/>
  <cols>
    <col min="1" max="1" width="13.33203125" style="7" bestFit="1" customWidth="1"/>
    <col min="2" max="2" width="8.88671875" style="7"/>
    <col min="3" max="3" width="10" style="7" customWidth="1"/>
    <col min="4" max="4" width="12.6640625" style="7" customWidth="1"/>
    <col min="5" max="6" width="9.88671875" style="7" customWidth="1"/>
    <col min="7" max="7" width="11.21875" style="7" customWidth="1"/>
    <col min="8" max="8" width="10.88671875" style="7" customWidth="1"/>
    <col min="9" max="9" width="10.77734375" style="7" customWidth="1"/>
    <col min="10" max="10" width="10.88671875" style="7" customWidth="1"/>
    <col min="11" max="11" width="8.88671875" style="7"/>
    <col min="12" max="12" width="10.5546875" style="7" customWidth="1"/>
    <col min="13" max="13" width="9.77734375" style="7" bestFit="1" customWidth="1"/>
    <col min="14" max="16384" width="8.88671875" style="7"/>
  </cols>
  <sheetData>
    <row r="1" spans="1:14" x14ac:dyDescent="0.3">
      <c r="H1" s="43" t="s">
        <v>36</v>
      </c>
      <c r="I1" s="44"/>
      <c r="J1" s="44"/>
      <c r="K1" s="44"/>
      <c r="L1" s="44"/>
    </row>
    <row r="2" spans="1:14" x14ac:dyDescent="0.3">
      <c r="H2" s="39"/>
      <c r="I2" s="40"/>
      <c r="J2" s="40"/>
      <c r="K2" s="40"/>
      <c r="L2" s="40"/>
    </row>
    <row r="3" spans="1:14" x14ac:dyDescent="0.3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5" spans="1:14" x14ac:dyDescent="0.3">
      <c r="A5" s="1"/>
      <c r="B5" s="41" t="s">
        <v>37</v>
      </c>
      <c r="C5" s="41"/>
      <c r="D5" s="2" t="s">
        <v>1</v>
      </c>
      <c r="E5" s="3"/>
      <c r="F5" s="3"/>
      <c r="G5" s="4"/>
      <c r="H5" s="4"/>
      <c r="I5" s="4"/>
      <c r="J5" s="4"/>
      <c r="K5" s="5"/>
      <c r="L5" s="6"/>
    </row>
    <row r="6" spans="1:14" x14ac:dyDescent="0.3">
      <c r="A6" s="1"/>
      <c r="B6" s="42">
        <v>40570</v>
      </c>
      <c r="C6" s="42"/>
      <c r="D6" s="8">
        <v>48403</v>
      </c>
      <c r="E6" s="3"/>
      <c r="F6" s="3"/>
      <c r="G6" s="4"/>
      <c r="H6" s="4"/>
      <c r="I6" s="4"/>
      <c r="J6" s="4"/>
      <c r="K6" s="5"/>
      <c r="L6" s="1"/>
    </row>
    <row r="7" spans="1:14" ht="39.6" x14ac:dyDescent="0.3">
      <c r="A7" s="9"/>
      <c r="B7" s="10" t="s">
        <v>2</v>
      </c>
      <c r="C7" s="11" t="s">
        <v>3</v>
      </c>
      <c r="D7" s="12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4" t="s">
        <v>9</v>
      </c>
      <c r="J7" s="13" t="s">
        <v>10</v>
      </c>
      <c r="K7" s="15" t="s">
        <v>11</v>
      </c>
      <c r="L7" s="12" t="s">
        <v>12</v>
      </c>
    </row>
    <row r="8" spans="1:14" x14ac:dyDescent="0.3">
      <c r="A8" s="16" t="s">
        <v>13</v>
      </c>
      <c r="B8" s="17">
        <v>21503</v>
      </c>
      <c r="C8" s="18">
        <f t="shared" ref="C8:C28" si="0">B8/($B$6-$B$30-$B$31)</f>
        <v>0.53050600745071919</v>
      </c>
      <c r="D8" s="18"/>
      <c r="E8" s="19">
        <v>0.97589999999999999</v>
      </c>
      <c r="F8" s="17">
        <v>1</v>
      </c>
      <c r="G8" s="20">
        <f t="shared" ref="G8:G14" si="1">($D$6-$B$6)*C8*F8</f>
        <v>4155.4535563614836</v>
      </c>
      <c r="H8" s="20"/>
      <c r="I8" s="20">
        <f t="shared" ref="I8:I13" si="2">+B8+G8</f>
        <v>25658.453556361485</v>
      </c>
      <c r="J8" s="20">
        <f t="shared" ref="J8:J14" si="3">+I8-B8</f>
        <v>4155.4535563614845</v>
      </c>
      <c r="K8" s="19">
        <f t="shared" ref="K8:K14" si="4">+J8/B8</f>
        <v>0.19324994448967514</v>
      </c>
      <c r="L8" s="21">
        <f t="shared" ref="L8:L14" si="5">I8/($D$6-37)</f>
        <v>0.53050600745071919</v>
      </c>
    </row>
    <row r="9" spans="1:14" x14ac:dyDescent="0.3">
      <c r="A9" s="16" t="s">
        <v>14</v>
      </c>
      <c r="B9" s="17">
        <v>3700</v>
      </c>
      <c r="C9" s="18">
        <f t="shared" si="0"/>
        <v>9.1283645424715662E-2</v>
      </c>
      <c r="D9" s="18"/>
      <c r="E9" s="19">
        <v>0.98419999999999996</v>
      </c>
      <c r="F9" s="17">
        <v>1</v>
      </c>
      <c r="G9" s="20">
        <f t="shared" si="1"/>
        <v>715.0247946117978</v>
      </c>
      <c r="H9" s="20"/>
      <c r="I9" s="20">
        <f t="shared" si="2"/>
        <v>4415.0247946117979</v>
      </c>
      <c r="J9" s="20">
        <f t="shared" si="3"/>
        <v>715.02479461179792</v>
      </c>
      <c r="K9" s="19">
        <f t="shared" si="4"/>
        <v>0.19324994448967511</v>
      </c>
      <c r="L9" s="21">
        <f t="shared" si="5"/>
        <v>9.1283645424715662E-2</v>
      </c>
    </row>
    <row r="10" spans="1:14" x14ac:dyDescent="0.3">
      <c r="A10" s="16" t="s">
        <v>15</v>
      </c>
      <c r="B10" s="17">
        <v>3114</v>
      </c>
      <c r="C10" s="18">
        <f t="shared" si="0"/>
        <v>7.6826289689882324E-2</v>
      </c>
      <c r="D10" s="18"/>
      <c r="E10" s="19">
        <v>0.97570000000000001</v>
      </c>
      <c r="F10" s="17">
        <v>1</v>
      </c>
      <c r="G10" s="20">
        <f t="shared" si="1"/>
        <v>601.78032714084827</v>
      </c>
      <c r="H10" s="20"/>
      <c r="I10" s="20">
        <f t="shared" si="2"/>
        <v>3715.7803271408484</v>
      </c>
      <c r="J10" s="20">
        <f t="shared" si="3"/>
        <v>601.78032714084839</v>
      </c>
      <c r="K10" s="19">
        <f t="shared" si="4"/>
        <v>0.19324994448967514</v>
      </c>
      <c r="L10" s="21">
        <f t="shared" si="5"/>
        <v>7.6826289689882324E-2</v>
      </c>
    </row>
    <row r="11" spans="1:14" x14ac:dyDescent="0.3">
      <c r="A11" s="16" t="s">
        <v>16</v>
      </c>
      <c r="B11" s="17">
        <v>3000</v>
      </c>
      <c r="C11" s="18">
        <f t="shared" si="0"/>
        <v>7.4013766560580271E-2</v>
      </c>
      <c r="D11" s="18"/>
      <c r="E11" s="19">
        <v>0.998</v>
      </c>
      <c r="F11" s="17">
        <v>1</v>
      </c>
      <c r="G11" s="20">
        <f t="shared" si="1"/>
        <v>579.74983346902525</v>
      </c>
      <c r="H11" s="20"/>
      <c r="I11" s="20">
        <f t="shared" si="2"/>
        <v>3579.7498334690254</v>
      </c>
      <c r="J11" s="20">
        <f t="shared" si="3"/>
        <v>579.74983346902536</v>
      </c>
      <c r="K11" s="19">
        <f t="shared" si="4"/>
        <v>0.19324994448967511</v>
      </c>
      <c r="L11" s="21">
        <f t="shared" si="5"/>
        <v>7.4013766560580271E-2</v>
      </c>
    </row>
    <row r="12" spans="1:14" x14ac:dyDescent="0.3">
      <c r="A12" s="16" t="s">
        <v>17</v>
      </c>
      <c r="B12" s="17">
        <v>2600</v>
      </c>
      <c r="C12" s="18">
        <f t="shared" si="0"/>
        <v>6.4145264352502895E-2</v>
      </c>
      <c r="D12" s="18"/>
      <c r="E12" s="19">
        <v>1.2464999999999999</v>
      </c>
      <c r="F12" s="17">
        <v>1</v>
      </c>
      <c r="G12" s="20">
        <f t="shared" si="1"/>
        <v>502.44985567315518</v>
      </c>
      <c r="H12" s="20"/>
      <c r="I12" s="20">
        <f t="shared" si="2"/>
        <v>3102.4498556731551</v>
      </c>
      <c r="J12" s="20">
        <f t="shared" si="3"/>
        <v>502.44985567315507</v>
      </c>
      <c r="K12" s="19">
        <f t="shared" si="4"/>
        <v>0.19324994448967503</v>
      </c>
      <c r="L12" s="21">
        <f t="shared" si="5"/>
        <v>6.4145264352502895E-2</v>
      </c>
    </row>
    <row r="13" spans="1:14" x14ac:dyDescent="0.3">
      <c r="A13" s="16" t="s">
        <v>18</v>
      </c>
      <c r="B13" s="17">
        <v>2548</v>
      </c>
      <c r="C13" s="18">
        <f t="shared" si="0"/>
        <v>6.2862359065452844E-2</v>
      </c>
      <c r="D13" s="18"/>
      <c r="E13" s="19">
        <v>0.99609999999999999</v>
      </c>
      <c r="F13" s="17">
        <v>1</v>
      </c>
      <c r="G13" s="20">
        <f t="shared" si="1"/>
        <v>492.40085855969215</v>
      </c>
      <c r="H13" s="20"/>
      <c r="I13" s="20">
        <f t="shared" si="2"/>
        <v>3040.4008585596921</v>
      </c>
      <c r="J13" s="20">
        <f t="shared" si="3"/>
        <v>492.4008585596921</v>
      </c>
      <c r="K13" s="19">
        <f t="shared" si="4"/>
        <v>0.19324994448967509</v>
      </c>
      <c r="L13" s="21">
        <f t="shared" si="5"/>
        <v>6.2862359065452844E-2</v>
      </c>
    </row>
    <row r="14" spans="1:14" x14ac:dyDescent="0.3">
      <c r="A14" s="16" t="s">
        <v>19</v>
      </c>
      <c r="B14" s="17">
        <v>2023</v>
      </c>
      <c r="C14" s="18">
        <f t="shared" si="0"/>
        <v>4.9909949917351294E-2</v>
      </c>
      <c r="D14" s="18"/>
      <c r="E14" s="19">
        <v>0.99019999999999997</v>
      </c>
      <c r="F14" s="17">
        <v>1</v>
      </c>
      <c r="G14" s="20">
        <f t="shared" si="1"/>
        <v>390.94463770261268</v>
      </c>
      <c r="H14" s="20">
        <f>(D6*0.05)-(B14+G14)</f>
        <v>6.2053622973876372</v>
      </c>
      <c r="I14" s="20">
        <f>+B14+G14+H14</f>
        <v>2420.15</v>
      </c>
      <c r="J14" s="20">
        <f t="shared" si="3"/>
        <v>397.15000000000009</v>
      </c>
      <c r="K14" s="19">
        <f t="shared" si="4"/>
        <v>0.19631735046959964</v>
      </c>
      <c r="L14" s="21">
        <f t="shared" si="5"/>
        <v>5.0038250010337841E-2</v>
      </c>
    </row>
    <row r="15" spans="1:14" x14ac:dyDescent="0.3">
      <c r="A15" s="16" t="s">
        <v>20</v>
      </c>
      <c r="B15" s="17">
        <f>SUM(B8:B14)</f>
        <v>38488</v>
      </c>
      <c r="C15" s="22">
        <f t="shared" si="0"/>
        <v>0.94954728246120446</v>
      </c>
      <c r="D15" s="18"/>
      <c r="E15" s="19"/>
      <c r="F15" s="17"/>
      <c r="G15" s="23">
        <f>SUM(G8:G14)</f>
        <v>7437.8038635186149</v>
      </c>
      <c r="H15" s="23"/>
      <c r="I15" s="23">
        <f>SUM(I8:I14)</f>
        <v>45932.009225816</v>
      </c>
      <c r="J15" s="20"/>
      <c r="K15" s="19"/>
      <c r="L15" s="22">
        <f>I15/($D$6-I30-I31)</f>
        <v>0.94967558255419093</v>
      </c>
      <c r="N15" s="24"/>
    </row>
    <row r="16" spans="1:14" x14ac:dyDescent="0.3">
      <c r="A16" s="16" t="s">
        <v>21</v>
      </c>
      <c r="B16" s="17">
        <v>513</v>
      </c>
      <c r="C16" s="18">
        <f t="shared" si="0"/>
        <v>1.2656354081859226E-2</v>
      </c>
      <c r="D16" s="18"/>
      <c r="E16" s="19">
        <v>0</v>
      </c>
      <c r="F16" s="20">
        <v>0</v>
      </c>
      <c r="G16" s="20">
        <f t="shared" ref="G16:G27" si="6">($D$6-$B$6)*F16*C16</f>
        <v>0</v>
      </c>
      <c r="H16" s="20"/>
      <c r="I16" s="20">
        <f t="shared" ref="I16:I23" si="7">+B16+G16</f>
        <v>513</v>
      </c>
      <c r="J16" s="20">
        <f t="shared" ref="J16:J27" si="8">+I16-B16</f>
        <v>0</v>
      </c>
      <c r="K16" s="19">
        <f t="shared" ref="K16:K25" si="9">+J16/B16</f>
        <v>0</v>
      </c>
      <c r="L16" s="21">
        <f t="shared" ref="L16:L27" si="10">I16/($D$6-37)</f>
        <v>1.0606624488276888E-2</v>
      </c>
    </row>
    <row r="17" spans="1:13" x14ac:dyDescent="0.3">
      <c r="A17" s="16" t="s">
        <v>22</v>
      </c>
      <c r="B17" s="17">
        <v>368</v>
      </c>
      <c r="C17" s="18">
        <f t="shared" si="0"/>
        <v>9.0790220314311797E-3</v>
      </c>
      <c r="D17" s="18"/>
      <c r="E17" s="19">
        <v>0.35820000000000002</v>
      </c>
      <c r="F17" s="20">
        <v>0</v>
      </c>
      <c r="G17" s="20">
        <f t="shared" si="6"/>
        <v>0</v>
      </c>
      <c r="H17" s="20"/>
      <c r="I17" s="20">
        <f t="shared" si="7"/>
        <v>368</v>
      </c>
      <c r="J17" s="20">
        <f t="shared" si="8"/>
        <v>0</v>
      </c>
      <c r="K17" s="19">
        <f t="shared" si="9"/>
        <v>0</v>
      </c>
      <c r="L17" s="21">
        <f t="shared" si="10"/>
        <v>7.6086507050407313E-3</v>
      </c>
    </row>
    <row r="18" spans="1:13" x14ac:dyDescent="0.3">
      <c r="A18" s="16" t="s">
        <v>23</v>
      </c>
      <c r="B18" s="17">
        <v>264</v>
      </c>
      <c r="C18" s="18">
        <f t="shared" si="0"/>
        <v>6.5132114573310633E-3</v>
      </c>
      <c r="D18" s="18"/>
      <c r="E18" s="19">
        <v>0.99780000000000002</v>
      </c>
      <c r="F18" s="20">
        <v>1</v>
      </c>
      <c r="G18" s="20">
        <f t="shared" si="6"/>
        <v>51.017985345274219</v>
      </c>
      <c r="H18" s="20"/>
      <c r="I18" s="20">
        <f t="shared" si="7"/>
        <v>315.01798534527421</v>
      </c>
      <c r="J18" s="20">
        <f t="shared" si="8"/>
        <v>51.017985345274212</v>
      </c>
      <c r="K18" s="19">
        <f t="shared" si="9"/>
        <v>0.19324994448967506</v>
      </c>
      <c r="L18" s="21">
        <f t="shared" si="10"/>
        <v>6.5132114573310633E-3</v>
      </c>
    </row>
    <row r="19" spans="1:13" x14ac:dyDescent="0.3">
      <c r="A19" s="16" t="s">
        <v>24</v>
      </c>
      <c r="B19" s="17">
        <v>224</v>
      </c>
      <c r="C19" s="18">
        <f t="shared" si="0"/>
        <v>5.5263612365233266E-3</v>
      </c>
      <c r="D19" s="18"/>
      <c r="E19" s="19">
        <v>5.8999999999999999E-3</v>
      </c>
      <c r="F19" s="20">
        <v>0</v>
      </c>
      <c r="G19" s="20">
        <f t="shared" si="6"/>
        <v>0</v>
      </c>
      <c r="H19" s="20"/>
      <c r="I19" s="20">
        <f t="shared" si="7"/>
        <v>224</v>
      </c>
      <c r="J19" s="20">
        <f t="shared" si="8"/>
        <v>0</v>
      </c>
      <c r="K19" s="19">
        <f t="shared" si="9"/>
        <v>0</v>
      </c>
      <c r="L19" s="21">
        <f t="shared" si="10"/>
        <v>4.6313526030682707E-3</v>
      </c>
    </row>
    <row r="20" spans="1:13" x14ac:dyDescent="0.3">
      <c r="A20" s="16" t="s">
        <v>25</v>
      </c>
      <c r="B20" s="17">
        <v>221</v>
      </c>
      <c r="C20" s="18">
        <f t="shared" si="0"/>
        <v>5.4523474699627464E-3</v>
      </c>
      <c r="D20" s="18"/>
      <c r="E20" s="19">
        <v>1.2251000000000001</v>
      </c>
      <c r="F20" s="20">
        <v>1</v>
      </c>
      <c r="G20" s="20">
        <f t="shared" si="6"/>
        <v>42.708237732218194</v>
      </c>
      <c r="H20" s="20"/>
      <c r="I20" s="20">
        <f t="shared" si="7"/>
        <v>263.70823773221821</v>
      </c>
      <c r="J20" s="20">
        <f t="shared" si="8"/>
        <v>42.708237732218208</v>
      </c>
      <c r="K20" s="19">
        <f t="shared" si="9"/>
        <v>0.19324994448967514</v>
      </c>
      <c r="L20" s="21">
        <f t="shared" si="10"/>
        <v>5.4523474699627464E-3</v>
      </c>
    </row>
    <row r="21" spans="1:13" x14ac:dyDescent="0.3">
      <c r="A21" s="16" t="s">
        <v>26</v>
      </c>
      <c r="B21" s="17">
        <v>129</v>
      </c>
      <c r="C21" s="18">
        <f t="shared" si="0"/>
        <v>3.1825919621049515E-3</v>
      </c>
      <c r="D21" s="18"/>
      <c r="E21" s="19">
        <v>0</v>
      </c>
      <c r="F21" s="20">
        <v>0</v>
      </c>
      <c r="G21" s="20">
        <f t="shared" si="6"/>
        <v>0</v>
      </c>
      <c r="H21" s="20"/>
      <c r="I21" s="20">
        <f t="shared" si="7"/>
        <v>129</v>
      </c>
      <c r="J21" s="20">
        <f t="shared" si="8"/>
        <v>0</v>
      </c>
      <c r="K21" s="19">
        <f t="shared" si="9"/>
        <v>0</v>
      </c>
      <c r="L21" s="21">
        <f t="shared" si="10"/>
        <v>2.6671628830169953E-3</v>
      </c>
    </row>
    <row r="22" spans="1:13" x14ac:dyDescent="0.3">
      <c r="A22" s="16" t="s">
        <v>27</v>
      </c>
      <c r="B22" s="17">
        <v>112</v>
      </c>
      <c r="C22" s="18">
        <f t="shared" si="0"/>
        <v>2.7631806182616633E-3</v>
      </c>
      <c r="D22" s="18"/>
      <c r="E22" s="19">
        <v>1.0196000000000001</v>
      </c>
      <c r="F22" s="20">
        <v>1</v>
      </c>
      <c r="G22" s="20">
        <f t="shared" si="6"/>
        <v>21.643993782843609</v>
      </c>
      <c r="H22" s="20"/>
      <c r="I22" s="20">
        <f t="shared" si="7"/>
        <v>133.64399378284361</v>
      </c>
      <c r="J22" s="20">
        <f t="shared" si="8"/>
        <v>21.643993782843609</v>
      </c>
      <c r="K22" s="19">
        <f t="shared" si="9"/>
        <v>0.19324994448967509</v>
      </c>
      <c r="L22" s="21">
        <f t="shared" si="10"/>
        <v>2.7631806182616633E-3</v>
      </c>
    </row>
    <row r="23" spans="1:13" x14ac:dyDescent="0.3">
      <c r="A23" s="16" t="s">
        <v>28</v>
      </c>
      <c r="B23" s="17">
        <v>101</v>
      </c>
      <c r="C23" s="18">
        <f t="shared" si="0"/>
        <v>2.4917968075395358E-3</v>
      </c>
      <c r="D23" s="18"/>
      <c r="E23" s="19">
        <v>0</v>
      </c>
      <c r="F23" s="20">
        <v>0</v>
      </c>
      <c r="G23" s="20">
        <f t="shared" si="6"/>
        <v>0</v>
      </c>
      <c r="H23" s="20"/>
      <c r="I23" s="20">
        <f t="shared" si="7"/>
        <v>101</v>
      </c>
      <c r="J23" s="20">
        <f t="shared" si="8"/>
        <v>0</v>
      </c>
      <c r="K23" s="19">
        <f t="shared" si="9"/>
        <v>0</v>
      </c>
      <c r="L23" s="21">
        <f t="shared" si="10"/>
        <v>2.0882438076334615E-3</v>
      </c>
    </row>
    <row r="24" spans="1:13" x14ac:dyDescent="0.3">
      <c r="A24" s="16" t="s">
        <v>29</v>
      </c>
      <c r="B24" s="17">
        <v>63</v>
      </c>
      <c r="C24" s="18">
        <f t="shared" si="0"/>
        <v>1.5542890977721857E-3</v>
      </c>
      <c r="D24" s="18"/>
      <c r="E24" s="19">
        <v>0.4909</v>
      </c>
      <c r="F24" s="20">
        <v>1</v>
      </c>
      <c r="G24" s="20">
        <f t="shared" si="6"/>
        <v>12.17474650284953</v>
      </c>
      <c r="H24" s="20">
        <v>125</v>
      </c>
      <c r="I24" s="20">
        <f>+B24+G24+H24</f>
        <v>200.17474650284953</v>
      </c>
      <c r="J24" s="20">
        <f t="shared" si="8"/>
        <v>137.17474650284953</v>
      </c>
      <c r="K24" s="19">
        <f t="shared" si="9"/>
        <v>2.1773769286166593</v>
      </c>
      <c r="L24" s="21">
        <f t="shared" si="10"/>
        <v>4.1387492557343909E-3</v>
      </c>
    </row>
    <row r="25" spans="1:13" x14ac:dyDescent="0.3">
      <c r="A25" s="16" t="s">
        <v>30</v>
      </c>
      <c r="B25" s="17">
        <v>50</v>
      </c>
      <c r="C25" s="18">
        <f t="shared" si="0"/>
        <v>1.2335627760096711E-3</v>
      </c>
      <c r="D25" s="18"/>
      <c r="E25" s="19">
        <v>0</v>
      </c>
      <c r="F25" s="20">
        <v>0</v>
      </c>
      <c r="G25" s="20">
        <f t="shared" si="6"/>
        <v>0</v>
      </c>
      <c r="H25" s="20"/>
      <c r="I25" s="20">
        <f>+B25+G25</f>
        <v>50</v>
      </c>
      <c r="J25" s="20">
        <f t="shared" si="8"/>
        <v>0</v>
      </c>
      <c r="K25" s="19">
        <f t="shared" si="9"/>
        <v>0</v>
      </c>
      <c r="L25" s="21">
        <f t="shared" si="10"/>
        <v>1.0337840631848819E-3</v>
      </c>
    </row>
    <row r="26" spans="1:13" x14ac:dyDescent="0.3">
      <c r="A26" s="16" t="s">
        <v>31</v>
      </c>
      <c r="B26" s="17">
        <v>0</v>
      </c>
      <c r="C26" s="18">
        <f t="shared" si="0"/>
        <v>0</v>
      </c>
      <c r="D26" s="25">
        <v>50</v>
      </c>
      <c r="E26" s="17"/>
      <c r="F26" s="20">
        <v>0</v>
      </c>
      <c r="G26" s="20">
        <f t="shared" si="6"/>
        <v>0</v>
      </c>
      <c r="H26" s="20"/>
      <c r="I26" s="20">
        <f>D26</f>
        <v>50</v>
      </c>
      <c r="J26" s="20">
        <f t="shared" si="8"/>
        <v>50</v>
      </c>
      <c r="K26" s="19"/>
      <c r="L26" s="21">
        <f t="shared" si="10"/>
        <v>1.0337840631848819E-3</v>
      </c>
    </row>
    <row r="27" spans="1:13" x14ac:dyDescent="0.3">
      <c r="A27" s="16" t="s">
        <v>32</v>
      </c>
      <c r="B27" s="17">
        <v>0</v>
      </c>
      <c r="C27" s="18">
        <f t="shared" si="0"/>
        <v>0</v>
      </c>
      <c r="D27" s="25">
        <f>+D26</f>
        <v>50</v>
      </c>
      <c r="E27" s="17"/>
      <c r="F27" s="20">
        <v>0</v>
      </c>
      <c r="G27" s="20">
        <f t="shared" si="6"/>
        <v>0</v>
      </c>
      <c r="H27" s="20"/>
      <c r="I27" s="20">
        <f>D27</f>
        <v>50</v>
      </c>
      <c r="J27" s="20">
        <f t="shared" si="8"/>
        <v>50</v>
      </c>
      <c r="K27" s="19"/>
      <c r="L27" s="21">
        <f t="shared" si="10"/>
        <v>1.0337840631848819E-3</v>
      </c>
    </row>
    <row r="28" spans="1:13" x14ac:dyDescent="0.3">
      <c r="A28" s="16" t="s">
        <v>20</v>
      </c>
      <c r="B28" s="17">
        <f>SUM(B16:B27)</f>
        <v>2045</v>
      </c>
      <c r="C28" s="22">
        <f t="shared" si="0"/>
        <v>5.0452717538795551E-2</v>
      </c>
      <c r="D28" s="18"/>
      <c r="E28" s="17"/>
      <c r="F28" s="17"/>
      <c r="G28" s="23">
        <f>SUM(G16:G27)</f>
        <v>127.54496336318556</v>
      </c>
      <c r="H28" s="23">
        <f>SUM(H8:H27)</f>
        <v>131.20536229738764</v>
      </c>
      <c r="I28" s="23">
        <f>SUM(I16:I27)</f>
        <v>2397.5449633631852</v>
      </c>
      <c r="J28" s="20"/>
      <c r="K28" s="19"/>
      <c r="L28" s="22">
        <f>I28/($D$6-I30-I31)</f>
        <v>4.9570875477880846E-2</v>
      </c>
    </row>
    <row r="29" spans="1:13" x14ac:dyDescent="0.3">
      <c r="A29" s="26" t="s">
        <v>33</v>
      </c>
      <c r="B29" s="27"/>
      <c r="C29" s="28"/>
      <c r="D29" s="28"/>
      <c r="E29" s="27"/>
      <c r="F29" s="27"/>
      <c r="G29" s="29"/>
      <c r="H29" s="29"/>
      <c r="I29" s="29">
        <f>D6-I15-I28-I30-I31</f>
        <v>36.445810820814586</v>
      </c>
      <c r="J29" s="29"/>
      <c r="K29" s="30"/>
      <c r="L29" s="28">
        <f>I29/D6</f>
        <v>7.5296594882165544E-4</v>
      </c>
    </row>
    <row r="30" spans="1:13" x14ac:dyDescent="0.3">
      <c r="A30" s="16" t="s">
        <v>34</v>
      </c>
      <c r="B30" s="17">
        <v>20</v>
      </c>
      <c r="C30" s="18"/>
      <c r="D30" s="18"/>
      <c r="E30" s="17"/>
      <c r="F30" s="17"/>
      <c r="G30" s="20"/>
      <c r="H30" s="20"/>
      <c r="I30" s="20">
        <v>20</v>
      </c>
      <c r="J30" s="20">
        <f>+I30-B30</f>
        <v>0</v>
      </c>
      <c r="K30" s="19"/>
      <c r="L30" s="18"/>
    </row>
    <row r="31" spans="1:13" x14ac:dyDescent="0.3">
      <c r="A31" s="31" t="s">
        <v>35</v>
      </c>
      <c r="B31" s="32">
        <v>17</v>
      </c>
      <c r="C31" s="18"/>
      <c r="D31" s="16"/>
      <c r="E31" s="17"/>
      <c r="F31" s="20"/>
      <c r="G31" s="20"/>
      <c r="H31" s="20"/>
      <c r="I31" s="20">
        <v>17</v>
      </c>
      <c r="J31" s="20">
        <f>+I31-B31</f>
        <v>0</v>
      </c>
      <c r="K31" s="19"/>
      <c r="L31" s="18"/>
    </row>
    <row r="32" spans="1:13" x14ac:dyDescent="0.3">
      <c r="A32" s="33" t="s">
        <v>9</v>
      </c>
      <c r="B32" s="34">
        <f>+B15+B28+B30+B31</f>
        <v>40570</v>
      </c>
      <c r="C32" s="35">
        <f>+C15+C28+C31</f>
        <v>1</v>
      </c>
      <c r="D32" s="33">
        <f>SUM(D26:D27)</f>
        <v>100</v>
      </c>
      <c r="E32" s="36"/>
      <c r="F32" s="36"/>
      <c r="G32" s="37">
        <f>+G15+G28</f>
        <v>7565.3488268818001</v>
      </c>
      <c r="H32" s="37"/>
      <c r="I32" s="37">
        <f>+I15+I28+I30+I31+I29</f>
        <v>48403</v>
      </c>
      <c r="J32" s="37">
        <f>SUM(J8:J31)</f>
        <v>7796.55418917919</v>
      </c>
      <c r="K32" s="35"/>
      <c r="L32" s="18">
        <f>I32/$D$6</f>
        <v>1</v>
      </c>
      <c r="M32" s="38"/>
    </row>
  </sheetData>
  <mergeCells count="4">
    <mergeCell ref="B5:C5"/>
    <mergeCell ref="B6:C6"/>
    <mergeCell ref="H1:L1"/>
    <mergeCell ref="A3:L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F78C904FD5D479F9D99C5899B7D55" ma:contentTypeVersion="18" ma:contentTypeDescription="Create a new document." ma:contentTypeScope="" ma:versionID="fcf7daab4c7946db9108a330e12ae09d">
  <xsd:schema xmlns:xsd="http://www.w3.org/2001/XMLSchema" xmlns:xs="http://www.w3.org/2001/XMLSchema" xmlns:p="http://schemas.microsoft.com/office/2006/metadata/properties" xmlns:ns2="e79f5ee3-6126-495d-84fb-deab44380441" xmlns:ns3="109fe164-c690-497e-a27a-2f9db3c5ef70" targetNamespace="http://schemas.microsoft.com/office/2006/metadata/properties" ma:root="true" ma:fieldsID="4b820f553532dfdfd344da649f6db379" ns2:_="" ns3:_="">
    <xsd:import namespace="e79f5ee3-6126-495d-84fb-deab44380441"/>
    <xsd:import namespace="109fe164-c690-497e-a27a-2f9db3c5e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f5ee3-6126-495d-84fb-deab44380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fe164-c690-497e-a27a-2f9db3c5ef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7b1a440-6b9a-40cb-aa19-eb82162fca31}" ma:internalName="TaxCatchAll" ma:showField="CatchAllData" ma:web="109fe164-c690-497e-a27a-2f9db3c5e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f5ee3-6126-495d-84fb-deab44380441">
      <Terms xmlns="http://schemas.microsoft.com/office/infopath/2007/PartnerControls"/>
    </lcf76f155ced4ddcb4097134ff3c332f>
    <TaxCatchAll xmlns="109fe164-c690-497e-a27a-2f9db3c5ef7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14EE73-6053-48D5-B4D4-2063C0668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f5ee3-6126-495d-84fb-deab44380441"/>
    <ds:schemaRef ds:uri="109fe164-c690-497e-a27a-2f9db3c5e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28D02-3BF7-40DB-8840-D1E0350E51C4}">
  <ds:schemaRefs>
    <ds:schemaRef ds:uri="http://schemas.microsoft.com/office/2006/metadata/properties"/>
    <ds:schemaRef ds:uri="http://schemas.microsoft.com/office/infopath/2007/PartnerControls"/>
    <ds:schemaRef ds:uri="e79f5ee3-6126-495d-84fb-deab44380441"/>
    <ds:schemaRef ds:uri="109fe164-c690-497e-a27a-2f9db3c5ef70"/>
  </ds:schemaRefs>
</ds:datastoreItem>
</file>

<file path=customXml/itemProps3.xml><?xml version="1.0" encoding="utf-8"?>
<ds:datastoreItem xmlns:ds="http://schemas.openxmlformats.org/officeDocument/2006/customXml" ds:itemID="{839A611A-C83E-4963-A842-CB9C634773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BILLIET Stijn (MARE)</dc:creator>
  <cp:lastModifiedBy>Author</cp:lastModifiedBy>
  <dcterms:created xsi:type="dcterms:W3CDTF">2025-11-04T16:37:02Z</dcterms:created>
  <dcterms:modified xsi:type="dcterms:W3CDTF">2025-11-10T09:11:47Z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2025-11-04T16:37:41Z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5b526624-aec6-4045-b5d3-d708fd729a88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  <property fmtid="{D5CDD505-2E9C-101B-9397-08002B2CF9AE}" pid="10" name="ContentTypeId">
    <vt:lpwstr>0x01010017FF78C904FD5D479F9D99C5899B7D55</vt:lpwstr>
  </property>
</Properties>
</file>