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Word\FRA\"/>
    </mc:Choice>
  </mc:AlternateContent>
  <xr:revisionPtr revIDLastSave="0" documentId="13_ncr:1_{F680F097-39CE-413A-ABCA-16F1864204A2}" xr6:coauthVersionLast="47" xr6:coauthVersionMax="47" xr10:uidLastSave="{00000000-0000-0000-0000-000000000000}"/>
  <bookViews>
    <workbookView xWindow="-108" yWindow="-108" windowWidth="30936" windowHeight="16776" activeTab="1" xr2:uid="{4EE246F1-98A2-48D8-8569-05C84C31B19B}"/>
  </bookViews>
  <sheets>
    <sheet name="TAC = 48.403" sheetId="1" r:id="rId1"/>
    <sheet name="TAC = 45.1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B26" i="2"/>
  <c r="C12" i="2" s="1"/>
  <c r="Q19" i="2"/>
  <c r="Q18" i="2"/>
  <c r="D15" i="2" s="1"/>
  <c r="Q17" i="2"/>
  <c r="D7" i="2" s="1"/>
  <c r="P12" i="2"/>
  <c r="G26" i="1"/>
  <c r="B25" i="1"/>
  <c r="B27" i="1" s="1"/>
  <c r="P11" i="1"/>
  <c r="Q16" i="1"/>
  <c r="Q17" i="1"/>
  <c r="Q18" i="1"/>
  <c r="D8" i="2" l="1"/>
  <c r="D9" i="2"/>
  <c r="D11" i="2"/>
  <c r="D12" i="2"/>
  <c r="C17" i="2"/>
  <c r="D17" i="2"/>
  <c r="C20" i="2"/>
  <c r="E17" i="2"/>
  <c r="F17" i="2" s="1"/>
  <c r="I17" i="2" s="1"/>
  <c r="D20" i="2"/>
  <c r="E20" i="2" s="1"/>
  <c r="F20" i="2" s="1"/>
  <c r="E12" i="2"/>
  <c r="F12" i="2" s="1"/>
  <c r="G12" i="2" s="1"/>
  <c r="C22" i="2"/>
  <c r="D16" i="2"/>
  <c r="C13" i="2"/>
  <c r="C21" i="2"/>
  <c r="E21" i="2" s="1"/>
  <c r="F21" i="2" s="1"/>
  <c r="C18" i="2"/>
  <c r="D21" i="2"/>
  <c r="B28" i="2"/>
  <c r="C10" i="2"/>
  <c r="D18" i="2"/>
  <c r="C7" i="2"/>
  <c r="D10" i="2"/>
  <c r="C15" i="2"/>
  <c r="E15" i="2" s="1"/>
  <c r="F15" i="2" s="1"/>
  <c r="C9" i="2"/>
  <c r="E9" i="2" s="1"/>
  <c r="F9" i="2" s="1"/>
  <c r="C14" i="2"/>
  <c r="D22" i="2"/>
  <c r="C11" i="2"/>
  <c r="D14" i="2"/>
  <c r="C19" i="2"/>
  <c r="C16" i="2"/>
  <c r="D19" i="2"/>
  <c r="C8" i="2"/>
  <c r="E8" i="2" s="1"/>
  <c r="F8" i="2" s="1"/>
  <c r="D13" i="2"/>
  <c r="D6" i="1"/>
  <c r="C17" i="1"/>
  <c r="C16" i="1"/>
  <c r="C15" i="1"/>
  <c r="C14" i="1"/>
  <c r="C13" i="1"/>
  <c r="C12" i="1"/>
  <c r="C11" i="1"/>
  <c r="C6" i="1"/>
  <c r="C10" i="1"/>
  <c r="C21" i="1"/>
  <c r="C9" i="1"/>
  <c r="C20" i="1"/>
  <c r="C8" i="1"/>
  <c r="C19" i="1"/>
  <c r="C7" i="1"/>
  <c r="C18" i="1"/>
  <c r="I12" i="2" l="1"/>
  <c r="G17" i="2"/>
  <c r="E11" i="2"/>
  <c r="F11" i="2" s="1"/>
  <c r="E6" i="1"/>
  <c r="I20" i="2"/>
  <c r="G20" i="2"/>
  <c r="E13" i="2"/>
  <c r="F13" i="2" s="1"/>
  <c r="D26" i="2"/>
  <c r="E18" i="2"/>
  <c r="F18" i="2" s="1"/>
  <c r="I18" i="2" s="1"/>
  <c r="G18" i="2"/>
  <c r="G13" i="2"/>
  <c r="I13" i="2"/>
  <c r="I15" i="2"/>
  <c r="G15" i="2"/>
  <c r="C26" i="2"/>
  <c r="E7" i="2"/>
  <c r="G21" i="2"/>
  <c r="I21" i="2"/>
  <c r="I9" i="2"/>
  <c r="G9" i="2"/>
  <c r="G8" i="2"/>
  <c r="I8" i="2"/>
  <c r="E16" i="2"/>
  <c r="F16" i="2" s="1"/>
  <c r="I11" i="2"/>
  <c r="G11" i="2"/>
  <c r="E14" i="2"/>
  <c r="F14" i="2" s="1"/>
  <c r="E22" i="2"/>
  <c r="F22" i="2" s="1"/>
  <c r="E10" i="2"/>
  <c r="F10" i="2" s="1"/>
  <c r="E19" i="2"/>
  <c r="F19" i="2" s="1"/>
  <c r="C25" i="1"/>
  <c r="G14" i="2" l="1"/>
  <c r="I14" i="2"/>
  <c r="I19" i="2"/>
  <c r="G19" i="2"/>
  <c r="F7" i="2"/>
  <c r="E26" i="2"/>
  <c r="E28" i="2" s="1"/>
  <c r="I10" i="2"/>
  <c r="G10" i="2"/>
  <c r="G22" i="2"/>
  <c r="I22" i="2"/>
  <c r="I16" i="2"/>
  <c r="G16" i="2"/>
  <c r="I7" i="2" l="1"/>
  <c r="F26" i="2"/>
  <c r="G7" i="2"/>
  <c r="G26" i="2" l="1"/>
  <c r="H7" i="2" s="1"/>
  <c r="H25" i="2" l="1"/>
  <c r="G28" i="2"/>
  <c r="H24" i="2"/>
  <c r="H23" i="2"/>
  <c r="H12" i="2"/>
  <c r="H20" i="2"/>
  <c r="H17" i="2"/>
  <c r="H9" i="2"/>
  <c r="H18" i="2"/>
  <c r="H15" i="2"/>
  <c r="H8" i="2"/>
  <c r="H21" i="2"/>
  <c r="H13" i="2"/>
  <c r="H11" i="2"/>
  <c r="H10" i="2"/>
  <c r="H16" i="2"/>
  <c r="H14" i="2"/>
  <c r="H19" i="2"/>
  <c r="H22" i="2"/>
  <c r="H28" i="2" l="1"/>
  <c r="K13" i="2"/>
  <c r="K25" i="2"/>
  <c r="D19" i="1" l="1"/>
  <c r="E19" i="1" s="1"/>
  <c r="D13" i="1" l="1"/>
  <c r="E13" i="1" s="1"/>
  <c r="D14" i="1"/>
  <c r="E14" i="1" s="1"/>
  <c r="D7" i="1"/>
  <c r="D20" i="1"/>
  <c r="E20" i="1" s="1"/>
  <c r="D10" i="1"/>
  <c r="E10" i="1" s="1"/>
  <c r="D11" i="1"/>
  <c r="E11" i="1" s="1"/>
  <c r="D9" i="1"/>
  <c r="E9" i="1" s="1"/>
  <c r="D12" i="1"/>
  <c r="E12" i="1" s="1"/>
  <c r="D8" i="1"/>
  <c r="E8" i="1" s="1"/>
  <c r="D21" i="1"/>
  <c r="E21" i="1" s="1"/>
  <c r="D15" i="1"/>
  <c r="E15" i="1" s="1"/>
  <c r="D16" i="1"/>
  <c r="E16" i="1" s="1"/>
  <c r="D18" i="1"/>
  <c r="E18" i="1" s="1"/>
  <c r="D17" i="1"/>
  <c r="E17" i="1" s="1"/>
  <c r="D25" i="1" l="1"/>
  <c r="E7" i="1"/>
  <c r="F8" i="1"/>
  <c r="F19" i="1"/>
  <c r="F21" i="1"/>
  <c r="F15" i="1"/>
  <c r="F16" i="1"/>
  <c r="F17" i="1"/>
  <c r="F7" i="1"/>
  <c r="F9" i="1"/>
  <c r="F20" i="1"/>
  <c r="F10" i="1"/>
  <c r="F11" i="1"/>
  <c r="F12" i="1"/>
  <c r="F13" i="1"/>
  <c r="I13" i="1" s="1"/>
  <c r="F18" i="1"/>
  <c r="F14" i="1" l="1"/>
  <c r="I14" i="1" s="1"/>
  <c r="E25" i="1"/>
  <c r="I7" i="1"/>
  <c r="E27" i="1"/>
  <c r="F6" i="1"/>
  <c r="G20" i="1"/>
  <c r="I20" i="1"/>
  <c r="G9" i="1"/>
  <c r="I9" i="1"/>
  <c r="G17" i="1"/>
  <c r="I17" i="1"/>
  <c r="G16" i="1"/>
  <c r="I16" i="1"/>
  <c r="G18" i="1"/>
  <c r="I18" i="1"/>
  <c r="G15" i="1"/>
  <c r="I15" i="1"/>
  <c r="G21" i="1"/>
  <c r="I21" i="1"/>
  <c r="G19" i="1"/>
  <c r="I19" i="1"/>
  <c r="G12" i="1"/>
  <c r="I12" i="1"/>
  <c r="G8" i="1"/>
  <c r="I8" i="1"/>
  <c r="G11" i="1"/>
  <c r="I11" i="1"/>
  <c r="G10" i="1"/>
  <c r="I10" i="1"/>
  <c r="G7" i="1"/>
  <c r="G13" i="1"/>
  <c r="G14" i="1" l="1"/>
  <c r="F25" i="1"/>
  <c r="G6" i="1"/>
  <c r="G25" i="1" s="1"/>
  <c r="H15" i="1" s="1"/>
  <c r="I6" i="1"/>
  <c r="H10" i="1" l="1"/>
  <c r="H17" i="1"/>
  <c r="H16" i="1"/>
  <c r="H21" i="1"/>
  <c r="H18" i="1"/>
  <c r="H9" i="1"/>
  <c r="H12" i="1"/>
  <c r="H19" i="1"/>
  <c r="H11" i="1"/>
  <c r="H7" i="1"/>
  <c r="H14" i="1"/>
  <c r="H8" i="1"/>
  <c r="H6" i="1"/>
  <c r="H20" i="1"/>
  <c r="H23" i="1"/>
  <c r="H22" i="1"/>
  <c r="H24" i="1"/>
  <c r="G27" i="1"/>
  <c r="H13" i="1"/>
  <c r="H27" i="1" l="1"/>
  <c r="K12" i="1"/>
  <c r="K24" i="1"/>
</calcChain>
</file>

<file path=xl/sharedStrings.xml><?xml version="1.0" encoding="utf-8"?>
<sst xmlns="http://schemas.openxmlformats.org/spreadsheetml/2006/main" count="123" uniqueCount="55">
  <si>
    <t xml:space="preserve">Résultats de l'application de la formule de quota par CPC (TAC de 48.403 t). </t>
  </si>
  <si>
    <t>CPC</t>
  </si>
  <si>
    <t>Quota actuel</t>
  </si>
  <si>
    <t>Pourcentage actuel_i</t>
  </si>
  <si>
    <t>Pondération_i</t>
  </si>
  <si>
    <t>Augmentation_i</t>
  </si>
  <si>
    <t>Augmentation_i_arrondie</t>
  </si>
  <si>
    <t>Nouveau quota</t>
  </si>
  <si>
    <t>Nouveau pourcentage</t>
  </si>
  <si>
    <t>Taux d’augmentation</t>
  </si>
  <si>
    <t>Formule</t>
  </si>
  <si>
    <t>UE</t>
  </si>
  <si>
    <t>Augmentation_i = 7783 x [(A x pourcentage actuel_i) + (B x W)]</t>
  </si>
  <si>
    <t>Maroc</t>
  </si>
  <si>
    <t>Japon</t>
  </si>
  <si>
    <t>Tunisie</t>
  </si>
  <si>
    <t>Paramètre</t>
  </si>
  <si>
    <t xml:space="preserve">Valeur </t>
  </si>
  <si>
    <t>W(pondération)=S(échelle) + C(côtier)</t>
  </si>
  <si>
    <t>Türkiye</t>
  </si>
  <si>
    <t>A</t>
  </si>
  <si>
    <t>S=0,85</t>
  </si>
  <si>
    <t>C=0,15</t>
  </si>
  <si>
    <t>Libye</t>
  </si>
  <si>
    <t>B</t>
  </si>
  <si>
    <t>S1 (&gt;1.000t)</t>
  </si>
  <si>
    <t>0,15/12</t>
  </si>
  <si>
    <t>Algérie</t>
  </si>
  <si>
    <t>Sous-total</t>
  </si>
  <si>
    <t>S</t>
  </si>
  <si>
    <t>0,15/7</t>
  </si>
  <si>
    <t>Égypte</t>
  </si>
  <si>
    <t>S2</t>
  </si>
  <si>
    <t>0,7/9</t>
  </si>
  <si>
    <t>Norvège</t>
  </si>
  <si>
    <t>C</t>
  </si>
  <si>
    <t>Albanie</t>
  </si>
  <si>
    <t>Islande</t>
  </si>
  <si>
    <t>S1</t>
  </si>
  <si>
    <t>Corée</t>
  </si>
  <si>
    <t>Syrie</t>
  </si>
  <si>
    <t>Chine</t>
  </si>
  <si>
    <t xml:space="preserve">Augmentation du TAC </t>
  </si>
  <si>
    <t>Taipei chinois</t>
  </si>
  <si>
    <t>RU</t>
  </si>
  <si>
    <t>Namibie</t>
  </si>
  <si>
    <t>Sénégal</t>
  </si>
  <si>
    <t>Panama</t>
  </si>
  <si>
    <t>-</t>
  </si>
  <si>
    <t>Réserves</t>
  </si>
  <si>
    <t>Total</t>
  </si>
  <si>
    <t>e</t>
  </si>
  <si>
    <t>Résultats de l'application de la formule de quota par CPC (TAC de 45.191 t).</t>
  </si>
  <si>
    <t>Sous-total du nouveau pourcentage</t>
  </si>
  <si>
    <t xml:space="preserve">PA2_613_Appendix1_REV_1/2025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</si>
</sst>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_ "/>
  </numFmts>
  <fonts count="1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0061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6100"/>
      <name val="Cambria"/>
      <family val="1"/>
    </font>
    <font>
      <b/>
      <u/>
      <sz val="11"/>
      <color rgb="FF006100"/>
      <name val="Cambria"/>
      <family val="1"/>
    </font>
    <font>
      <b/>
      <u/>
      <sz val="10"/>
      <color rgb="FF006100"/>
      <name val="Cambria"/>
      <family val="1"/>
    </font>
    <font>
      <u/>
      <sz val="11"/>
      <color theme="1"/>
      <name val="Cambria"/>
      <family val="1"/>
    </font>
    <font>
      <u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>
      <alignment vertical="center"/>
    </xf>
    <xf numFmtId="165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64" fontId="4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4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164" fontId="9" fillId="0" borderId="1" xfId="0" applyNumberFormat="1" applyFont="1" applyBorder="1">
      <alignment vertical="center"/>
    </xf>
    <xf numFmtId="0" fontId="11" fillId="2" borderId="3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12" fillId="2" borderId="3" xfId="1" applyFont="1" applyBorder="1" applyAlignment="1">
      <alignment horizontal="center" vertical="center" wrapText="1"/>
    </xf>
    <xf numFmtId="0" fontId="10" fillId="2" borderId="5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C98-FB66-4C07-9B62-54E4072208C6}">
  <dimension ref="A1:T35"/>
  <sheetViews>
    <sheetView zoomScale="86" zoomScaleNormal="86" workbookViewId="0">
      <selection activeCell="A20" sqref="A20"/>
    </sheetView>
  </sheetViews>
  <sheetFormatPr defaultColWidth="8.88671875" defaultRowHeight="13.8"/>
  <cols>
    <col min="1" max="1" width="12.88671875" style="1" customWidth="1"/>
    <col min="2" max="2" width="18.109375" style="1" customWidth="1"/>
    <col min="3" max="4" width="17.5546875" style="1" customWidth="1"/>
    <col min="5" max="5" width="16.88671875" style="1" customWidth="1"/>
    <col min="6" max="6" width="19.44140625" style="1" customWidth="1"/>
    <col min="7" max="7" width="18" style="1" customWidth="1"/>
    <col min="8" max="8" width="14.88671875" style="1" customWidth="1"/>
    <col min="9" max="9" width="17.109375" style="1" customWidth="1"/>
    <col min="10" max="10" width="13.5546875" style="1" customWidth="1"/>
    <col min="11" max="14" width="8.88671875" style="1"/>
    <col min="15" max="15" width="18.21875" style="1" customWidth="1"/>
    <col min="16" max="16" width="14" style="1" customWidth="1"/>
    <col min="17" max="17" width="13.88671875" style="1" customWidth="1"/>
    <col min="18" max="18" width="10.88671875" style="1" customWidth="1"/>
    <col min="19" max="19" width="8.88671875" style="1"/>
    <col min="20" max="20" width="13.88671875" style="1" customWidth="1"/>
    <col min="21" max="21" width="12.44140625" style="1" customWidth="1"/>
    <col min="22" max="16384" width="8.88671875" style="1"/>
  </cols>
  <sheetData>
    <row r="1" spans="1:20" ht="15">
      <c r="H1" s="40" t="s">
        <v>54</v>
      </c>
      <c r="I1" s="41"/>
    </row>
    <row r="3" spans="1:20" ht="21.6" customHeight="1">
      <c r="A3" s="42" t="s">
        <v>0</v>
      </c>
      <c r="B3" s="39"/>
      <c r="C3" s="39"/>
      <c r="D3" s="39"/>
      <c r="E3" s="39"/>
      <c r="F3" s="39"/>
      <c r="G3" s="39"/>
      <c r="H3" s="39"/>
      <c r="I3" s="39"/>
    </row>
    <row r="4" spans="1:20" ht="14.4" thickBot="1"/>
    <row r="5" spans="1:20" ht="32.25" customHeight="1" thickBot="1">
      <c r="A5" s="3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34" t="s">
        <v>9</v>
      </c>
      <c r="N5" s="3" t="s">
        <v>10</v>
      </c>
      <c r="O5" s="3"/>
      <c r="P5" s="3"/>
    </row>
    <row r="6" spans="1:20" ht="26.4" customHeight="1">
      <c r="A6" s="5" t="s">
        <v>11</v>
      </c>
      <c r="B6" s="5">
        <v>21503</v>
      </c>
      <c r="C6" s="5">
        <f t="shared" ref="C6:C21" si="0">B6/($B$25-50)</f>
        <v>0.53116122816984912</v>
      </c>
      <c r="D6" s="5">
        <f>Q16+Q18</f>
        <v>3.3928571428571426E-2</v>
      </c>
      <c r="E6" s="5">
        <f t="shared" ref="E6:E21" si="1">$P$19*($P$10*C6)+$P$19*($P$11*D6)</f>
        <v>2953.9397370633533</v>
      </c>
      <c r="F6" s="5">
        <f>ROUND(E6,0)</f>
        <v>2954</v>
      </c>
      <c r="G6" s="5">
        <f t="shared" ref="G6:G21" si="2">SUM(B6,F6)</f>
        <v>24457</v>
      </c>
      <c r="H6" s="6">
        <f t="shared" ref="H6:H22" si="3">100*G6/($G$25)</f>
        <v>50.567559185361318</v>
      </c>
      <c r="I6" s="7">
        <f t="shared" ref="I6:I21" si="4">100*F6/B6</f>
        <v>13.73761800678975</v>
      </c>
      <c r="N6" s="3"/>
      <c r="O6" s="3"/>
      <c r="P6" s="3" t="s">
        <v>12</v>
      </c>
    </row>
    <row r="7" spans="1:20" ht="24" customHeight="1">
      <c r="A7" s="8" t="s">
        <v>13</v>
      </c>
      <c r="B7" s="8">
        <v>3700</v>
      </c>
      <c r="C7" s="8">
        <f t="shared" si="0"/>
        <v>9.1396388607563675E-2</v>
      </c>
      <c r="D7" s="8">
        <f>Q16+Q18</f>
        <v>3.3928571428571426E-2</v>
      </c>
      <c r="E7" s="8">
        <f t="shared" si="1"/>
        <v>573.44868402874567</v>
      </c>
      <c r="F7" s="8">
        <f t="shared" ref="F7:F12" si="5">ROUND(E7,0)</f>
        <v>573</v>
      </c>
      <c r="G7" s="8">
        <f t="shared" si="2"/>
        <v>4273</v>
      </c>
      <c r="H7" s="9">
        <f t="shared" si="3"/>
        <v>8.8349012715806889</v>
      </c>
      <c r="I7" s="10">
        <f t="shared" si="4"/>
        <v>15.486486486486486</v>
      </c>
      <c r="N7" s="3"/>
      <c r="O7" s="3"/>
      <c r="P7" s="3"/>
    </row>
    <row r="8" spans="1:20" ht="22.65" customHeight="1">
      <c r="A8" s="8" t="s">
        <v>14</v>
      </c>
      <c r="B8" s="8">
        <v>3114</v>
      </c>
      <c r="C8" s="8">
        <f t="shared" si="0"/>
        <v>7.6921176790257645E-2</v>
      </c>
      <c r="D8" s="8">
        <f>Q16</f>
        <v>2.1428571428571429E-2</v>
      </c>
      <c r="E8" s="8">
        <f t="shared" si="1"/>
        <v>466.09416494048651</v>
      </c>
      <c r="F8" s="8">
        <f t="shared" si="5"/>
        <v>466</v>
      </c>
      <c r="G8" s="8">
        <f t="shared" si="2"/>
        <v>3580</v>
      </c>
      <c r="H8" s="9">
        <f t="shared" si="3"/>
        <v>7.4020469347668767</v>
      </c>
      <c r="I8" s="10">
        <f t="shared" si="4"/>
        <v>14.964675658317276</v>
      </c>
      <c r="N8" s="3"/>
      <c r="O8" s="3"/>
      <c r="P8" s="3"/>
    </row>
    <row r="9" spans="1:20" ht="25.5" customHeight="1">
      <c r="A9" s="8" t="s">
        <v>15</v>
      </c>
      <c r="B9" s="8">
        <v>3000</v>
      </c>
      <c r="C9" s="8">
        <f t="shared" si="0"/>
        <v>7.4105179952078645E-2</v>
      </c>
      <c r="D9" s="8">
        <f>Q16+Q18</f>
        <v>3.3928571428571426E-2</v>
      </c>
      <c r="E9" s="8">
        <f t="shared" si="1"/>
        <v>479.84964245573974</v>
      </c>
      <c r="F9" s="8">
        <f t="shared" si="5"/>
        <v>480</v>
      </c>
      <c r="G9" s="8">
        <f t="shared" si="2"/>
        <v>3480</v>
      </c>
      <c r="H9" s="9">
        <f t="shared" si="3"/>
        <v>7.1952858472035564</v>
      </c>
      <c r="I9" s="10">
        <f t="shared" si="4"/>
        <v>16</v>
      </c>
      <c r="N9" s="39"/>
      <c r="O9" s="2" t="s">
        <v>16</v>
      </c>
      <c r="P9" s="2" t="s">
        <v>17</v>
      </c>
      <c r="R9" s="1" t="s">
        <v>18</v>
      </c>
    </row>
    <row r="10" spans="1:20" ht="23.25" customHeight="1">
      <c r="A10" s="8" t="s">
        <v>19</v>
      </c>
      <c r="B10" s="8">
        <v>2600</v>
      </c>
      <c r="C10" s="8">
        <f t="shared" si="0"/>
        <v>6.4224489291801495E-2</v>
      </c>
      <c r="D10" s="8">
        <f>Q16+Q18</f>
        <v>3.3928571428571426E-2</v>
      </c>
      <c r="E10" s="8">
        <f t="shared" si="1"/>
        <v>426.36447584259349</v>
      </c>
      <c r="F10" s="8">
        <f t="shared" si="5"/>
        <v>426</v>
      </c>
      <c r="G10" s="8">
        <f t="shared" si="2"/>
        <v>3026</v>
      </c>
      <c r="H10" s="9">
        <f t="shared" si="3"/>
        <v>6.256590509666081</v>
      </c>
      <c r="I10" s="10">
        <f t="shared" si="4"/>
        <v>16.384615384615383</v>
      </c>
      <c r="N10" s="39"/>
      <c r="O10" s="2" t="s">
        <v>20</v>
      </c>
      <c r="P10" s="3">
        <v>0.7</v>
      </c>
      <c r="R10" s="3"/>
      <c r="S10" s="3" t="s">
        <v>21</v>
      </c>
      <c r="T10" s="3" t="s">
        <v>22</v>
      </c>
    </row>
    <row r="11" spans="1:20" ht="26.4" customHeight="1">
      <c r="A11" s="8" t="s">
        <v>23</v>
      </c>
      <c r="B11" s="8">
        <v>2548</v>
      </c>
      <c r="C11" s="8">
        <f t="shared" si="0"/>
        <v>6.293999950596546E-2</v>
      </c>
      <c r="D11" s="8">
        <f>Q16+Q18</f>
        <v>3.3928571428571426E-2</v>
      </c>
      <c r="E11" s="8">
        <f t="shared" si="1"/>
        <v>419.4114041828845</v>
      </c>
      <c r="F11" s="8">
        <f>ROUND(E11,0)</f>
        <v>419</v>
      </c>
      <c r="G11" s="8">
        <f t="shared" si="2"/>
        <v>2967</v>
      </c>
      <c r="H11" s="9">
        <f t="shared" si="3"/>
        <v>6.134601468003722</v>
      </c>
      <c r="I11" s="10">
        <f t="shared" si="4"/>
        <v>16.444270015698589</v>
      </c>
      <c r="N11" s="39"/>
      <c r="O11" s="2" t="s">
        <v>24</v>
      </c>
      <c r="P11" s="3">
        <f>1-P10</f>
        <v>0.30000000000000004</v>
      </c>
      <c r="R11" s="39" t="s">
        <v>16</v>
      </c>
      <c r="S11" s="3" t="s">
        <v>25</v>
      </c>
      <c r="T11" s="3" t="s">
        <v>26</v>
      </c>
    </row>
    <row r="12" spans="1:20" ht="25.5" customHeight="1">
      <c r="A12" s="8" t="s">
        <v>27</v>
      </c>
      <c r="B12" s="8">
        <v>2023</v>
      </c>
      <c r="C12" s="8">
        <f t="shared" si="0"/>
        <v>4.9971593014351702E-2</v>
      </c>
      <c r="D12" s="8">
        <f>Q16+Q18</f>
        <v>3.3928571428571426E-2</v>
      </c>
      <c r="E12" s="8">
        <f t="shared" si="1"/>
        <v>349.21212300313005</v>
      </c>
      <c r="F12" s="8">
        <f t="shared" si="5"/>
        <v>349</v>
      </c>
      <c r="G12" s="8">
        <f t="shared" si="2"/>
        <v>2372</v>
      </c>
      <c r="H12" s="9">
        <f t="shared" si="3"/>
        <v>4.9043729970019641</v>
      </c>
      <c r="I12" s="10">
        <f t="shared" si="4"/>
        <v>17.251606524962927</v>
      </c>
      <c r="J12" s="1" t="s">
        <v>28</v>
      </c>
      <c r="K12" s="11">
        <f>SUM(H6:H12)</f>
        <v>91.295358213584194</v>
      </c>
      <c r="N12" s="39"/>
      <c r="O12" s="2" t="s">
        <v>29</v>
      </c>
      <c r="P12" s="3">
        <v>0.85</v>
      </c>
      <c r="R12" s="39"/>
      <c r="S12" s="3" t="s">
        <v>30</v>
      </c>
      <c r="T12" s="3"/>
    </row>
    <row r="13" spans="1:20" ht="24.75" customHeight="1">
      <c r="A13" s="8" t="s">
        <v>31</v>
      </c>
      <c r="B13" s="8">
        <v>513</v>
      </c>
      <c r="C13" s="8">
        <f t="shared" si="0"/>
        <v>1.267198577180545E-2</v>
      </c>
      <c r="D13" s="8">
        <f>Q17+Q18</f>
        <v>9.0277777777777776E-2</v>
      </c>
      <c r="E13" s="8">
        <f t="shared" si="1"/>
        <v>278.0301428480268</v>
      </c>
      <c r="F13" s="8">
        <f>ROUND(E13,0)</f>
        <v>278</v>
      </c>
      <c r="G13" s="8">
        <f t="shared" si="2"/>
        <v>791</v>
      </c>
      <c r="H13" s="9">
        <f t="shared" si="3"/>
        <v>1.6354802026258659</v>
      </c>
      <c r="I13" s="10">
        <f t="shared" si="4"/>
        <v>54.191033138401558</v>
      </c>
      <c r="N13" s="3"/>
      <c r="O13" s="3" t="s">
        <v>32</v>
      </c>
      <c r="P13" s="3">
        <v>0.7</v>
      </c>
      <c r="R13" s="39"/>
      <c r="S13" s="3" t="s">
        <v>33</v>
      </c>
      <c r="T13" s="3"/>
    </row>
    <row r="14" spans="1:20" ht="22.65" customHeight="1">
      <c r="A14" s="8" t="s">
        <v>34</v>
      </c>
      <c r="B14" s="8">
        <v>368</v>
      </c>
      <c r="C14" s="8">
        <f t="shared" si="0"/>
        <v>9.0902354074549815E-3</v>
      </c>
      <c r="D14" s="8">
        <f>Q17+Q18</f>
        <v>9.0277777777777776E-2</v>
      </c>
      <c r="E14" s="8">
        <f t="shared" si="1"/>
        <v>258.64176995076127</v>
      </c>
      <c r="F14" s="8">
        <f t="shared" ref="F14:F21" si="6">ROUND(E14,0)</f>
        <v>259</v>
      </c>
      <c r="G14" s="8">
        <f t="shared" si="2"/>
        <v>627</v>
      </c>
      <c r="H14" s="9">
        <f t="shared" si="3"/>
        <v>1.2963920190220199</v>
      </c>
      <c r="I14" s="10">
        <f t="shared" si="4"/>
        <v>70.380434782608702</v>
      </c>
      <c r="N14" s="3"/>
      <c r="O14" s="2" t="s">
        <v>35</v>
      </c>
      <c r="P14" s="3">
        <v>0.15</v>
      </c>
    </row>
    <row r="15" spans="1:20" ht="20.25" customHeight="1">
      <c r="A15" s="8" t="s">
        <v>36</v>
      </c>
      <c r="B15" s="8">
        <v>264</v>
      </c>
      <c r="C15" s="8">
        <f t="shared" si="0"/>
        <v>6.5212558357829213E-3</v>
      </c>
      <c r="D15" s="8">
        <f>Q17+Q18</f>
        <v>9.0277777777777776E-2</v>
      </c>
      <c r="E15" s="8">
        <f t="shared" si="1"/>
        <v>244.73562663134322</v>
      </c>
      <c r="F15" s="8">
        <f t="shared" si="6"/>
        <v>245</v>
      </c>
      <c r="G15" s="8">
        <f t="shared" si="2"/>
        <v>509</v>
      </c>
      <c r="H15" s="9">
        <f t="shared" si="3"/>
        <v>1.0524139356973017</v>
      </c>
      <c r="I15" s="10">
        <f t="shared" si="4"/>
        <v>92.803030303030297</v>
      </c>
      <c r="N15" s="3"/>
      <c r="O15" s="3"/>
      <c r="P15" s="3"/>
    </row>
    <row r="16" spans="1:20" ht="23.25" customHeight="1">
      <c r="A16" s="8" t="s">
        <v>37</v>
      </c>
      <c r="B16" s="8">
        <v>224</v>
      </c>
      <c r="C16" s="8">
        <f t="shared" si="0"/>
        <v>5.5331867697552056E-3</v>
      </c>
      <c r="D16" s="8">
        <f>Q17+Q18</f>
        <v>9.0277777777777776E-2</v>
      </c>
      <c r="E16" s="8">
        <f t="shared" si="1"/>
        <v>239.3871099700286</v>
      </c>
      <c r="F16" s="8">
        <f t="shared" si="6"/>
        <v>239</v>
      </c>
      <c r="G16" s="8">
        <f t="shared" si="2"/>
        <v>463</v>
      </c>
      <c r="H16" s="9">
        <f t="shared" si="3"/>
        <v>0.95730383541817432</v>
      </c>
      <c r="I16" s="10">
        <f t="shared" si="4"/>
        <v>106.69642857142857</v>
      </c>
      <c r="N16" s="3"/>
      <c r="O16" s="3" t="s">
        <v>38</v>
      </c>
      <c r="P16" s="3" t="s">
        <v>30</v>
      </c>
      <c r="Q16" s="3">
        <f>0.15/7</f>
        <v>2.1428571428571429E-2</v>
      </c>
    </row>
    <row r="17" spans="1:17" ht="22.65" customHeight="1">
      <c r="A17" s="8" t="s">
        <v>39</v>
      </c>
      <c r="B17" s="8">
        <v>221</v>
      </c>
      <c r="C17" s="8">
        <f t="shared" si="0"/>
        <v>5.4590815898031275E-3</v>
      </c>
      <c r="D17" s="8">
        <f>Q17</f>
        <v>7.7777777777777779E-2</v>
      </c>
      <c r="E17" s="8">
        <f t="shared" si="1"/>
        <v>209.98722122043</v>
      </c>
      <c r="F17" s="8">
        <f t="shared" si="6"/>
        <v>210</v>
      </c>
      <c r="G17" s="8">
        <f t="shared" si="2"/>
        <v>431</v>
      </c>
      <c r="H17" s="9">
        <f t="shared" si="3"/>
        <v>0.89114028739791173</v>
      </c>
      <c r="I17" s="10">
        <f t="shared" si="4"/>
        <v>95.022624434389144</v>
      </c>
      <c r="O17" s="3" t="s">
        <v>32</v>
      </c>
      <c r="P17" s="1" t="s">
        <v>33</v>
      </c>
      <c r="Q17" s="1">
        <f>0.7/9</f>
        <v>7.7777777777777779E-2</v>
      </c>
    </row>
    <row r="18" spans="1:17" ht="22.65" customHeight="1">
      <c r="A18" s="8" t="s">
        <v>40</v>
      </c>
      <c r="B18" s="8">
        <v>129</v>
      </c>
      <c r="C18" s="8">
        <f t="shared" si="0"/>
        <v>3.1865227379393821E-3</v>
      </c>
      <c r="D18" s="8">
        <f>Q17+Q18</f>
        <v>9.0277777777777776E-2</v>
      </c>
      <c r="E18" s="8">
        <f t="shared" si="1"/>
        <v>226.68438289940636</v>
      </c>
      <c r="F18" s="8">
        <f t="shared" si="6"/>
        <v>227</v>
      </c>
      <c r="G18" s="8">
        <f t="shared" si="2"/>
        <v>356</v>
      </c>
      <c r="H18" s="9">
        <f t="shared" si="3"/>
        <v>0.73606947172542125</v>
      </c>
      <c r="I18" s="10">
        <f t="shared" si="4"/>
        <v>175.96899224806202</v>
      </c>
      <c r="O18" s="3" t="s">
        <v>35</v>
      </c>
      <c r="P18" s="1" t="s">
        <v>26</v>
      </c>
      <c r="Q18" s="1">
        <f>0.15/12</f>
        <v>1.2499999999999999E-2</v>
      </c>
    </row>
    <row r="19" spans="1:17" ht="31.8" customHeight="1">
      <c r="A19" s="8" t="s">
        <v>41</v>
      </c>
      <c r="B19" s="8">
        <v>112</v>
      </c>
      <c r="C19" s="8">
        <f t="shared" si="0"/>
        <v>2.7665933848776028E-3</v>
      </c>
      <c r="D19" s="8">
        <f>Q17</f>
        <v>7.7777777777777779E-2</v>
      </c>
      <c r="E19" s="8">
        <f t="shared" si="1"/>
        <v>195.41251331834764</v>
      </c>
      <c r="F19" s="8">
        <f t="shared" si="6"/>
        <v>195</v>
      </c>
      <c r="G19" s="8">
        <f t="shared" si="2"/>
        <v>307</v>
      </c>
      <c r="H19" s="9">
        <f t="shared" si="3"/>
        <v>0.6347565388193942</v>
      </c>
      <c r="I19" s="10">
        <f t="shared" si="4"/>
        <v>174.10714285714286</v>
      </c>
      <c r="O19" s="38" t="s">
        <v>42</v>
      </c>
      <c r="P19" s="1">
        <v>7733</v>
      </c>
    </row>
    <row r="20" spans="1:17" ht="23.25" customHeight="1">
      <c r="A20" s="45" t="s">
        <v>43</v>
      </c>
      <c r="B20" s="8">
        <v>101</v>
      </c>
      <c r="C20" s="8">
        <f t="shared" si="0"/>
        <v>2.4948743917199813E-3</v>
      </c>
      <c r="D20" s="8">
        <f>Q17</f>
        <v>7.7777777777777779E-2</v>
      </c>
      <c r="E20" s="8">
        <f t="shared" si="1"/>
        <v>193.94167123648612</v>
      </c>
      <c r="F20" s="8">
        <f t="shared" si="6"/>
        <v>194</v>
      </c>
      <c r="G20" s="8">
        <f t="shared" si="2"/>
        <v>295</v>
      </c>
      <c r="H20" s="9">
        <f t="shared" si="3"/>
        <v>0.60994520831179577</v>
      </c>
      <c r="I20" s="10">
        <f t="shared" si="4"/>
        <v>192.07920792079207</v>
      </c>
    </row>
    <row r="21" spans="1:17" ht="24" customHeight="1">
      <c r="A21" s="8" t="s">
        <v>44</v>
      </c>
      <c r="B21" s="8">
        <v>63</v>
      </c>
      <c r="C21" s="8">
        <f t="shared" si="0"/>
        <v>1.5562087789936516E-3</v>
      </c>
      <c r="D21" s="8">
        <f>Q17+Q18</f>
        <v>9.0277777777777776E-2</v>
      </c>
      <c r="E21" s="8">
        <f t="shared" si="1"/>
        <v>217.85933040823724</v>
      </c>
      <c r="F21" s="8">
        <f t="shared" si="6"/>
        <v>218</v>
      </c>
      <c r="G21" s="8">
        <f t="shared" si="2"/>
        <v>281</v>
      </c>
      <c r="H21" s="9">
        <f t="shared" si="3"/>
        <v>0.58099865605293088</v>
      </c>
      <c r="I21" s="10">
        <f t="shared" si="4"/>
        <v>346.03174603174602</v>
      </c>
    </row>
    <row r="22" spans="1:17" ht="27" customHeight="1">
      <c r="A22" s="8" t="s">
        <v>45</v>
      </c>
      <c r="B22" s="12">
        <v>50</v>
      </c>
      <c r="C22" s="8"/>
      <c r="D22" s="8"/>
      <c r="E22" s="8">
        <v>0</v>
      </c>
      <c r="F22" s="8">
        <v>0</v>
      </c>
      <c r="G22" s="13">
        <v>50</v>
      </c>
      <c r="H22" s="14">
        <f t="shared" si="3"/>
        <v>0.1033805437816603</v>
      </c>
      <c r="I22" s="15"/>
    </row>
    <row r="23" spans="1:17" ht="23.25" customHeight="1">
      <c r="A23" s="8" t="s">
        <v>46</v>
      </c>
      <c r="B23" s="12">
        <v>0</v>
      </c>
      <c r="C23" s="8"/>
      <c r="D23" s="8"/>
      <c r="E23" s="8">
        <v>50</v>
      </c>
      <c r="F23" s="8">
        <v>50</v>
      </c>
      <c r="G23" s="13">
        <v>50</v>
      </c>
      <c r="H23" s="14">
        <f t="shared" ref="H23:H24" si="7">100*G23/($G$25)</f>
        <v>0.1033805437816603</v>
      </c>
      <c r="I23" s="15"/>
    </row>
    <row r="24" spans="1:17" ht="23.25" customHeight="1">
      <c r="A24" s="8" t="s">
        <v>47</v>
      </c>
      <c r="B24" s="8">
        <v>0</v>
      </c>
      <c r="C24" s="8" t="s">
        <v>48</v>
      </c>
      <c r="D24" s="8"/>
      <c r="E24" s="8">
        <v>50</v>
      </c>
      <c r="F24" s="8">
        <v>50</v>
      </c>
      <c r="G24" s="8">
        <v>50</v>
      </c>
      <c r="H24" s="14">
        <f t="shared" si="7"/>
        <v>0.1033805437816603</v>
      </c>
      <c r="I24" s="15"/>
      <c r="J24" s="1" t="s">
        <v>28</v>
      </c>
      <c r="K24" s="11">
        <f>SUM(H13:H24)</f>
        <v>8.7046417864157988</v>
      </c>
    </row>
    <row r="25" spans="1:17" ht="22.65" customHeight="1">
      <c r="A25" s="12" t="s">
        <v>28</v>
      </c>
      <c r="B25" s="12">
        <f>SUM(B6:B12,B13:B21,B22:B24)</f>
        <v>40533</v>
      </c>
      <c r="C25" s="8">
        <f>SUM(C6:C22)</f>
        <v>1.0000000000000004</v>
      </c>
      <c r="D25" s="8">
        <f>SUM(D6:D21)</f>
        <v>0.99999999999999989</v>
      </c>
      <c r="E25" s="12">
        <f>SUM(E6:E24)</f>
        <v>7833</v>
      </c>
      <c r="F25" s="8">
        <f>SUM(F6:F24)</f>
        <v>7832</v>
      </c>
      <c r="G25" s="13">
        <f>SUM(G6:G12,G13:G21,G22:G24)</f>
        <v>48365</v>
      </c>
      <c r="H25" s="12"/>
      <c r="I25" s="15"/>
    </row>
    <row r="26" spans="1:17">
      <c r="A26" s="12" t="s">
        <v>49</v>
      </c>
      <c r="B26" s="8">
        <v>37</v>
      </c>
      <c r="C26" s="8" t="s">
        <v>48</v>
      </c>
      <c r="D26" s="8"/>
      <c r="E26" s="8">
        <v>0</v>
      </c>
      <c r="F26" s="8">
        <v>1</v>
      </c>
      <c r="G26" s="8">
        <f>SUM(B26,F26)</f>
        <v>38</v>
      </c>
      <c r="H26" s="8"/>
      <c r="I26" s="15"/>
    </row>
    <row r="27" spans="1:17">
      <c r="A27" s="12" t="s">
        <v>50</v>
      </c>
      <c r="B27" s="16">
        <f>SUM(B25:B26)</f>
        <v>40570</v>
      </c>
      <c r="C27" s="15"/>
      <c r="D27" s="15"/>
      <c r="E27" s="16">
        <f>SUM(E25:E26)</f>
        <v>7833</v>
      </c>
      <c r="F27" s="16"/>
      <c r="G27" s="17">
        <f>SUM(G25:G26)</f>
        <v>48403</v>
      </c>
      <c r="H27" s="12">
        <f>SUM(H6:H12,H13:H21,H22:H24)</f>
        <v>99.999999999999972</v>
      </c>
      <c r="I27" s="15"/>
    </row>
    <row r="29" spans="1:17">
      <c r="A29" s="3"/>
      <c r="B29" s="3"/>
      <c r="C29" s="3"/>
      <c r="D29" s="3"/>
      <c r="E29" s="3"/>
      <c r="F29" s="3"/>
      <c r="G29" s="3"/>
      <c r="H29" s="3"/>
      <c r="I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</sheetData>
  <mergeCells count="4">
    <mergeCell ref="N9:N12"/>
    <mergeCell ref="R11:R13"/>
    <mergeCell ref="H1:I1"/>
    <mergeCell ref="A3:I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A39-5E0D-4C4F-AF1B-5FDE1C840BC9}">
  <dimension ref="A1:T28"/>
  <sheetViews>
    <sheetView tabSelected="1" workbookViewId="0">
      <selection activeCell="A21" sqref="A21"/>
    </sheetView>
  </sheetViews>
  <sheetFormatPr defaultColWidth="8.88671875" defaultRowHeight="13.2"/>
  <cols>
    <col min="1" max="1" width="12.88671875" style="18" customWidth="1"/>
    <col min="2" max="2" width="14.88671875" style="18" customWidth="1"/>
    <col min="3" max="3" width="15.44140625" style="18" customWidth="1"/>
    <col min="4" max="4" width="15.6640625" style="18" customWidth="1"/>
    <col min="5" max="5" width="19.44140625" style="18" customWidth="1"/>
    <col min="6" max="6" width="17.109375" style="18" customWidth="1"/>
    <col min="7" max="7" width="13.44140625" style="18" customWidth="1"/>
    <col min="8" max="8" width="13" style="18" customWidth="1"/>
    <col min="9" max="9" width="15.6640625" style="18" customWidth="1"/>
    <col min="10" max="14" width="8.88671875" style="18"/>
    <col min="15" max="15" width="21.5546875" style="18" customWidth="1"/>
    <col min="16" max="16384" width="8.88671875" style="18"/>
  </cols>
  <sheetData>
    <row r="1" spans="1:20">
      <c r="A1" s="18" t="s">
        <v>51</v>
      </c>
      <c r="H1" s="44" t="s">
        <v>54</v>
      </c>
      <c r="I1" s="43"/>
    </row>
    <row r="4" spans="1:20">
      <c r="A4" s="44" t="s">
        <v>52</v>
      </c>
      <c r="B4" s="43"/>
      <c r="C4" s="43"/>
      <c r="D4" s="43"/>
      <c r="E4" s="43"/>
      <c r="F4" s="43"/>
      <c r="G4" s="43"/>
      <c r="H4" s="43"/>
      <c r="I4" s="43"/>
    </row>
    <row r="5" spans="1:20" ht="13.8" thickBot="1"/>
    <row r="6" spans="1:20" ht="27" thickBot="1">
      <c r="A6" s="35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36" t="s">
        <v>9</v>
      </c>
      <c r="N6" s="20" t="s">
        <v>10</v>
      </c>
      <c r="O6" s="20"/>
      <c r="P6" s="20"/>
    </row>
    <row r="7" spans="1:20">
      <c r="A7" s="22" t="s">
        <v>11</v>
      </c>
      <c r="B7" s="22">
        <v>21503</v>
      </c>
      <c r="C7" s="22">
        <f t="shared" ref="C7:C22" si="0">B7/($B$26-50)</f>
        <v>0.53116122816984912</v>
      </c>
      <c r="D7" s="22">
        <f>Q17+Q19</f>
        <v>3.3928571428571426E-2</v>
      </c>
      <c r="E7" s="22">
        <f t="shared" ref="E7:E22" si="1">$P$20*($P$11*C7)+$P$20*($P$12*D7)</f>
        <v>1726.983260217693</v>
      </c>
      <c r="F7" s="22">
        <f>ROUND(E7,0)</f>
        <v>1727</v>
      </c>
      <c r="G7" s="22">
        <f t="shared" ref="G7:G22" si="2">SUM(B7,F7)</f>
        <v>23230</v>
      </c>
      <c r="H7" s="23">
        <f t="shared" ref="H7:H23" si="3">100*G7/($G$26)</f>
        <v>51.447301397470824</v>
      </c>
      <c r="I7" s="23">
        <f t="shared" ref="I7:I22" si="4">100*F7/B7</f>
        <v>8.0314374738408603</v>
      </c>
      <c r="N7" s="20"/>
      <c r="O7" s="20"/>
      <c r="P7" s="20" t="s">
        <v>12</v>
      </c>
    </row>
    <row r="8" spans="1:20">
      <c r="A8" s="24" t="s">
        <v>13</v>
      </c>
      <c r="B8" s="24">
        <v>3700</v>
      </c>
      <c r="C8" s="24">
        <f t="shared" si="0"/>
        <v>9.1396388607563675E-2</v>
      </c>
      <c r="D8" s="24">
        <f>Q17+Q19</f>
        <v>3.3928571428571426E-2</v>
      </c>
      <c r="E8" s="24">
        <f t="shared" si="1"/>
        <v>335.25947245492819</v>
      </c>
      <c r="F8" s="24">
        <f t="shared" ref="F8:F13" si="5">ROUND(E8,0)</f>
        <v>335</v>
      </c>
      <c r="G8" s="24">
        <f t="shared" si="2"/>
        <v>4035</v>
      </c>
      <c r="H8" s="25">
        <f t="shared" si="3"/>
        <v>8.9362833034349869</v>
      </c>
      <c r="I8" s="25">
        <f t="shared" si="4"/>
        <v>9.0540540540540544</v>
      </c>
      <c r="N8" s="20"/>
      <c r="O8" s="20"/>
      <c r="P8" s="20"/>
    </row>
    <row r="9" spans="1:20">
      <c r="A9" s="24" t="s">
        <v>14</v>
      </c>
      <c r="B9" s="24">
        <v>3114</v>
      </c>
      <c r="C9" s="24">
        <f t="shared" si="0"/>
        <v>7.6921176790257645E-2</v>
      </c>
      <c r="D9" s="24">
        <f>Q17</f>
        <v>2.1428571428571429E-2</v>
      </c>
      <c r="E9" s="24">
        <f t="shared" si="1"/>
        <v>272.49601961669981</v>
      </c>
      <c r="F9" s="24">
        <f t="shared" si="5"/>
        <v>272</v>
      </c>
      <c r="G9" s="24">
        <f t="shared" si="2"/>
        <v>3386</v>
      </c>
      <c r="H9" s="25">
        <f t="shared" si="3"/>
        <v>7.498948021172458</v>
      </c>
      <c r="I9" s="25">
        <f t="shared" si="4"/>
        <v>8.734746307000643</v>
      </c>
      <c r="N9" s="20"/>
      <c r="O9" s="20"/>
      <c r="P9" s="20"/>
    </row>
    <row r="10" spans="1:20">
      <c r="A10" s="24" t="s">
        <v>15</v>
      </c>
      <c r="B10" s="24">
        <v>3000</v>
      </c>
      <c r="C10" s="24">
        <f t="shared" si="0"/>
        <v>7.4105179952078645E-2</v>
      </c>
      <c r="D10" s="24">
        <f>Q17+Q19</f>
        <v>3.3928571428571426E-2</v>
      </c>
      <c r="E10" s="24">
        <f t="shared" si="1"/>
        <v>280.53798442291469</v>
      </c>
      <c r="F10" s="24">
        <f t="shared" si="5"/>
        <v>281</v>
      </c>
      <c r="G10" s="24">
        <f t="shared" si="2"/>
        <v>3281</v>
      </c>
      <c r="H10" s="25">
        <f t="shared" si="3"/>
        <v>7.2664053329789828</v>
      </c>
      <c r="I10" s="25">
        <f t="shared" si="4"/>
        <v>9.3666666666666671</v>
      </c>
      <c r="N10" s="43"/>
      <c r="O10" s="19" t="s">
        <v>16</v>
      </c>
      <c r="P10" s="19" t="s">
        <v>17</v>
      </c>
      <c r="R10" s="18" t="s">
        <v>18</v>
      </c>
    </row>
    <row r="11" spans="1:20" ht="13.8">
      <c r="A11" s="8" t="s">
        <v>19</v>
      </c>
      <c r="B11" s="24">
        <v>2600</v>
      </c>
      <c r="C11" s="24">
        <f t="shared" si="0"/>
        <v>6.4224489291801495E-2</v>
      </c>
      <c r="D11" s="24">
        <f>Q17+Q19</f>
        <v>3.3928571428571426E-2</v>
      </c>
      <c r="E11" s="24">
        <f t="shared" si="1"/>
        <v>249.26856269033559</v>
      </c>
      <c r="F11" s="24">
        <f t="shared" si="5"/>
        <v>249</v>
      </c>
      <c r="G11" s="24">
        <f t="shared" si="2"/>
        <v>2849</v>
      </c>
      <c r="H11" s="25">
        <f t="shared" si="3"/>
        <v>6.3096582729829693</v>
      </c>
      <c r="I11" s="25">
        <f t="shared" si="4"/>
        <v>9.5769230769230766</v>
      </c>
      <c r="N11" s="43"/>
      <c r="O11" s="19" t="s">
        <v>20</v>
      </c>
      <c r="P11" s="20">
        <v>0.7</v>
      </c>
      <c r="R11" s="20"/>
      <c r="S11" s="20" t="s">
        <v>21</v>
      </c>
      <c r="T11" s="20" t="s">
        <v>22</v>
      </c>
    </row>
    <row r="12" spans="1:20">
      <c r="A12" s="24" t="s">
        <v>23</v>
      </c>
      <c r="B12" s="24">
        <v>2548</v>
      </c>
      <c r="C12" s="24">
        <f t="shared" si="0"/>
        <v>6.293999950596546E-2</v>
      </c>
      <c r="D12" s="24">
        <f>Q17+Q19</f>
        <v>3.3928571428571426E-2</v>
      </c>
      <c r="E12" s="24">
        <f t="shared" si="1"/>
        <v>245.20353786510029</v>
      </c>
      <c r="F12" s="24">
        <f>ROUND(E12,0)</f>
        <v>245</v>
      </c>
      <c r="G12" s="24">
        <f t="shared" si="2"/>
        <v>2793</v>
      </c>
      <c r="H12" s="25">
        <f t="shared" si="3"/>
        <v>6.1856355059464487</v>
      </c>
      <c r="I12" s="25">
        <f t="shared" si="4"/>
        <v>9.615384615384615</v>
      </c>
      <c r="N12" s="43"/>
      <c r="O12" s="19" t="s">
        <v>24</v>
      </c>
      <c r="P12" s="20">
        <f>1-P11</f>
        <v>0.30000000000000004</v>
      </c>
      <c r="R12" s="43" t="s">
        <v>16</v>
      </c>
      <c r="S12" s="20" t="s">
        <v>25</v>
      </c>
      <c r="T12" s="20" t="s">
        <v>26</v>
      </c>
    </row>
    <row r="13" spans="1:20">
      <c r="A13" s="24" t="s">
        <v>27</v>
      </c>
      <c r="B13" s="24">
        <v>2023</v>
      </c>
      <c r="C13" s="24">
        <f t="shared" si="0"/>
        <v>4.9971593014351702E-2</v>
      </c>
      <c r="D13" s="24">
        <f>Q17+Q19</f>
        <v>3.3928571428571426E-2</v>
      </c>
      <c r="E13" s="24">
        <f t="shared" si="1"/>
        <v>204.16242184109024</v>
      </c>
      <c r="F13" s="24">
        <f t="shared" si="5"/>
        <v>204</v>
      </c>
      <c r="G13" s="24">
        <f t="shared" si="2"/>
        <v>2227</v>
      </c>
      <c r="H13" s="25">
        <f t="shared" si="3"/>
        <v>4.9321196819701907</v>
      </c>
      <c r="I13" s="25">
        <f t="shared" si="4"/>
        <v>10.084033613445378</v>
      </c>
      <c r="J13" s="18" t="s">
        <v>53</v>
      </c>
      <c r="K13" s="26">
        <f>SUM(H7:H13)</f>
        <v>92.576351515956858</v>
      </c>
      <c r="N13" s="43"/>
      <c r="O13" s="19" t="s">
        <v>38</v>
      </c>
      <c r="P13" s="20">
        <v>0.85</v>
      </c>
      <c r="R13" s="43"/>
      <c r="S13" s="20" t="s">
        <v>30</v>
      </c>
      <c r="T13" s="20"/>
    </row>
    <row r="14" spans="1:20">
      <c r="A14" s="24" t="s">
        <v>31</v>
      </c>
      <c r="B14" s="24">
        <v>513</v>
      </c>
      <c r="C14" s="24">
        <f t="shared" si="0"/>
        <v>1.267198577180545E-2</v>
      </c>
      <c r="D14" s="24">
        <f>Q18+Q19</f>
        <v>9.0277777777777776E-2</v>
      </c>
      <c r="E14" s="24">
        <f t="shared" si="1"/>
        <v>162.54678337203273</v>
      </c>
      <c r="F14" s="24">
        <f>ROUND(E14,0)</f>
        <v>163</v>
      </c>
      <c r="G14" s="24">
        <f t="shared" si="2"/>
        <v>676</v>
      </c>
      <c r="H14" s="25">
        <f t="shared" si="3"/>
        <v>1.4971319735122806</v>
      </c>
      <c r="I14" s="25">
        <f t="shared" si="4"/>
        <v>31.773879142300196</v>
      </c>
      <c r="N14" s="20"/>
      <c r="O14" s="20" t="s">
        <v>32</v>
      </c>
      <c r="P14" s="20">
        <v>0.7</v>
      </c>
      <c r="R14" s="43"/>
      <c r="S14" s="20" t="s">
        <v>33</v>
      </c>
      <c r="T14" s="20"/>
    </row>
    <row r="15" spans="1:20">
      <c r="A15" s="24" t="s">
        <v>34</v>
      </c>
      <c r="B15" s="24">
        <v>368</v>
      </c>
      <c r="C15" s="24">
        <f t="shared" si="0"/>
        <v>9.0902354074549815E-3</v>
      </c>
      <c r="D15" s="24">
        <f>Q18+Q19</f>
        <v>9.0277777777777776E-2</v>
      </c>
      <c r="E15" s="24">
        <f t="shared" si="1"/>
        <v>151.21161799397279</v>
      </c>
      <c r="F15" s="24">
        <f t="shared" ref="F15:F22" si="6">ROUND(E15,0)</f>
        <v>151</v>
      </c>
      <c r="G15" s="24">
        <f t="shared" si="2"/>
        <v>519</v>
      </c>
      <c r="H15" s="25">
        <f t="shared" si="3"/>
        <v>1.1494252873563218</v>
      </c>
      <c r="I15" s="25">
        <f t="shared" si="4"/>
        <v>41.032608695652172</v>
      </c>
      <c r="N15" s="20"/>
      <c r="O15" s="19" t="s">
        <v>35</v>
      </c>
      <c r="P15" s="20">
        <v>0.15</v>
      </c>
    </row>
    <row r="16" spans="1:20">
      <c r="A16" s="24" t="s">
        <v>36</v>
      </c>
      <c r="B16" s="24">
        <v>264</v>
      </c>
      <c r="C16" s="24">
        <f t="shared" si="0"/>
        <v>6.5212558357829213E-3</v>
      </c>
      <c r="D16" s="24">
        <f>Q18+Q19</f>
        <v>9.0277777777777776E-2</v>
      </c>
      <c r="E16" s="24">
        <f t="shared" si="1"/>
        <v>143.08156834350223</v>
      </c>
      <c r="F16" s="24">
        <f t="shared" si="6"/>
        <v>143</v>
      </c>
      <c r="G16" s="24">
        <f t="shared" si="2"/>
        <v>407</v>
      </c>
      <c r="H16" s="25">
        <f t="shared" si="3"/>
        <v>0.90137975328328124</v>
      </c>
      <c r="I16" s="25">
        <f t="shared" si="4"/>
        <v>54.166666666666664</v>
      </c>
      <c r="N16" s="20"/>
      <c r="O16" s="20"/>
      <c r="P16" s="20"/>
    </row>
    <row r="17" spans="1:17">
      <c r="A17" s="24" t="s">
        <v>37</v>
      </c>
      <c r="B17" s="24">
        <v>224</v>
      </c>
      <c r="C17" s="24">
        <f t="shared" si="0"/>
        <v>5.5331867697552056E-3</v>
      </c>
      <c r="D17" s="24">
        <f>Q18+Q19</f>
        <v>9.0277777777777776E-2</v>
      </c>
      <c r="E17" s="24">
        <f t="shared" si="1"/>
        <v>139.95462617024432</v>
      </c>
      <c r="F17" s="24">
        <f t="shared" si="6"/>
        <v>140</v>
      </c>
      <c r="G17" s="24">
        <f t="shared" si="2"/>
        <v>364</v>
      </c>
      <c r="H17" s="25">
        <f t="shared" si="3"/>
        <v>0.80614798573738178</v>
      </c>
      <c r="I17" s="25">
        <f t="shared" si="4"/>
        <v>62.5</v>
      </c>
      <c r="N17" s="20"/>
      <c r="O17" s="20" t="s">
        <v>38</v>
      </c>
      <c r="P17" s="20" t="s">
        <v>30</v>
      </c>
      <c r="Q17" s="20">
        <f>0.15/7</f>
        <v>2.1428571428571429E-2</v>
      </c>
    </row>
    <row r="18" spans="1:17">
      <c r="A18" s="24" t="s">
        <v>39</v>
      </c>
      <c r="B18" s="24">
        <v>221</v>
      </c>
      <c r="C18" s="24">
        <f t="shared" si="0"/>
        <v>5.4590815898031275E-3</v>
      </c>
      <c r="D18" s="24">
        <f>Q18</f>
        <v>7.7777777777777779E-2</v>
      </c>
      <c r="E18" s="24">
        <f t="shared" si="1"/>
        <v>122.76635550724998</v>
      </c>
      <c r="F18" s="24">
        <f t="shared" si="6"/>
        <v>123</v>
      </c>
      <c r="G18" s="24">
        <f t="shared" si="2"/>
        <v>344</v>
      </c>
      <c r="H18" s="25">
        <f t="shared" si="3"/>
        <v>0.76185414036719601</v>
      </c>
      <c r="I18" s="25">
        <f t="shared" si="4"/>
        <v>55.656108597285069</v>
      </c>
      <c r="O18" s="20" t="s">
        <v>32</v>
      </c>
      <c r="P18" s="18" t="s">
        <v>33</v>
      </c>
      <c r="Q18" s="18">
        <f>0.7/9</f>
        <v>7.7777777777777779E-2</v>
      </c>
    </row>
    <row r="19" spans="1:17">
      <c r="A19" s="24" t="s">
        <v>40</v>
      </c>
      <c r="B19" s="24">
        <v>129</v>
      </c>
      <c r="C19" s="24">
        <f t="shared" si="0"/>
        <v>3.1865227379393821E-3</v>
      </c>
      <c r="D19" s="24">
        <f>Q18+Q19</f>
        <v>9.0277777777777776E-2</v>
      </c>
      <c r="E19" s="24">
        <f t="shared" si="1"/>
        <v>132.5281385087568</v>
      </c>
      <c r="F19" s="24">
        <f t="shared" si="6"/>
        <v>133</v>
      </c>
      <c r="G19" s="24">
        <f t="shared" si="2"/>
        <v>262</v>
      </c>
      <c r="H19" s="25">
        <f t="shared" si="3"/>
        <v>0.58024937434943413</v>
      </c>
      <c r="I19" s="25">
        <f t="shared" si="4"/>
        <v>103.10077519379846</v>
      </c>
      <c r="O19" s="20" t="s">
        <v>35</v>
      </c>
      <c r="P19" s="18" t="s">
        <v>26</v>
      </c>
      <c r="Q19" s="18">
        <f>0.15/12</f>
        <v>1.2499999999999999E-2</v>
      </c>
    </row>
    <row r="20" spans="1:17" ht="17.399999999999999" customHeight="1">
      <c r="A20" s="24" t="s">
        <v>41</v>
      </c>
      <c r="B20" s="24">
        <v>112</v>
      </c>
      <c r="C20" s="24">
        <f t="shared" si="0"/>
        <v>2.7665933848776028E-3</v>
      </c>
      <c r="D20" s="24">
        <f>Q18</f>
        <v>7.7777777777777779E-2</v>
      </c>
      <c r="E20" s="24">
        <f t="shared" si="1"/>
        <v>114.24543808512217</v>
      </c>
      <c r="F20" s="24">
        <f t="shared" si="6"/>
        <v>114</v>
      </c>
      <c r="G20" s="24">
        <f t="shared" si="2"/>
        <v>226</v>
      </c>
      <c r="H20" s="25">
        <f t="shared" si="3"/>
        <v>0.50052045268309964</v>
      </c>
      <c r="I20" s="25">
        <f t="shared" si="4"/>
        <v>101.78571428571429</v>
      </c>
      <c r="O20" s="37" t="s">
        <v>42</v>
      </c>
      <c r="P20" s="18">
        <v>4521</v>
      </c>
    </row>
    <row r="21" spans="1:17">
      <c r="A21" s="46" t="s">
        <v>43</v>
      </c>
      <c r="B21" s="24">
        <v>101</v>
      </c>
      <c r="C21" s="24">
        <f t="shared" si="0"/>
        <v>2.4948743917199813E-3</v>
      </c>
      <c r="D21" s="24">
        <f>Q18</f>
        <v>7.7777777777777779E-2</v>
      </c>
      <c r="E21" s="24">
        <f t="shared" si="1"/>
        <v>113.38552898747625</v>
      </c>
      <c r="F21" s="24">
        <f t="shared" si="6"/>
        <v>113</v>
      </c>
      <c r="G21" s="24">
        <f t="shared" si="2"/>
        <v>214</v>
      </c>
      <c r="H21" s="25">
        <f t="shared" si="3"/>
        <v>0.47394414546098818</v>
      </c>
      <c r="I21" s="25">
        <f t="shared" si="4"/>
        <v>111.88118811881188</v>
      </c>
    </row>
    <row r="22" spans="1:17">
      <c r="A22" s="24" t="s">
        <v>44</v>
      </c>
      <c r="B22" s="24">
        <v>63</v>
      </c>
      <c r="C22" s="24">
        <f t="shared" si="0"/>
        <v>1.5562087789936516E-3</v>
      </c>
      <c r="D22" s="24">
        <f>Q18+Q19</f>
        <v>9.0277777777777776E-2</v>
      </c>
      <c r="E22" s="24">
        <f t="shared" si="1"/>
        <v>127.36868392288123</v>
      </c>
      <c r="F22" s="24">
        <f t="shared" si="6"/>
        <v>127</v>
      </c>
      <c r="G22" s="24">
        <f t="shared" si="2"/>
        <v>190</v>
      </c>
      <c r="H22" s="25">
        <f t="shared" si="3"/>
        <v>0.4207915310167652</v>
      </c>
      <c r="I22" s="25">
        <f t="shared" si="4"/>
        <v>201.5873015873016</v>
      </c>
    </row>
    <row r="23" spans="1:17">
      <c r="A23" s="24" t="s">
        <v>45</v>
      </c>
      <c r="B23" s="27">
        <v>50</v>
      </c>
      <c r="C23" s="24"/>
      <c r="D23" s="24"/>
      <c r="E23" s="24">
        <v>0</v>
      </c>
      <c r="F23" s="24">
        <v>0</v>
      </c>
      <c r="G23" s="28">
        <v>50</v>
      </c>
      <c r="H23" s="29">
        <f t="shared" si="3"/>
        <v>0.11073461342546453</v>
      </c>
      <c r="I23" s="24"/>
    </row>
    <row r="24" spans="1:17">
      <c r="A24" s="24" t="s">
        <v>46</v>
      </c>
      <c r="B24" s="27">
        <v>0</v>
      </c>
      <c r="C24" s="24"/>
      <c r="D24" s="24"/>
      <c r="E24" s="24">
        <v>50</v>
      </c>
      <c r="F24" s="24">
        <v>50</v>
      </c>
      <c r="G24" s="28">
        <v>50</v>
      </c>
      <c r="H24" s="29">
        <f t="shared" ref="H24:H25" si="7">100*G24/($G$26)</f>
        <v>0.11073461342546453</v>
      </c>
      <c r="I24" s="24"/>
    </row>
    <row r="25" spans="1:17">
      <c r="A25" s="24" t="s">
        <v>47</v>
      </c>
      <c r="B25" s="24">
        <v>0</v>
      </c>
      <c r="C25" s="24" t="s">
        <v>48</v>
      </c>
      <c r="D25" s="24"/>
      <c r="E25" s="24">
        <v>50</v>
      </c>
      <c r="F25" s="24">
        <v>50</v>
      </c>
      <c r="G25" s="24">
        <v>50</v>
      </c>
      <c r="H25" s="29">
        <f t="shared" si="7"/>
        <v>0.11073461342546453</v>
      </c>
      <c r="I25" s="24"/>
      <c r="J25" s="18" t="s">
        <v>53</v>
      </c>
      <c r="K25" s="26">
        <f>SUM(H14:H25)</f>
        <v>7.4236484840431416</v>
      </c>
    </row>
    <row r="26" spans="1:17">
      <c r="A26" s="27" t="s">
        <v>28</v>
      </c>
      <c r="B26" s="27">
        <f>SUM(B7:B13,B14:B22,B23:B25)</f>
        <v>40533</v>
      </c>
      <c r="C26" s="24">
        <f>SUM(C7:C23)</f>
        <v>1.0000000000000004</v>
      </c>
      <c r="D26" s="24">
        <f>SUM(D7:D22)</f>
        <v>0.99999999999999989</v>
      </c>
      <c r="E26" s="27">
        <f>SUM(E7:E25)</f>
        <v>4621</v>
      </c>
      <c r="F26" s="24">
        <f>SUM(F7:F25)</f>
        <v>4620</v>
      </c>
      <c r="G26" s="28">
        <f>SUM(G7:G13,G14:G22,G23:G25)</f>
        <v>45153</v>
      </c>
      <c r="H26" s="27"/>
      <c r="I26" s="24"/>
    </row>
    <row r="27" spans="1:17">
      <c r="A27" s="27" t="s">
        <v>49</v>
      </c>
      <c r="B27" s="24">
        <v>37</v>
      </c>
      <c r="C27" s="24" t="s">
        <v>48</v>
      </c>
      <c r="D27" s="24"/>
      <c r="E27" s="24">
        <v>0</v>
      </c>
      <c r="F27" s="24">
        <v>1</v>
      </c>
      <c r="G27" s="24">
        <f>SUM(B27,F27)</f>
        <v>38</v>
      </c>
      <c r="H27" s="24"/>
      <c r="I27" s="24"/>
    </row>
    <row r="28" spans="1:17">
      <c r="A28" s="27" t="s">
        <v>50</v>
      </c>
      <c r="B28" s="30">
        <f>SUM(B26:B27)</f>
        <v>40570</v>
      </c>
      <c r="C28" s="31"/>
      <c r="D28" s="31"/>
      <c r="E28" s="30">
        <f>SUM(E26:E27)</f>
        <v>4621</v>
      </c>
      <c r="F28" s="30"/>
      <c r="G28" s="32">
        <f>SUM(G26:G27)</f>
        <v>45191</v>
      </c>
      <c r="H28" s="27">
        <f>SUM(H7:H13,H14:H22,H23:H25)</f>
        <v>100</v>
      </c>
      <c r="I28" s="31"/>
    </row>
  </sheetData>
  <mergeCells count="4">
    <mergeCell ref="N10:N13"/>
    <mergeCell ref="R12:R14"/>
    <mergeCell ref="A4:I4"/>
    <mergeCell ref="H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TAC = 48.403</vt:lpstr>
      <vt:lpstr>TAC = 45.191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</dc:creator>
  <cp:lastModifiedBy>Dorothee Pinet</cp:lastModifiedBy>
  <dcterms:created xsi:type="dcterms:W3CDTF">2025-10-17T01:08:42Z</dcterms:created>
  <dcterms:modified xsi:type="dcterms:W3CDTF">2025-11-20T08:19:38Z</dcterms:modified>
</cp:coreProperties>
</file>