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unadata\WorkingPublications\2025_Commission\1_Documents\Annexes\"/>
    </mc:Choice>
  </mc:AlternateContent>
  <xr:revisionPtr revIDLastSave="0" documentId="13_ncr:1_{FA6B66E1-8350-412A-A433-7C14726F197A}" xr6:coauthVersionLast="47" xr6:coauthVersionMax="47" xr10:uidLastSave="{00000000-0000-0000-0000-000000000000}"/>
  <bookViews>
    <workbookView xWindow="-108" yWindow="-108" windowWidth="23256" windowHeight="12576" xr2:uid="{00000000-000D-0000-FFFF-FFFF00000000}"/>
  </bookViews>
  <sheets>
    <sheet name="Adjustement data" sheetId="1" r:id="rId1"/>
  </sheets>
  <definedNames>
    <definedName name="_xlnm.Print_Area" localSheetId="0">'Adjustement data'!$A$1:$R$2004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49" i="1" l="1"/>
  <c r="I249" i="1"/>
  <c r="K249" i="1"/>
  <c r="H249" i="1"/>
  <c r="G849" i="1" l="1"/>
  <c r="H849" i="1"/>
  <c r="Q1571" i="1" l="1"/>
  <c r="Q1570" i="1" l="1"/>
  <c r="L950" i="1"/>
  <c r="H2127" i="1" l="1"/>
  <c r="G2127" i="1"/>
  <c r="N800" i="1" l="1"/>
  <c r="N207" i="1"/>
  <c r="H1646" i="1" l="1"/>
  <c r="I1646" i="1"/>
  <c r="M1647" i="1"/>
  <c r="J196" i="1" l="1"/>
  <c r="N348" i="1"/>
  <c r="N352" i="1"/>
  <c r="I1597" i="1" l="1"/>
  <c r="M1599" i="1"/>
  <c r="M1963" i="1"/>
  <c r="L710" i="1" l="1"/>
  <c r="K710" i="1"/>
  <c r="M710" i="1"/>
  <c r="L906" i="1"/>
  <c r="K906" i="1"/>
  <c r="K909" i="1" s="1"/>
  <c r="L928" i="1" l="1"/>
  <c r="L931" i="1" s="1"/>
  <c r="M699" i="1"/>
  <c r="L699" i="1"/>
  <c r="K699" i="1"/>
  <c r="J699" i="1"/>
  <c r="I12" i="1"/>
  <c r="J9" i="1"/>
  <c r="J12" i="1" s="1"/>
  <c r="S1135" i="1" l="1"/>
  <c r="E760" i="1"/>
  <c r="F760" i="1"/>
  <c r="D760" i="1"/>
  <c r="C302" i="1" l="1"/>
  <c r="K238" i="1"/>
  <c r="M238" i="1"/>
  <c r="M207" i="1"/>
  <c r="E737" i="1"/>
  <c r="F734" i="1" s="1"/>
  <c r="I1697" i="1" l="1"/>
  <c r="F2019" i="1" l="1"/>
  <c r="K1985" i="1" l="1"/>
  <c r="L1982" i="1" s="1"/>
  <c r="L1985" i="1" s="1"/>
  <c r="L1950" i="1" l="1"/>
  <c r="E2034" i="1"/>
  <c r="B1306" i="1"/>
  <c r="S1104" i="1" l="1"/>
  <c r="E1714" i="1" l="1"/>
  <c r="D1714" i="1"/>
  <c r="C1714" i="1"/>
  <c r="B1714" i="1"/>
  <c r="H1711" i="1"/>
  <c r="M1339" i="1" l="1"/>
  <c r="L1339" i="1"/>
  <c r="L1342" i="1" s="1"/>
  <c r="M867" i="1"/>
  <c r="L867" i="1"/>
  <c r="Q1209" i="1"/>
  <c r="O1209" i="1"/>
  <c r="Q1212" i="1" l="1"/>
  <c r="S1209" i="1" s="1"/>
  <c r="F746" i="1" l="1"/>
  <c r="F749" i="1" s="1"/>
  <c r="G746" i="1" s="1"/>
  <c r="K2251" i="1" l="1"/>
  <c r="K2232" i="1"/>
  <c r="K2187" i="1" l="1"/>
  <c r="K2168" i="1"/>
  <c r="G2113" i="1"/>
  <c r="D2034" i="1" l="1"/>
  <c r="K1935" i="1" l="1"/>
  <c r="K1916" i="1" l="1"/>
  <c r="K1919" i="1" s="1"/>
  <c r="B1887" i="1" l="1"/>
  <c r="C1884" i="1" s="1"/>
  <c r="I1835" i="1"/>
  <c r="L1750" i="1" l="1"/>
  <c r="B1685" i="1" l="1"/>
  <c r="M1619" i="1"/>
  <c r="L1599" i="1"/>
  <c r="N1559" i="1"/>
  <c r="M1562" i="1"/>
  <c r="K1496" i="1" l="1"/>
  <c r="K1479" i="1"/>
  <c r="L1413" i="1"/>
  <c r="N1362" i="1"/>
  <c r="M1362" i="1"/>
  <c r="M1365" i="1" s="1"/>
  <c r="M1350" i="1"/>
  <c r="L1353" i="1"/>
  <c r="N1339" i="1"/>
  <c r="M1329" i="1"/>
  <c r="C1317" i="1" l="1"/>
  <c r="Q1264" i="1"/>
  <c r="R1264" i="1"/>
  <c r="K975" i="1" l="1"/>
  <c r="L884" i="1" l="1"/>
  <c r="L870" i="1"/>
  <c r="L803" i="1"/>
  <c r="G775" i="1"/>
  <c r="H775" i="1"/>
  <c r="I775" i="1"/>
  <c r="K608" i="1" l="1"/>
  <c r="K593" i="1"/>
  <c r="K558" i="1"/>
  <c r="J558" i="1"/>
  <c r="J518" i="1"/>
  <c r="P464" i="1" l="1"/>
  <c r="P448" i="1"/>
  <c r="Q409" i="1"/>
  <c r="K270" i="1" l="1"/>
  <c r="L270" i="1"/>
  <c r="J270" i="1"/>
  <c r="G249" i="1"/>
  <c r="N225" i="1"/>
  <c r="M225" i="1"/>
  <c r="M196" i="1"/>
  <c r="J120" i="1" l="1"/>
  <c r="J123" i="1" s="1"/>
  <c r="I120" i="1" l="1"/>
  <c r="I123" i="1" s="1"/>
  <c r="H68" i="1" l="1"/>
  <c r="H47" i="1"/>
  <c r="H50" i="1" s="1"/>
  <c r="F2020" i="1" l="1"/>
  <c r="J2003" i="1"/>
  <c r="L1329" i="1" l="1"/>
  <c r="L1332" i="1" s="1"/>
  <c r="C36" i="1" l="1"/>
  <c r="F23" i="1" l="1"/>
  <c r="K1549" i="1"/>
  <c r="K662" i="1" l="1"/>
  <c r="H590" i="1" l="1"/>
  <c r="J593" i="1"/>
  <c r="O448" i="1"/>
  <c r="E683" i="1"/>
  <c r="Q370" i="1"/>
  <c r="R370" i="1"/>
  <c r="L141" i="1"/>
  <c r="K141" i="1"/>
  <c r="L2144" i="1" l="1"/>
  <c r="K2144" i="1"/>
  <c r="K2147" i="1" s="1"/>
  <c r="I47" i="1" l="1"/>
  <c r="L478" i="1" l="1"/>
  <c r="L481" i="1" s="1"/>
  <c r="N238" i="1" l="1"/>
  <c r="L238" i="1"/>
  <c r="L241" i="1" s="1"/>
  <c r="L225" i="1"/>
  <c r="L228" i="1" s="1"/>
  <c r="K225" i="1"/>
  <c r="K228" i="1" s="1"/>
  <c r="M800" i="1" l="1"/>
  <c r="D683" i="1"/>
  <c r="F2127" i="1"/>
  <c r="F2130" i="1" s="1"/>
  <c r="B1777" i="1" l="1"/>
  <c r="C1774" i="1" s="1"/>
  <c r="C1777" i="1" s="1"/>
  <c r="D1774" i="1" s="1"/>
  <c r="D1777" i="1" s="1"/>
  <c r="E1774" i="1" s="1"/>
  <c r="E1777" i="1" s="1"/>
  <c r="B1317" i="1"/>
  <c r="G1284" i="1"/>
  <c r="R1135" i="1"/>
  <c r="F2113" i="1"/>
  <c r="F2116" i="1" s="1"/>
  <c r="F2100" i="1"/>
  <c r="F2103" i="1" s="1"/>
  <c r="F2087" i="1"/>
  <c r="F2090" i="1" s="1"/>
  <c r="G2087" i="1"/>
  <c r="E2087" i="1"/>
  <c r="E2090" i="1" s="1"/>
  <c r="G2072" i="1"/>
  <c r="G2059" i="1"/>
  <c r="G2043" i="1"/>
  <c r="F1774" i="1" l="1"/>
  <c r="F1777" i="1" s="1"/>
  <c r="G1774" i="1" s="1"/>
  <c r="G1777" i="1" s="1"/>
  <c r="H1774" i="1" s="1"/>
  <c r="H1777" i="1" s="1"/>
  <c r="C2034" i="1"/>
  <c r="I2003" i="1"/>
  <c r="I1774" i="1" l="1"/>
  <c r="I1777" i="1" s="1"/>
  <c r="J1774" i="1" s="1"/>
  <c r="J1777" i="1" s="1"/>
  <c r="K1774" i="1" s="1"/>
  <c r="L1948" i="1"/>
  <c r="K1950" i="1"/>
  <c r="L1963" i="1"/>
  <c r="L1966" i="1" s="1"/>
  <c r="E1762" i="1" l="1"/>
  <c r="K1750" i="1" l="1"/>
  <c r="K1753" i="1" s="1"/>
  <c r="I1916" i="1" l="1"/>
  <c r="H1916" i="1"/>
  <c r="J1916" i="1"/>
  <c r="J1919" i="1" s="1"/>
  <c r="K1897" i="1"/>
  <c r="J1897" i="1"/>
  <c r="J1900" i="1" s="1"/>
  <c r="J207" i="1"/>
  <c r="I1854" i="1" l="1"/>
  <c r="I1853" i="1" s="1"/>
  <c r="I1856" i="1" s="1"/>
  <c r="I1834" i="1"/>
  <c r="I1837" i="1" s="1"/>
  <c r="C1682" i="1" l="1"/>
  <c r="C1685" i="1" s="1"/>
  <c r="K1649" i="1" l="1"/>
  <c r="D1638" i="1"/>
  <c r="L1635" i="1"/>
  <c r="J1635" i="1"/>
  <c r="J1638" i="1" s="1"/>
  <c r="I1635" i="1"/>
  <c r="I1638" i="1" s="1"/>
  <c r="K1635" i="1" s="1"/>
  <c r="K1638" i="1" s="1"/>
  <c r="H1635" i="1"/>
  <c r="H1638" i="1" s="1"/>
  <c r="G1635" i="1"/>
  <c r="G1638" i="1" s="1"/>
  <c r="F1635" i="1"/>
  <c r="F1638" i="1" s="1"/>
  <c r="E1635" i="1"/>
  <c r="E1638" i="1" s="1"/>
  <c r="C1635" i="1"/>
  <c r="C1638" i="1" s="1"/>
  <c r="L1619" i="1"/>
  <c r="L1562" i="1"/>
  <c r="J1549" i="1"/>
  <c r="J1552" i="1" s="1"/>
  <c r="K1413" i="1" l="1"/>
  <c r="K1365" i="1"/>
  <c r="K1353" i="1"/>
  <c r="L1391" i="1" l="1"/>
  <c r="L1394" i="1" s="1"/>
  <c r="F1284" i="1" l="1"/>
  <c r="F1287" i="1" s="1"/>
  <c r="E1287" i="1"/>
  <c r="Q1242" i="1"/>
  <c r="Q1135" i="1"/>
  <c r="Q1138" i="1" s="1"/>
  <c r="L196" i="1" l="1"/>
  <c r="L199" i="1" s="1"/>
  <c r="L207" i="1" l="1"/>
  <c r="L210" i="1" s="1"/>
  <c r="K207" i="1"/>
  <c r="K210" i="1" s="1"/>
  <c r="C1438" i="1" l="1"/>
  <c r="J2168" i="1" l="1"/>
  <c r="K2206" i="1"/>
  <c r="J2187" i="1"/>
  <c r="I2267" i="1"/>
  <c r="J2264" i="1" s="1"/>
  <c r="J2267" i="1" s="1"/>
  <c r="K2264" i="1" s="1"/>
  <c r="J2251" i="1" l="1"/>
  <c r="J2254" i="1" s="1"/>
  <c r="D1435" i="1"/>
  <c r="D1438" i="1" s="1"/>
  <c r="E1435" i="1" s="1"/>
  <c r="E1438" i="1" s="1"/>
  <c r="F1435" i="1" s="1"/>
  <c r="F1438" i="1" s="1"/>
  <c r="G1435" i="1" s="1"/>
  <c r="G1438" i="1" l="1"/>
  <c r="H1435" i="1" s="1"/>
  <c r="H1438" i="1" l="1"/>
  <c r="I1435" i="1" s="1"/>
  <c r="I1438" i="1" s="1"/>
  <c r="D737" i="1"/>
  <c r="E734" i="1" s="1"/>
  <c r="C737" i="1"/>
  <c r="K884" i="1"/>
  <c r="F849" i="1"/>
  <c r="F852" i="1" s="1"/>
  <c r="L835" i="1"/>
  <c r="L838" i="1" s="1"/>
  <c r="L816" i="1"/>
  <c r="L819" i="1" s="1"/>
  <c r="J1435" i="1" l="1"/>
  <c r="J1438" i="1" s="1"/>
  <c r="K1435" i="1" s="1"/>
  <c r="J622" i="1"/>
  <c r="J625" i="1" s="1"/>
  <c r="P427" i="1"/>
  <c r="P430" i="1" s="1"/>
  <c r="O464" i="1"/>
  <c r="P409" i="1" l="1"/>
  <c r="P412" i="1" s="1"/>
  <c r="P390" i="1"/>
  <c r="P393" i="1" s="1"/>
  <c r="K498" i="1" l="1"/>
  <c r="K501" i="1" s="1"/>
  <c r="K175" i="1" l="1"/>
  <c r="J175" i="1"/>
  <c r="J178" i="1" s="1"/>
  <c r="I175" i="1"/>
  <c r="I178" i="1" s="1"/>
  <c r="K158" i="1"/>
  <c r="G68" i="1" l="1"/>
  <c r="D33" i="1" l="1"/>
  <c r="D36" i="1" s="1"/>
  <c r="E47" i="1"/>
  <c r="E50" i="1" s="1"/>
  <c r="F47" i="1"/>
  <c r="F50" i="1" s="1"/>
  <c r="G47" i="1"/>
  <c r="G50" i="1" s="1"/>
  <c r="C50" i="1"/>
  <c r="D50" i="1"/>
  <c r="E23" i="1" l="1"/>
  <c r="J975" i="1" l="1"/>
  <c r="K310" i="1" l="1"/>
  <c r="K313" i="1" s="1"/>
  <c r="K928" i="1" l="1"/>
  <c r="K931" i="1" s="1"/>
  <c r="J608" i="1" l="1"/>
  <c r="K572" i="1"/>
  <c r="K575" i="1" s="1"/>
  <c r="K535" i="1"/>
  <c r="K538" i="1" s="1"/>
  <c r="K515" i="1"/>
  <c r="K518" i="1" s="1"/>
  <c r="K478" i="1"/>
  <c r="K481" i="1" s="1"/>
  <c r="E329" i="1" l="1"/>
  <c r="C329" i="1"/>
  <c r="C332" i="1" l="1"/>
  <c r="D329" i="1" s="1"/>
  <c r="H1534" i="1" l="1"/>
  <c r="I1531" i="1" s="1"/>
  <c r="I1534" i="1" s="1"/>
  <c r="J1531" i="1" s="1"/>
  <c r="H1515" i="1"/>
  <c r="J1479" i="1" l="1"/>
  <c r="E2019" i="1" l="1"/>
  <c r="E2020" i="1" l="1"/>
  <c r="H2000" i="1" l="1"/>
  <c r="E849" i="1"/>
  <c r="E852" i="1" s="1"/>
  <c r="B997" i="1" l="1"/>
  <c r="C994" i="1" s="1"/>
  <c r="C997" i="1" s="1"/>
  <c r="D994" i="1" s="1"/>
  <c r="D997" i="1" s="1"/>
  <c r="E994" i="1" s="1"/>
  <c r="E997" i="1" s="1"/>
  <c r="F994" i="1" s="1"/>
  <c r="F997" i="1" s="1"/>
  <c r="G994" i="1" s="1"/>
  <c r="G997" i="1" s="1"/>
  <c r="B1033" i="1"/>
  <c r="C1030" i="1" s="1"/>
  <c r="C1033" i="1" s="1"/>
  <c r="D1030" i="1" s="1"/>
  <c r="D1033" i="1" s="1"/>
  <c r="E1030" i="1" s="1"/>
  <c r="E1033" i="1" s="1"/>
  <c r="F1030" i="1" s="1"/>
  <c r="F1033" i="1" s="1"/>
  <c r="G1030" i="1" s="1"/>
  <c r="G1033" i="1" s="1"/>
  <c r="H1030" i="1" s="1"/>
  <c r="H1033" i="1" s="1"/>
  <c r="I1030" i="1" s="1"/>
  <c r="I1033" i="1" s="1"/>
  <c r="J1030" i="1" s="1"/>
  <c r="J1033" i="1" s="1"/>
  <c r="K1030" i="1" s="1"/>
  <c r="B1015" i="1"/>
  <c r="C1012" i="1" s="1"/>
  <c r="C1015" i="1" s="1"/>
  <c r="D1012" i="1" s="1"/>
  <c r="D1015" i="1" s="1"/>
  <c r="G252" i="1"/>
  <c r="F2059" i="1"/>
  <c r="F2062" i="1" s="1"/>
  <c r="D1762" i="1"/>
  <c r="D1765" i="1" s="1"/>
  <c r="C683" i="1"/>
  <c r="C686" i="1" s="1"/>
  <c r="P370" i="1"/>
  <c r="P373" i="1" s="1"/>
  <c r="J141" i="1"/>
  <c r="J144" i="1" s="1"/>
  <c r="H994" i="1" l="1"/>
  <c r="H997" i="1" s="1"/>
  <c r="I994" i="1" s="1"/>
  <c r="I997" i="1" s="1"/>
  <c r="J994" i="1" s="1"/>
  <c r="J997" i="1" s="1"/>
  <c r="K994" i="1" s="1"/>
  <c r="E1012" i="1"/>
  <c r="E1015" i="1" s="1"/>
  <c r="F1012" i="1" l="1"/>
  <c r="F1015" i="1" s="1"/>
  <c r="C100" i="1"/>
  <c r="B100" i="1"/>
  <c r="F97" i="1"/>
  <c r="F100" i="1" s="1"/>
  <c r="H97" i="1" s="1"/>
  <c r="H100" i="1" s="1"/>
  <c r="J97" i="1" s="1"/>
  <c r="J100" i="1" s="1"/>
  <c r="L97" i="1" s="1"/>
  <c r="L100" i="1" s="1"/>
  <c r="N97" i="1" s="1"/>
  <c r="E97" i="1"/>
  <c r="E100" i="1" s="1"/>
  <c r="G97" i="1" s="1"/>
  <c r="G100" i="1" s="1"/>
  <c r="I97" i="1" s="1"/>
  <c r="I100" i="1" s="1"/>
  <c r="K97" i="1" s="1"/>
  <c r="K100" i="1" s="1"/>
  <c r="M97" i="1" s="1"/>
  <c r="M100" i="1" s="1"/>
  <c r="D97" i="1"/>
  <c r="D100" i="1" s="1"/>
  <c r="C79" i="1"/>
  <c r="E76" i="1" s="1"/>
  <c r="E79" i="1" s="1"/>
  <c r="G76" i="1" s="1"/>
  <c r="G79" i="1" s="1"/>
  <c r="I76" i="1" s="1"/>
  <c r="I79" i="1" s="1"/>
  <c r="K76" i="1" s="1"/>
  <c r="K79" i="1" s="1"/>
  <c r="M76" i="1" s="1"/>
  <c r="M79" i="1" s="1"/>
  <c r="O76" i="1" s="1"/>
  <c r="B79" i="1"/>
  <c r="D76" i="1" s="1"/>
  <c r="D79" i="1" s="1"/>
  <c r="F76" i="1" s="1"/>
  <c r="F79" i="1" s="1"/>
  <c r="H76" i="1" s="1"/>
  <c r="H79" i="1" s="1"/>
  <c r="J76" i="1" s="1"/>
  <c r="J79" i="1" s="1"/>
  <c r="L76" i="1" s="1"/>
  <c r="L79" i="1" s="1"/>
  <c r="N76" i="1" s="1"/>
  <c r="G1012" i="1" l="1"/>
  <c r="G1015" i="1" s="1"/>
  <c r="H1012" i="1" s="1"/>
  <c r="H1015" i="1" s="1"/>
  <c r="I1012" i="1" s="1"/>
  <c r="I1015" i="1" s="1"/>
  <c r="J1012" i="1" s="1"/>
  <c r="J1015" i="1" s="1"/>
  <c r="K1012" i="1" s="1"/>
  <c r="D2127" i="1" l="1"/>
  <c r="G1817" i="1" l="1"/>
  <c r="F1814" i="1"/>
  <c r="C1814" i="1"/>
  <c r="B1817" i="1"/>
  <c r="E1814" i="1"/>
  <c r="E1817" i="1" s="1"/>
  <c r="D1814" i="1"/>
  <c r="D1817" i="1" s="1"/>
  <c r="C1817" i="1" l="1"/>
  <c r="F1817" i="1"/>
  <c r="H1814" i="1" l="1"/>
  <c r="H1817" i="1" s="1"/>
  <c r="I1814" i="1" s="1"/>
  <c r="I1817" i="1" s="1"/>
  <c r="J1814" i="1" s="1"/>
  <c r="J1817" i="1" s="1"/>
  <c r="K1814" i="1" s="1"/>
  <c r="D1795" i="1"/>
  <c r="E1795" i="1"/>
  <c r="B1798" i="1"/>
  <c r="C1795" i="1" s="1"/>
  <c r="B1666" i="1"/>
  <c r="C1663" i="1" s="1"/>
  <c r="C1666" i="1" s="1"/>
  <c r="D1663" i="1" s="1"/>
  <c r="D1666" i="1" s="1"/>
  <c r="E1663" i="1" s="1"/>
  <c r="E1666" i="1" s="1"/>
  <c r="F1663" i="1" s="1"/>
  <c r="F1666" i="1" s="1"/>
  <c r="G1663" i="1" s="1"/>
  <c r="G1666" i="1" s="1"/>
  <c r="H1663" i="1" s="1"/>
  <c r="H1666" i="1" s="1"/>
  <c r="I1663" i="1" s="1"/>
  <c r="I1666" i="1" s="1"/>
  <c r="J1663" i="1" s="1"/>
  <c r="J1666" i="1" s="1"/>
  <c r="K1663" i="1" s="1"/>
  <c r="C1798" i="1" l="1"/>
  <c r="D1798" i="1" s="1"/>
  <c r="E1798" i="1" s="1"/>
  <c r="F1795" i="1" l="1"/>
  <c r="F1798" i="1" s="1"/>
  <c r="G1795" i="1" l="1"/>
  <c r="G1798" i="1" s="1"/>
  <c r="H1795" i="1" l="1"/>
  <c r="H1798" i="1" s="1"/>
  <c r="I1795" i="1" s="1"/>
  <c r="I1798" i="1" s="1"/>
  <c r="J1795" i="1" s="1"/>
  <c r="J1798" i="1" s="1"/>
  <c r="K1795" i="1" s="1"/>
  <c r="C724" i="1" l="1"/>
  <c r="D721" i="1" s="1"/>
  <c r="D724" i="1" s="1"/>
  <c r="E721" i="1" s="1"/>
  <c r="E724" i="1" s="1"/>
  <c r="F721" i="1" s="1"/>
  <c r="F724" i="1" s="1"/>
  <c r="G721" i="1" s="1"/>
  <c r="G724" i="1" s="1"/>
  <c r="B724" i="1"/>
  <c r="P721" i="1"/>
  <c r="O721" i="1"/>
  <c r="N721" i="1"/>
  <c r="M721" i="1"/>
  <c r="L721" i="1"/>
  <c r="K721" i="1"/>
  <c r="J721" i="1"/>
  <c r="J724" i="1" s="1"/>
  <c r="I721" i="1"/>
  <c r="I724" i="1" s="1"/>
  <c r="H721" i="1"/>
  <c r="H724" i="1" s="1"/>
  <c r="B665" i="1"/>
  <c r="C662" i="1" s="1"/>
  <c r="C665" i="1" s="1"/>
  <c r="D662" i="1" s="1"/>
  <c r="D665" i="1" s="1"/>
  <c r="E662" i="1" s="1"/>
  <c r="E665" i="1" s="1"/>
  <c r="F662" i="1" s="1"/>
  <c r="F665" i="1" s="1"/>
  <c r="G662" i="1" l="1"/>
  <c r="G665" i="1" s="1"/>
  <c r="H662" i="1" s="1"/>
  <c r="H665" i="1" s="1"/>
  <c r="I662" i="1" s="1"/>
  <c r="I665" i="1" s="1"/>
  <c r="J662" i="1" s="1"/>
  <c r="C1762" i="1" l="1"/>
  <c r="C1765" i="1" s="1"/>
  <c r="B1762" i="1"/>
  <c r="B1765" i="1" s="1"/>
  <c r="J931" i="1" l="1"/>
  <c r="K816" i="1"/>
  <c r="K819" i="1" s="1"/>
  <c r="N1075" i="1"/>
  <c r="I710" i="1" l="1"/>
  <c r="J710" i="1"/>
  <c r="I699" i="1"/>
  <c r="J896" i="1"/>
  <c r="J884" i="1"/>
  <c r="K835" i="1"/>
  <c r="K838" i="1" s="1"/>
  <c r="M835" i="1" s="1"/>
  <c r="K867" i="1" l="1"/>
  <c r="K870" i="1" s="1"/>
  <c r="B852" i="1"/>
  <c r="C849" i="1" s="1"/>
  <c r="J498" i="1" l="1"/>
  <c r="J501" i="1" s="1"/>
  <c r="L498" i="1" s="1"/>
  <c r="I2206" i="1" l="1"/>
  <c r="I2209" i="1" s="1"/>
  <c r="J2206" i="1" s="1"/>
  <c r="H2190" i="1"/>
  <c r="I2187" i="1" s="1"/>
  <c r="H2171" i="1"/>
  <c r="J2144" i="1"/>
  <c r="J2147" i="1" s="1"/>
  <c r="D2020" i="1"/>
  <c r="C2022" i="1"/>
  <c r="D2019" i="1" s="1"/>
  <c r="D2021" i="1" s="1"/>
  <c r="E2113" i="1"/>
  <c r="E2116" i="1" s="1"/>
  <c r="E2100" i="1"/>
  <c r="E2103" i="1" s="1"/>
  <c r="D2090" i="1"/>
  <c r="F2072" i="1"/>
  <c r="F2075" i="1" s="1"/>
  <c r="E2072" i="1"/>
  <c r="E2075" i="1" s="1"/>
  <c r="D2075" i="1"/>
  <c r="D2062" i="1"/>
  <c r="F2043" i="1"/>
  <c r="F2046" i="1" s="1"/>
  <c r="H2267" i="1" l="1"/>
  <c r="I2251" i="1"/>
  <c r="I2254" i="1" s="1"/>
  <c r="H2003" i="1" l="1"/>
  <c r="K1963" i="1" l="1"/>
  <c r="K1966" i="1" s="1"/>
  <c r="J1950" i="1"/>
  <c r="G1871" i="1" l="1"/>
  <c r="G1874" i="1" s="1"/>
  <c r="I1871" i="1"/>
  <c r="J1871" i="1"/>
  <c r="K1871" i="1"/>
  <c r="L1871" i="1"/>
  <c r="M1871" i="1"/>
  <c r="N1871" i="1"/>
  <c r="O1871" i="1"/>
  <c r="F1871" i="1"/>
  <c r="F1874" i="1" s="1"/>
  <c r="H1871" i="1" s="1"/>
  <c r="E1874" i="1"/>
  <c r="H1854" i="1"/>
  <c r="H1853" i="1" s="1"/>
  <c r="H1856" i="1" s="1"/>
  <c r="G1856" i="1"/>
  <c r="H1835" i="1"/>
  <c r="H1834" i="1" s="1"/>
  <c r="H1837" i="1" s="1"/>
  <c r="D1724" i="1" l="1"/>
  <c r="J1649" i="1" l="1"/>
  <c r="I1649" i="1"/>
  <c r="J1413" i="1"/>
  <c r="K1391" i="1"/>
  <c r="K1394" i="1" s="1"/>
  <c r="J1353" i="1"/>
  <c r="K1329" i="1"/>
  <c r="K1332" i="1" s="1"/>
  <c r="E2127" i="1" l="1"/>
  <c r="E2130" i="1" s="1"/>
  <c r="D2130" i="1"/>
  <c r="D1287" i="1" l="1"/>
  <c r="P1264" i="1"/>
  <c r="P1242" i="1"/>
  <c r="R1239" i="1" s="1"/>
  <c r="R1242" i="1" s="1"/>
  <c r="P1209" i="1"/>
  <c r="P1212" i="1" s="1"/>
  <c r="R1209" i="1" s="1"/>
  <c r="P1135" i="1"/>
  <c r="P1138" i="1" s="1"/>
  <c r="O1078" i="1" l="1"/>
  <c r="Q1075" i="1" s="1"/>
  <c r="O1053" i="1"/>
  <c r="K1619" i="1" l="1"/>
  <c r="K1599" i="1"/>
  <c r="K1562" i="1"/>
  <c r="I1549" i="1"/>
  <c r="I1552" i="1" s="1"/>
  <c r="G906" i="1" l="1"/>
  <c r="H906" i="1"/>
  <c r="H909" i="1" s="1"/>
  <c r="I906" i="1"/>
  <c r="I909" i="1" s="1"/>
  <c r="J906" i="1"/>
  <c r="J909" i="1" s="1"/>
  <c r="F906" i="1"/>
  <c r="K241" i="1"/>
  <c r="J210" i="1"/>
  <c r="K196" i="1"/>
  <c r="K199" i="1" s="1"/>
  <c r="J1750" i="1" l="1"/>
  <c r="J1753" i="1" s="1"/>
  <c r="F775" i="1" l="1"/>
  <c r="E746" i="1" l="1"/>
  <c r="E749" i="1" s="1"/>
  <c r="I622" i="1" l="1"/>
  <c r="I625" i="1" s="1"/>
  <c r="I608" i="1"/>
  <c r="I593" i="1"/>
  <c r="J572" i="1"/>
  <c r="J575" i="1" s="1"/>
  <c r="J535" i="1"/>
  <c r="J538" i="1" s="1"/>
  <c r="J478" i="1"/>
  <c r="J481" i="1" s="1"/>
  <c r="N464" i="1" l="1"/>
  <c r="N448" i="1"/>
  <c r="O427" i="1"/>
  <c r="O430" i="1" s="1"/>
  <c r="O409" i="1"/>
  <c r="O412" i="1" s="1"/>
  <c r="O390" i="1"/>
  <c r="O393" i="1" s="1"/>
  <c r="J310" i="1" l="1"/>
  <c r="J313" i="1" s="1"/>
  <c r="J158" i="1" l="1"/>
  <c r="J161" i="1" s="1"/>
  <c r="F68" i="1" l="1"/>
  <c r="D20" i="1" l="1"/>
  <c r="D23" i="1" s="1"/>
  <c r="C23" i="1"/>
  <c r="H1694" i="1"/>
  <c r="H1697" i="1" s="1"/>
  <c r="G1694" i="1"/>
  <c r="G1697" i="1" s="1"/>
  <c r="I1479" i="1"/>
  <c r="I1482" i="1" s="1"/>
  <c r="I972" i="1" l="1"/>
  <c r="I975" i="1" s="1"/>
  <c r="E2059" i="1" l="1"/>
  <c r="E2062" i="1" s="1"/>
  <c r="O370" i="1"/>
  <c r="O373" i="1" s="1"/>
  <c r="D332" i="1"/>
  <c r="E332" i="1" s="1"/>
  <c r="G329" i="1"/>
  <c r="G332" i="1" s="1"/>
  <c r="H329" i="1" s="1"/>
  <c r="H332" i="1" s="1"/>
  <c r="I329" i="1" s="1"/>
  <c r="F329" i="1"/>
  <c r="F332" i="1" s="1"/>
  <c r="F1571" i="1"/>
  <c r="F1570" i="1" s="1"/>
  <c r="F1573" i="1" s="1"/>
  <c r="G1571" i="1" s="1"/>
  <c r="G1570" i="1" s="1"/>
  <c r="G1573" i="1" s="1"/>
  <c r="H1571" i="1" s="1"/>
  <c r="H1570" i="1" s="1"/>
  <c r="H1573" i="1" s="1"/>
  <c r="I1571" i="1" s="1"/>
  <c r="I1570" i="1" s="1"/>
  <c r="I1573" i="1" s="1"/>
  <c r="J1571" i="1" s="1"/>
  <c r="J1570" i="1" s="1"/>
  <c r="J1573" i="1" s="1"/>
  <c r="K1571" i="1" s="1"/>
  <c r="K1570" i="1" s="1"/>
  <c r="K1573" i="1" s="1"/>
  <c r="L1571" i="1" s="1"/>
  <c r="L1570" i="1" s="1"/>
  <c r="L1573" i="1" s="1"/>
  <c r="M1571" i="1" s="1"/>
  <c r="M1570" i="1" s="1"/>
  <c r="M1573" i="1" s="1"/>
  <c r="N1571" i="1" s="1"/>
  <c r="N1570" i="1" s="1"/>
  <c r="N1573" i="1" s="1"/>
  <c r="D1571" i="1"/>
  <c r="D1570" i="1" s="1"/>
  <c r="D1573" i="1" s="1"/>
  <c r="E1571" i="1" s="1"/>
  <c r="E1570" i="1" s="1"/>
  <c r="E1573" i="1" s="1"/>
  <c r="B1571" i="1"/>
  <c r="B1570" i="1" s="1"/>
  <c r="B1573" i="1" s="1"/>
  <c r="C1571" i="1" s="1"/>
  <c r="C1570" i="1" s="1"/>
  <c r="C1573" i="1" s="1"/>
  <c r="D252" i="1"/>
  <c r="F249" i="1" s="1"/>
  <c r="F252" i="1" s="1"/>
  <c r="I141" i="1"/>
  <c r="I144" i="1" s="1"/>
  <c r="K800" i="1"/>
  <c r="K803" i="1" s="1"/>
  <c r="D1874" i="1"/>
  <c r="C1874" i="1"/>
  <c r="C2075" i="1"/>
  <c r="F1856" i="1"/>
  <c r="G1835" i="1"/>
  <c r="G1834" i="1" s="1"/>
  <c r="G1837" i="1" s="1"/>
  <c r="H1750" i="1"/>
  <c r="H1753" i="1" s="1"/>
  <c r="G1753" i="1"/>
  <c r="I1750" i="1" s="1"/>
  <c r="I1753" i="1" s="1"/>
  <c r="C1724" i="1"/>
  <c r="B2280" i="1"/>
  <c r="C2277" i="1" s="1"/>
  <c r="C2280" i="1" s="1"/>
  <c r="D2277" i="1" s="1"/>
  <c r="D2280" i="1" s="1"/>
  <c r="E2277" i="1" s="1"/>
  <c r="E2280" i="1" s="1"/>
  <c r="F2277" i="1" s="1"/>
  <c r="F2280" i="1" s="1"/>
  <c r="G2277" i="1" s="1"/>
  <c r="G2280" i="1" s="1"/>
  <c r="H2251" i="1"/>
  <c r="H2254" i="1" s="1"/>
  <c r="J1599" i="1"/>
  <c r="J1562" i="1"/>
  <c r="H1549" i="1"/>
  <c r="H1552" i="1" s="1"/>
  <c r="H225" i="1"/>
  <c r="H228" i="1" s="1"/>
  <c r="I225" i="1"/>
  <c r="I228" i="1" s="1"/>
  <c r="J225" i="1"/>
  <c r="J228" i="1" s="1"/>
  <c r="D2113" i="1"/>
  <c r="D2116" i="1" s="1"/>
  <c r="C2116" i="1"/>
  <c r="D2100" i="1"/>
  <c r="D2103" i="1" s="1"/>
  <c r="C2103" i="1"/>
  <c r="C2062" i="1"/>
  <c r="D2043" i="1"/>
  <c r="D2046" i="1" s="1"/>
  <c r="C2042" i="1"/>
  <c r="E2043" i="1" s="1"/>
  <c r="E2046" i="1" s="1"/>
  <c r="H789" i="1"/>
  <c r="J786" i="1" s="1"/>
  <c r="J789" i="1" s="1"/>
  <c r="L786" i="1" s="1"/>
  <c r="L789" i="1" s="1"/>
  <c r="I1413" i="1"/>
  <c r="I1391" i="1"/>
  <c r="I1394" i="1" s="1"/>
  <c r="J1391" i="1"/>
  <c r="J1394" i="1" s="1"/>
  <c r="J1374" i="1"/>
  <c r="J1377" i="1" s="1"/>
  <c r="K1374" i="1" s="1"/>
  <c r="K1377" i="1" s="1"/>
  <c r="H1377" i="1"/>
  <c r="I1374" i="1" s="1"/>
  <c r="I1377" i="1" s="1"/>
  <c r="I1362" i="1"/>
  <c r="I1365" i="1" s="1"/>
  <c r="J1362" i="1"/>
  <c r="J1365" i="1" s="1"/>
  <c r="I1353" i="1"/>
  <c r="I1342" i="1"/>
  <c r="K1339" i="1" s="1"/>
  <c r="K1342" i="1" s="1"/>
  <c r="I1329" i="1"/>
  <c r="I1332" i="1" s="1"/>
  <c r="G175" i="1"/>
  <c r="G178" i="1" s="1"/>
  <c r="H175" i="1"/>
  <c r="H178" i="1" s="1"/>
  <c r="G158" i="1"/>
  <c r="G161" i="1" s="1"/>
  <c r="I158" i="1"/>
  <c r="I161" i="1" s="1"/>
  <c r="G141" i="1"/>
  <c r="G144" i="1" s="1"/>
  <c r="G120" i="1"/>
  <c r="G123" i="1" s="1"/>
  <c r="F123" i="1"/>
  <c r="H2209" i="1"/>
  <c r="H1649" i="1"/>
  <c r="H2187" i="1"/>
  <c r="G2171" i="1"/>
  <c r="I2144" i="1"/>
  <c r="I2147" i="1" s="1"/>
  <c r="H2144" i="1"/>
  <c r="H2147" i="1" s="1"/>
  <c r="G1985" i="1"/>
  <c r="H1982" i="1" s="1"/>
  <c r="H1985" i="1" s="1"/>
  <c r="I1982" i="1" s="1"/>
  <c r="I1985" i="1" s="1"/>
  <c r="J1982" i="1" s="1"/>
  <c r="J1985" i="1" s="1"/>
  <c r="J1963" i="1"/>
  <c r="J1966" i="1" s="1"/>
  <c r="G1966" i="1"/>
  <c r="H1963" i="1" s="1"/>
  <c r="H1966" i="1" s="1"/>
  <c r="I1963" i="1" s="1"/>
  <c r="I1966" i="1" s="1"/>
  <c r="I1950" i="1"/>
  <c r="I1919" i="1"/>
  <c r="H1919" i="1"/>
  <c r="E1897" i="1"/>
  <c r="E1900" i="1" s="1"/>
  <c r="G1897" i="1" s="1"/>
  <c r="G1900" i="1" s="1"/>
  <c r="I1897" i="1" s="1"/>
  <c r="I1900" i="1" s="1"/>
  <c r="D746" i="1"/>
  <c r="D749" i="1" s="1"/>
  <c r="C749" i="1"/>
  <c r="D608" i="1"/>
  <c r="E608" i="1"/>
  <c r="F608" i="1"/>
  <c r="C608" i="1"/>
  <c r="I572" i="1"/>
  <c r="I575" i="1" s="1"/>
  <c r="I555" i="1"/>
  <c r="I558" i="1" s="1"/>
  <c r="I536" i="1"/>
  <c r="H538" i="1"/>
  <c r="I535" i="1" s="1"/>
  <c r="I538" i="1" s="1"/>
  <c r="I515" i="1"/>
  <c r="I518" i="1" s="1"/>
  <c r="J238" i="1"/>
  <c r="J241" i="1" s="1"/>
  <c r="I238" i="1"/>
  <c r="I241" i="1" s="1"/>
  <c r="I207" i="1"/>
  <c r="I210" i="1" s="1"/>
  <c r="J199" i="1"/>
  <c r="I196" i="1"/>
  <c r="I199" i="1" s="1"/>
  <c r="E68" i="1"/>
  <c r="C1287" i="1"/>
  <c r="O1264" i="1"/>
  <c r="O1242" i="1"/>
  <c r="O1212" i="1"/>
  <c r="N1190" i="1"/>
  <c r="O1187" i="1" s="1"/>
  <c r="O1190" i="1" s="1"/>
  <c r="P1187" i="1" s="1"/>
  <c r="O1135" i="1"/>
  <c r="O1138" i="1" s="1"/>
  <c r="N1138" i="1"/>
  <c r="N1078" i="1"/>
  <c r="P1075" i="1" s="1"/>
  <c r="P1078" i="1" s="1"/>
  <c r="R1075" i="1" s="1"/>
  <c r="N1053" i="1"/>
  <c r="I896" i="1"/>
  <c r="J816" i="1"/>
  <c r="J819" i="1" s="1"/>
  <c r="I816" i="1"/>
  <c r="I819" i="1" s="1"/>
  <c r="B645" i="1"/>
  <c r="C642" i="1" s="1"/>
  <c r="C645" i="1" s="1"/>
  <c r="D642" i="1" s="1"/>
  <c r="D645" i="1" s="1"/>
  <c r="E642" i="1" s="1"/>
  <c r="E645" i="1" s="1"/>
  <c r="F642" i="1" s="1"/>
  <c r="F645" i="1" s="1"/>
  <c r="G642" i="1" s="1"/>
  <c r="G645" i="1" s="1"/>
  <c r="H642" i="1" s="1"/>
  <c r="H645" i="1" s="1"/>
  <c r="I642" i="1" s="1"/>
  <c r="I645" i="1" s="1"/>
  <c r="J642" i="1" s="1"/>
  <c r="J645" i="1" s="1"/>
  <c r="K642" i="1" s="1"/>
  <c r="H622" i="1"/>
  <c r="H625" i="1" s="1"/>
  <c r="G622" i="1"/>
  <c r="G625" i="1" s="1"/>
  <c r="F622" i="1"/>
  <c r="F625" i="1" s="1"/>
  <c r="E622" i="1"/>
  <c r="E625" i="1" s="1"/>
  <c r="D622" i="1"/>
  <c r="D625" i="1" s="1"/>
  <c r="C622" i="1"/>
  <c r="C625" i="1" s="1"/>
  <c r="B622" i="1"/>
  <c r="B625" i="1" s="1"/>
  <c r="N427" i="1"/>
  <c r="N430" i="1" s="1"/>
  <c r="N409" i="1"/>
  <c r="N412" i="1" s="1"/>
  <c r="N355" i="1"/>
  <c r="I310" i="1"/>
  <c r="I313" i="1" s="1"/>
  <c r="C972" i="1"/>
  <c r="C975" i="1" s="1"/>
  <c r="B975" i="1"/>
  <c r="H972" i="1"/>
  <c r="H975" i="1" s="1"/>
  <c r="E972" i="1"/>
  <c r="E975" i="1" s="1"/>
  <c r="G972" i="1" s="1"/>
  <c r="G975" i="1" s="1"/>
  <c r="E775" i="1"/>
  <c r="D775" i="1"/>
  <c r="I928" i="1"/>
  <c r="I931" i="1" s="1"/>
  <c r="F1518" i="1"/>
  <c r="G1515" i="1" s="1"/>
  <c r="G1518" i="1" s="1"/>
  <c r="H1518" i="1" s="1"/>
  <c r="I1515" i="1" s="1"/>
  <c r="I1518" i="1" s="1"/>
  <c r="J1515" i="1" s="1"/>
  <c r="H1496" i="1"/>
  <c r="H1499" i="1" s="1"/>
  <c r="J1496" i="1" s="1"/>
  <c r="F1499" i="1"/>
  <c r="H1479" i="1"/>
  <c r="H1482" i="1" s="1"/>
  <c r="G2000" i="1"/>
  <c r="G2003" i="1" s="1"/>
  <c r="F2003" i="1"/>
  <c r="E2003" i="1"/>
  <c r="N1209" i="1"/>
  <c r="N1212" i="1" s="1"/>
  <c r="I478" i="1"/>
  <c r="I481" i="1" s="1"/>
  <c r="J867" i="1"/>
  <c r="J870" i="1" s="1"/>
  <c r="N370" i="1"/>
  <c r="N373" i="1" s="1"/>
  <c r="J1329" i="1"/>
  <c r="J1332" i="1" s="1"/>
  <c r="H158" i="1"/>
  <c r="H161" i="1" s="1"/>
  <c r="H141" i="1"/>
  <c r="H144" i="1" s="1"/>
  <c r="H120" i="1"/>
  <c r="H123" i="1" s="1"/>
  <c r="G1549" i="1"/>
  <c r="G1552" i="1" s="1"/>
  <c r="F1549" i="1"/>
  <c r="F1552" i="1" s="1"/>
  <c r="E1549" i="1"/>
  <c r="E1552" i="1" s="1"/>
  <c r="D1549" i="1"/>
  <c r="D1552" i="1" s="1"/>
  <c r="C1549" i="1"/>
  <c r="C1552" i="1" s="1"/>
  <c r="B1549" i="1"/>
  <c r="B1552" i="1" s="1"/>
  <c r="E1499" i="1"/>
  <c r="G1496" i="1" s="1"/>
  <c r="G1499" i="1" s="1"/>
  <c r="I1496" i="1" s="1"/>
  <c r="I1499" i="1" s="1"/>
  <c r="D1499" i="1"/>
  <c r="C1499" i="1"/>
  <c r="B1499" i="1"/>
  <c r="G1332" i="1"/>
  <c r="H1332" i="1"/>
  <c r="N1264" i="1"/>
  <c r="N1242" i="1"/>
  <c r="M1212" i="1"/>
  <c r="M1138" i="1"/>
  <c r="D518" i="1"/>
  <c r="C518" i="1"/>
  <c r="C252" i="1"/>
  <c r="E249" i="1" s="1"/>
  <c r="E252" i="1" s="1"/>
  <c r="C2264" i="1"/>
  <c r="C2267" i="1" s="1"/>
  <c r="D2264" i="1" s="1"/>
  <c r="D2267" i="1" s="1"/>
  <c r="E2267" i="1"/>
  <c r="F2264" i="1"/>
  <c r="F2267" i="1" s="1"/>
  <c r="G2264" i="1"/>
  <c r="G2267" i="1" s="1"/>
  <c r="B2264" i="1"/>
  <c r="B2267" i="1" s="1"/>
  <c r="G2251" i="1"/>
  <c r="G2254" i="1" s="1"/>
  <c r="F2251" i="1"/>
  <c r="F2254" i="1" s="1"/>
  <c r="E2251" i="1"/>
  <c r="E2254" i="1" s="1"/>
  <c r="D2251" i="1"/>
  <c r="D2254" i="1" s="1"/>
  <c r="C2251" i="1"/>
  <c r="C2254" i="1" s="1"/>
  <c r="B2251" i="1"/>
  <c r="B2254" i="1" s="1"/>
  <c r="B2235" i="1"/>
  <c r="C2232" i="1" s="1"/>
  <c r="C2235" i="1" s="1"/>
  <c r="D2232" i="1" s="1"/>
  <c r="D2235" i="1" s="1"/>
  <c r="E2232" i="1" s="1"/>
  <c r="E2235" i="1" s="1"/>
  <c r="F2232" i="1" s="1"/>
  <c r="F2235" i="1" s="1"/>
  <c r="G2232" i="1" s="1"/>
  <c r="G2235" i="1" s="1"/>
  <c r="H2232" i="1" s="1"/>
  <c r="H2235" i="1" s="1"/>
  <c r="I2232" i="1" s="1"/>
  <c r="I2235" i="1" s="1"/>
  <c r="J2232" i="1" s="1"/>
  <c r="J2235" i="1" s="1"/>
  <c r="G2209" i="1"/>
  <c r="E2171" i="1"/>
  <c r="F2171" i="1"/>
  <c r="G2147" i="1"/>
  <c r="H1947" i="1"/>
  <c r="H816" i="1"/>
  <c r="H819" i="1" s="1"/>
  <c r="F1835" i="1"/>
  <c r="F1834" i="1" s="1"/>
  <c r="F1837" i="1" s="1"/>
  <c r="G310" i="1"/>
  <c r="G313" i="1" s="1"/>
  <c r="F1694" i="1"/>
  <c r="F1697" i="1" s="1"/>
  <c r="G1479" i="1"/>
  <c r="G1482" i="1" s="1"/>
  <c r="F1479" i="1"/>
  <c r="F1482" i="1" s="1"/>
  <c r="H1425" i="1"/>
  <c r="G1425" i="1"/>
  <c r="H1413" i="1"/>
  <c r="H1391" i="1"/>
  <c r="H1394" i="1" s="1"/>
  <c r="H1353" i="1"/>
  <c r="H1342" i="1"/>
  <c r="J1339" i="1" s="1"/>
  <c r="J1342" i="1" s="1"/>
  <c r="G909" i="1"/>
  <c r="G931" i="1"/>
  <c r="C852" i="1"/>
  <c r="D849" i="1" s="1"/>
  <c r="D852" i="1" s="1"/>
  <c r="H896" i="1"/>
  <c r="I881" i="1"/>
  <c r="I884" i="1" s="1"/>
  <c r="H884" i="1"/>
  <c r="J835" i="1"/>
  <c r="J838" i="1" s="1"/>
  <c r="I835" i="1"/>
  <c r="I838" i="1" s="1"/>
  <c r="H803" i="1"/>
  <c r="J800" i="1"/>
  <c r="J803" i="1" s="1"/>
  <c r="F1916" i="1"/>
  <c r="F1919" i="1" s="1"/>
  <c r="G1916" i="1"/>
  <c r="G1919" i="1" s="1"/>
  <c r="E1916" i="1"/>
  <c r="E1919" i="1" s="1"/>
  <c r="D1916" i="1"/>
  <c r="D1919" i="1" s="1"/>
  <c r="C1916" i="1"/>
  <c r="C1919" i="1" s="1"/>
  <c r="N1162" i="1"/>
  <c r="N1165" i="1" s="1"/>
  <c r="O1162" i="1" s="1"/>
  <c r="O1165" i="1" s="1"/>
  <c r="P1162" i="1" s="1"/>
  <c r="P1165" i="1" s="1"/>
  <c r="F1646" i="1"/>
  <c r="F1649" i="1" s="1"/>
  <c r="G1646" i="1"/>
  <c r="G1649" i="1" s="1"/>
  <c r="E1646" i="1"/>
  <c r="E1649" i="1" s="1"/>
  <c r="D1646" i="1"/>
  <c r="D1649" i="1" s="1"/>
  <c r="C1646" i="1"/>
  <c r="C1649" i="1" s="1"/>
  <c r="H572" i="1"/>
  <c r="H575" i="1" s="1"/>
  <c r="G538" i="1"/>
  <c r="G481" i="1"/>
  <c r="H478" i="1"/>
  <c r="H481" i="1" s="1"/>
  <c r="H605" i="1"/>
  <c r="H608" i="1" s="1"/>
  <c r="H593" i="1"/>
  <c r="H555" i="1"/>
  <c r="H558" i="1" s="1"/>
  <c r="H515" i="1"/>
  <c r="H518" i="1" s="1"/>
  <c r="L461" i="1"/>
  <c r="L464" i="1" s="1"/>
  <c r="L445" i="1"/>
  <c r="L448" i="1" s="1"/>
  <c r="L427" i="1"/>
  <c r="L430" i="1" s="1"/>
  <c r="M427" i="1"/>
  <c r="M430" i="1" s="1"/>
  <c r="M409" i="1"/>
  <c r="M412" i="1" s="1"/>
  <c r="L412" i="1"/>
  <c r="L393" i="1"/>
  <c r="N390" i="1" s="1"/>
  <c r="N393" i="1" s="1"/>
  <c r="L373" i="1"/>
  <c r="M352" i="1"/>
  <c r="M355" i="1" s="1"/>
  <c r="O352" i="1" s="1"/>
  <c r="O355" i="1" s="1"/>
  <c r="Q352" i="1" s="1"/>
  <c r="L355" i="1"/>
  <c r="H310" i="1"/>
  <c r="H313" i="1" s="1"/>
  <c r="H238" i="1"/>
  <c r="H241" i="1" s="1"/>
  <c r="H207" i="1"/>
  <c r="H210" i="1" s="1"/>
  <c r="H196" i="1"/>
  <c r="H199" i="1" s="1"/>
  <c r="D68" i="1"/>
  <c r="G1935" i="1"/>
  <c r="J1617" i="1"/>
  <c r="J1616" i="1" s="1"/>
  <c r="J1619" i="1" s="1"/>
  <c r="I1617" i="1"/>
  <c r="I1616" i="1" s="1"/>
  <c r="I1619" i="1" s="1"/>
  <c r="I1599" i="1"/>
  <c r="I1562" i="1"/>
  <c r="B1450" i="1"/>
  <c r="C1447" i="1" s="1"/>
  <c r="C1450" i="1" s="1"/>
  <c r="D1447" i="1" s="1"/>
  <c r="D1450" i="1" s="1"/>
  <c r="E1447" i="1" s="1"/>
  <c r="E1450" i="1" s="1"/>
  <c r="F1447" i="1" s="1"/>
  <c r="F1450" i="1" s="1"/>
  <c r="G1447" i="1" s="1"/>
  <c r="G1450" i="1" s="1"/>
  <c r="K1104" i="1"/>
  <c r="K1107" i="1" s="1"/>
  <c r="L1104" i="1" s="1"/>
  <c r="L1107" i="1" s="1"/>
  <c r="M1104" i="1" s="1"/>
  <c r="M1107" i="1" s="1"/>
  <c r="N1104" i="1" s="1"/>
  <c r="N1107" i="1" s="1"/>
  <c r="O1104" i="1" s="1"/>
  <c r="O1107" i="1" s="1"/>
  <c r="H1104" i="1"/>
  <c r="H1107" i="1" s="1"/>
  <c r="I1104" i="1" s="1"/>
  <c r="I1107" i="1" s="1"/>
  <c r="J1104" i="1" s="1"/>
  <c r="J1107" i="1" s="1"/>
  <c r="D1750" i="1"/>
  <c r="D1753" i="1" s="1"/>
  <c r="C1750" i="1"/>
  <c r="C1753" i="1" s="1"/>
  <c r="E1750" i="1" s="1"/>
  <c r="E1753" i="1" s="1"/>
  <c r="G196" i="1"/>
  <c r="G199" i="1" s="1"/>
  <c r="F950" i="1"/>
  <c r="F953" i="1" s="1"/>
  <c r="G950" i="1" s="1"/>
  <c r="G953" i="1" s="1"/>
  <c r="H950" i="1" s="1"/>
  <c r="H953" i="1" s="1"/>
  <c r="I950" i="1" s="1"/>
  <c r="I953" i="1" s="1"/>
  <c r="J950" i="1" s="1"/>
  <c r="J953" i="1" s="1"/>
  <c r="K950" i="1" s="1"/>
  <c r="K953" i="1" s="1"/>
  <c r="F931" i="1"/>
  <c r="E931" i="1"/>
  <c r="D931" i="1"/>
  <c r="C928" i="1"/>
  <c r="C931" i="1" s="1"/>
  <c r="B928" i="1"/>
  <c r="B931" i="1" s="1"/>
  <c r="F909" i="1"/>
  <c r="E906" i="1"/>
  <c r="D906" i="1"/>
  <c r="D909" i="1" s="1"/>
  <c r="C906" i="1"/>
  <c r="C909" i="1" s="1"/>
  <c r="B906" i="1"/>
  <c r="B909" i="1" s="1"/>
  <c r="B1617" i="1"/>
  <c r="B1616" i="1" s="1"/>
  <c r="B1597" i="1"/>
  <c r="B1596" i="1" s="1"/>
  <c r="B373" i="1"/>
  <c r="B210" i="1"/>
  <c r="B68" i="1"/>
  <c r="H1362" i="1"/>
  <c r="H1365" i="1" s="1"/>
  <c r="G605" i="1"/>
  <c r="G608" i="1" s="1"/>
  <c r="G590" i="1"/>
  <c r="G593" i="1" s="1"/>
  <c r="F593" i="1"/>
  <c r="F575" i="1"/>
  <c r="G572" i="1"/>
  <c r="G575" i="1" s="1"/>
  <c r="F558" i="1"/>
  <c r="G555" i="1"/>
  <c r="G558" i="1" s="1"/>
  <c r="F518" i="1"/>
  <c r="G515" i="1"/>
  <c r="G518" i="1" s="1"/>
  <c r="G498" i="1"/>
  <c r="G501" i="1" s="1"/>
  <c r="I498" i="1" s="1"/>
  <c r="I501" i="1" s="1"/>
  <c r="F498" i="1"/>
  <c r="F501" i="1" s="1"/>
  <c r="H498" i="1" s="1"/>
  <c r="K464" i="1"/>
  <c r="M461" i="1"/>
  <c r="M464" i="1" s="1"/>
  <c r="K448" i="1"/>
  <c r="K430" i="1"/>
  <c r="K412" i="1"/>
  <c r="K390" i="1"/>
  <c r="K393" i="1" s="1"/>
  <c r="M390" i="1" s="1"/>
  <c r="M393" i="1" s="1"/>
  <c r="M370" i="1"/>
  <c r="M373" i="1" s="1"/>
  <c r="J373" i="1"/>
  <c r="C373" i="1"/>
  <c r="D373" i="1"/>
  <c r="E373" i="1"/>
  <c r="F373" i="1"/>
  <c r="G373" i="1"/>
  <c r="I370" i="1" s="1"/>
  <c r="I373" i="1" s="1"/>
  <c r="K370" i="1" s="1"/>
  <c r="K373" i="1" s="1"/>
  <c r="H373" i="1"/>
  <c r="G707" i="1"/>
  <c r="G710" i="1" s="1"/>
  <c r="H707" i="1"/>
  <c r="H710" i="1" s="1"/>
  <c r="F707" i="1"/>
  <c r="F710" i="1" s="1"/>
  <c r="E707" i="1"/>
  <c r="E710" i="1" s="1"/>
  <c r="D707" i="1"/>
  <c r="D710" i="1" s="1"/>
  <c r="C707" i="1"/>
  <c r="C710" i="1" s="1"/>
  <c r="G699" i="1"/>
  <c r="F1897" i="1"/>
  <c r="F1900" i="1" s="1"/>
  <c r="H1897" i="1" s="1"/>
  <c r="H1900" i="1" s="1"/>
  <c r="D1900" i="1"/>
  <c r="G238" i="1"/>
  <c r="G241" i="1" s="1"/>
  <c r="C238" i="1"/>
  <c r="C241" i="1" s="1"/>
  <c r="D238" i="1"/>
  <c r="D241" i="1" s="1"/>
  <c r="E238" i="1"/>
  <c r="E241" i="1" s="1"/>
  <c r="B238" i="1"/>
  <c r="B241" i="1" s="1"/>
  <c r="F238" i="1"/>
  <c r="F241" i="1" s="1"/>
  <c r="C228" i="1"/>
  <c r="D228" i="1"/>
  <c r="B228" i="1"/>
  <c r="G225" i="1"/>
  <c r="G228" i="1" s="1"/>
  <c r="F225" i="1"/>
  <c r="F228" i="1" s="1"/>
  <c r="E225" i="1"/>
  <c r="E228" i="1" s="1"/>
  <c r="G210" i="1"/>
  <c r="F210" i="1"/>
  <c r="E210" i="1"/>
  <c r="D210" i="1"/>
  <c r="C210" i="1"/>
  <c r="D1856" i="1"/>
  <c r="E1854" i="1"/>
  <c r="E1853" i="1" s="1"/>
  <c r="E1856" i="1" s="1"/>
  <c r="E1835" i="1"/>
  <c r="E1834" i="1" s="1"/>
  <c r="E1837" i="1" s="1"/>
  <c r="H1617" i="1"/>
  <c r="H1562" i="1"/>
  <c r="F2209" i="1"/>
  <c r="E2209" i="1"/>
  <c r="D2209" i="1"/>
  <c r="C2209" i="1"/>
  <c r="D2171" i="1"/>
  <c r="F2147" i="1"/>
  <c r="E2147" i="1"/>
  <c r="C68" i="1"/>
  <c r="G1413" i="1"/>
  <c r="G1394" i="1"/>
  <c r="G1365" i="1"/>
  <c r="F1365" i="1"/>
  <c r="G1353" i="1"/>
  <c r="G1342" i="1"/>
  <c r="G896" i="1"/>
  <c r="F896" i="1"/>
  <c r="E896" i="1"/>
  <c r="D884" i="1"/>
  <c r="G884" i="1"/>
  <c r="E884" i="1"/>
  <c r="H867" i="1"/>
  <c r="H870" i="1" s="1"/>
  <c r="G870" i="1"/>
  <c r="I867" i="1" s="1"/>
  <c r="I870" i="1" s="1"/>
  <c r="G803" i="1"/>
  <c r="I800" i="1"/>
  <c r="I803" i="1" s="1"/>
  <c r="G789" i="1"/>
  <c r="I786" i="1" s="1"/>
  <c r="I789" i="1" s="1"/>
  <c r="K786" i="1" s="1"/>
  <c r="K789" i="1" s="1"/>
  <c r="M786" i="1" s="1"/>
  <c r="D1697" i="1"/>
  <c r="E1694" i="1"/>
  <c r="E1697" i="1" s="1"/>
  <c r="G1950" i="1"/>
  <c r="G1948" i="1"/>
  <c r="F1950" i="1"/>
  <c r="F1948" i="1"/>
  <c r="F1935" i="1"/>
  <c r="F175" i="1"/>
  <c r="F178" i="1" s="1"/>
  <c r="E175" i="1"/>
  <c r="E178" i="1" s="1"/>
  <c r="D178" i="1"/>
  <c r="C178" i="1"/>
  <c r="F158" i="1"/>
  <c r="F161" i="1" s="1"/>
  <c r="E158" i="1"/>
  <c r="E161" i="1" s="1"/>
  <c r="D161" i="1"/>
  <c r="C161" i="1"/>
  <c r="D144" i="1"/>
  <c r="F141" i="1" s="1"/>
  <c r="F144" i="1" s="1"/>
  <c r="E144" i="1"/>
  <c r="C144" i="1"/>
  <c r="D123" i="1"/>
  <c r="C123" i="1"/>
  <c r="E120" i="1" s="1"/>
  <c r="E123" i="1" s="1"/>
  <c r="G1562" i="1"/>
  <c r="F1562" i="1"/>
  <c r="E1562" i="1"/>
  <c r="D1562" i="1"/>
  <c r="F699" i="1"/>
  <c r="H696" i="1" s="1"/>
  <c r="H699" i="1" s="1"/>
  <c r="E699" i="1"/>
  <c r="D699" i="1"/>
  <c r="D1617" i="1"/>
  <c r="D1616" i="1" s="1"/>
  <c r="D1619" i="1" s="1"/>
  <c r="E1617" i="1" s="1"/>
  <c r="E1616" i="1" s="1"/>
  <c r="E1619" i="1" s="1"/>
  <c r="H1616" i="1"/>
  <c r="H1619" i="1" s="1"/>
  <c r="F1616" i="1"/>
  <c r="F1619" i="1" s="1"/>
  <c r="D1599" i="1"/>
  <c r="C1597" i="1"/>
  <c r="C1596" i="1" s="1"/>
  <c r="D572" i="1"/>
  <c r="C1560" i="1"/>
  <c r="C1559" i="1" s="1"/>
  <c r="C1562" i="1" s="1"/>
  <c r="B1560" i="1"/>
  <c r="B1559" i="1" s="1"/>
  <c r="B1562" i="1" s="1"/>
  <c r="C1935" i="1"/>
  <c r="D1935" i="1"/>
  <c r="E1935" i="1"/>
  <c r="I332" i="1" l="1"/>
  <c r="J329" i="1" s="1"/>
  <c r="J332" i="1" s="1"/>
  <c r="K329" i="1" s="1"/>
  <c r="K332" i="1" s="1"/>
  <c r="L329" i="1" s="1"/>
  <c r="L332" i="1" s="1"/>
  <c r="M329" i="1" s="1"/>
  <c r="P352" i="1"/>
  <c r="P355" i="1" s="1"/>
  <c r="M445" i="1"/>
  <c r="M448" i="1" s="1"/>
  <c r="P1104" i="1"/>
  <c r="P1107" i="1" s="1"/>
  <c r="Q1104" i="1" s="1"/>
  <c r="Q1107" i="1" s="1"/>
  <c r="R1104" i="1" s="1"/>
  <c r="H2277" i="1"/>
  <c r="H2280" i="1" s="1"/>
  <c r="I2277" i="1" s="1"/>
  <c r="I2280" i="1" s="1"/>
  <c r="J2277" i="1" s="1"/>
  <c r="J2280" i="1" s="1"/>
  <c r="K2277" i="1" s="1"/>
  <c r="H1447" i="1"/>
  <c r="H1450" i="1" s="1"/>
  <c r="I1447" i="1" s="1"/>
  <c r="I1450" i="1" s="1"/>
  <c r="J1447" i="1" s="1"/>
  <c r="J1450" i="1" s="1"/>
  <c r="K1447" i="1" s="1"/>
  <c r="O1571" i="1"/>
  <c r="O1570" i="1" s="1"/>
  <c r="O1573" i="1" s="1"/>
  <c r="P1571" i="1" s="1"/>
  <c r="C2043" i="1"/>
  <c r="C2046" i="1" s="1"/>
  <c r="C1599" i="1"/>
  <c r="E1597" i="1" s="1"/>
  <c r="E1596" i="1" s="1"/>
  <c r="E1599" i="1" s="1"/>
  <c r="F1597" i="1" s="1"/>
  <c r="F1596" i="1" s="1"/>
  <c r="F1599" i="1" s="1"/>
  <c r="G1597" i="1" s="1"/>
  <c r="G1596" i="1" s="1"/>
  <c r="G1599" i="1" s="1"/>
  <c r="B1599" i="1"/>
  <c r="D1597" i="1" s="1"/>
  <c r="D972" i="1"/>
  <c r="D975" i="1" s="1"/>
  <c r="F972" i="1" s="1"/>
  <c r="F975" i="1" s="1"/>
  <c r="H1597" i="1" l="1"/>
  <c r="H1596" i="1" s="1"/>
  <c r="H1599" i="1" s="1"/>
  <c r="P1570" i="1"/>
  <c r="P1573" i="1" s="1"/>
</calcChain>
</file>

<file path=xl/sharedStrings.xml><?xml version="1.0" encoding="utf-8"?>
<sst xmlns="http://schemas.openxmlformats.org/spreadsheetml/2006/main" count="3136" uniqueCount="1283">
  <si>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</si>
  <si>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</si>
  <si>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</si>
  <si>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</si>
  <si>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</si>
  <si>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</si>
  <si>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</si>
  <si>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</si>
  <si>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</si>
  <si>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</si>
  <si>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</si>
  <si>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</si>
  <si>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</si>
  <si>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</si>
  <si>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</si>
  <si>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</si>
  <si>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</si>
  <si>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</si>
  <si>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</si>
  <si>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</si>
  <si>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</si>
  <si>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</si>
  <si>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</si>
  <si>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</si>
  <si>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</si>
  <si>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</si>
  <si>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</si>
  <si>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</si>
  <si>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</si>
  <si>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</si>
  <si>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</si>
  <si>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</si>
  <si>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</si>
  <si>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</si>
  <si>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</si>
  <si>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</si>
  <si>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</si>
  <si>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</si>
  <si>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</si>
  <si>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</si>
  <si>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</si>
  <si>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</si>
  <si>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</si>
  <si>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</si>
  <si>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</si>
  <si>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</si>
  <si>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</si>
  <si>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</si>
  <si>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</si>
  <si>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</si>
  <si>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</si>
  <si>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</si>
  <si>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</si>
  <si>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</si>
  <si>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</si>
  <si>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</si>
  <si>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</si>
  <si>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</si>
  <si>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</si>
  <si>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</si>
  <si>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</si>
  <si>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</si>
  <si>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</si>
  <si>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</si>
  <si>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</si>
  <si>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</si>
  <si>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</si>
  <si>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</si>
  <si>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</si>
  <si>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</si>
  <si>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</si>
  <si>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</si>
  <si>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</si>
  <si>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</si>
  <si>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</si>
  <si>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</si>
  <si>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</si>
  <si>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</si>
  <si>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</si>
  <si>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</si>
  <si>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</si>
  <si>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</si>
  <si>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</si>
  <si>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</si>
  <si>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</si>
  <si>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</si>
  <si>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</si>
  <si>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</si>
  <si>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</si>
  <si>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</si>
  <si>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</si>
  <si>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</si>
  <si>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</si>
  <si>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</si>
  <si>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</si>
  <si>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</si>
  <si>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</si>
  <si>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</si>
  <si>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</si>
  <si>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</si>
  <si>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</si>
  <si>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</si>
  <si>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</si>
  <si>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</si>
  <si>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</si>
  <si>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</si>
  <si>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</si>
  <si>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</si>
  <si>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</si>
  <si>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</si>
  <si>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</si>
  <si>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</si>
  <si>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</si>
  <si>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</si>
  <si>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</si>
  <si>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</si>
  <si>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</si>
  <si>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</si>
  <si>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</si>
  <si>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</si>
  <si>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</si>
  <si>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</si>
  <si>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</si>
  <si>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</si>
  <si>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</si>
  <si>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</si>
  <si>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</si>
  <si>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</si>
  <si>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</si>
  <si>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</si>
  <si>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</si>
  <si>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</si>
  <si>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</si>
  <si>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</si>
  <si>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</si>
  <si>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</si>
  <si>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</si>
  <si>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</si>
  <si>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</si>
  <si>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</si>
  <si>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</si>
  <si>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</si>
  <si>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</si>
  <si>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</si>
  <si>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</si>
  <si>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</si>
  <si>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</si>
  <si>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</si>
  <si>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</si>
  <si>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</si>
  <si>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</si>
  <si>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</si>
  <si>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</si>
  <si>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</si>
  <si>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</si>
  <si>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</si>
  <si>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</si>
  <si>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</si>
  <si>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</si>
  <si>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</si>
  <si>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</si>
  <si>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</si>
  <si>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</si>
  <si>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</si>
  <si>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</si>
  <si>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</si>
  <si>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</si>
  <si>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</si>
  <si>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</si>
  <si>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</si>
  <si>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</si>
  <si>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</si>
  <si>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</si>
  <si>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</si>
  <si>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</si>
  <si>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</si>
  <si>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</si>
  <si>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</si>
  <si>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</si>
  <si>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</si>
  <si>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</si>
  <si>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</si>
  <si>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</si>
  <si>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</si>
  <si>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</si>
  <si>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</si>
  <si>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</si>
  <si>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</si>
  <si>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</si>
  <si>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</si>
  <si>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</si>
  <si>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</si>
  <si>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</si>
  <si>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</si>
  <si>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</si>
  <si>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</si>
  <si>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</si>
  <si>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</si>
  <si>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</si>
  <si>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</si>
  <si>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</si>
  <si>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</si>
  <si>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</si>
  <si>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</si>
  <si>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</si>
  <si>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</si>
  <si>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</si>
  <si>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</si>
  <si>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</si>
  <si>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</si>
  <si>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</si>
  <si>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</si>
  <si>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</si>
  <si>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</si>
  <si>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</si>
  <si>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</si>
  <si>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</si>
  <si>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</si>
  <si>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</si>
  <si>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</si>
  <si>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</si>
  <si>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</si>
  <si>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</si>
  <si>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</si>
  <si>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</si>
  <si>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</si>
  <si>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</si>
  <si>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</si>
  <si>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</si>
  <si>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</si>
  <si>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</si>
  <si>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</si>
  <si>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</si>
  <si>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</si>
  <si>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</si>
  <si>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</si>
  <si>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</si>
  <si>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</si>
  <si>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</si>
  <si>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</si>
  <si>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</si>
  <si>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</si>
  <si>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</si>
  <si>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</si>
  <si>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</si>
  <si>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</si>
  <si>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</si>
  <si>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</si>
  <si>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</si>
  <si>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</si>
  <si>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</si>
  <si>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</si>
  <si>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</si>
  <si>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</si>
  <si>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</si>
  <si>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</si>
  <si>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</si>
  <si>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</si>
  <si>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</si>
  <si>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</si>
  <si>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</si>
  <si>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</si>
  <si>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</si>
  <si>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</si>
  <si>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</si>
  <si>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</si>
  <si>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</si>
  <si>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</si>
  <si>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</si>
  <si>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</si>
  <si>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</si>
  <si>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</si>
  <si>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</si>
  <si>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</si>
  <si>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</si>
  <si>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</si>
  <si>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</si>
  <si>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</si>
  <si>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</si>
  <si>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</si>
  <si>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</si>
  <si>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</si>
  <si>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</si>
  <si>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</si>
  <si>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</si>
  <si>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</si>
  <si>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</si>
  <si>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</si>
  <si>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</si>
  <si>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</si>
  <si>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</si>
  <si>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</si>
  <si>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</si>
  <si>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</si>
  <si>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</si>
  <si>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</si>
  <si>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</si>
  <si>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</si>
  <si>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</si>
  <si>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</si>
  <si>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</si>
  <si>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</si>
  <si>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</si>
  <si>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</si>
  <si>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</si>
  <si>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</si>
  <si>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</si>
  <si>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</si>
  <si>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</si>
  <si>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</si>
  <si>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</si>
  <si>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</si>
  <si>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</si>
  <si>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</si>
  <si>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</si>
  <si>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</si>
  <si>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</si>
  <si>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</si>
  <si>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</si>
  <si>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</si>
  <si>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</si>
  <si>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</si>
  <si>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</si>
  <si>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</si>
  <si>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</si>
  <si>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</si>
  <si>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</si>
  <si>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</si>
  <si>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</si>
  <si>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</si>
  <si>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</si>
  <si>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</si>
  <si>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</si>
  <si>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</si>
  <si>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</si>
  <si>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</si>
  <si>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</si>
  <si>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</si>
  <si>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</si>
  <si>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</si>
  <si>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</si>
  <si>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</si>
  <si>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</si>
  <si>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</si>
  <si>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</si>
  <si>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</si>
  <si>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</si>
  <si>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</si>
  <si>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</si>
  <si>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</si>
  <si>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</si>
  <si>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</si>
  <si>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</si>
  <si>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</si>
  <si>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</si>
  <si>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</si>
  <si>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</si>
  <si>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</si>
  <si>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</si>
  <si>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</si>
  <si>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</si>
  <si>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</si>
  <si>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</si>
  <si>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</si>
  <si>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</si>
  <si>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</si>
  <si>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</si>
  <si>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</si>
  <si>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</si>
  <si>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</si>
  <si>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</si>
  <si>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</si>
  <si>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</si>
  <si>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</si>
  <si>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</si>
  <si>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</si>
  <si>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</si>
  <si>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</si>
  <si>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</si>
  <si>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</si>
  <si>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</si>
  <si>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</si>
  <si>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</si>
  <si>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</si>
  <si>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</si>
  <si>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</si>
  <si>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</si>
  <si>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</si>
  <si>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</si>
  <si>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</si>
  <si>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</si>
  <si>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</si>
  <si>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</si>
  <si>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</si>
  <si>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</si>
  <si>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</si>
  <si>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</si>
  <si>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</si>
  <si>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</si>
  <si>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</si>
  <si>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</si>
  <si>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</si>
  <si>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</si>
  <si>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</si>
  <si>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</si>
  <si>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</si>
  <si>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</si>
  <si>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</si>
  <si>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</si>
  <si>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</si>
  <si>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</si>
  <si>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</si>
  <si>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</si>
  <si>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</si>
  <si>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</si>
  <si>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</si>
  <si>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</si>
  <si>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</si>
  <si>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</si>
  <si>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</si>
  <si>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</si>
  <si>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</si>
  <si>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</si>
  <si>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</si>
  <si>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</si>
  <si>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</si>
  <si>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</si>
  <si>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</si>
  <si>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</si>
  <si>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</si>
  <si>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</si>
  <si>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</si>
  <si>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</si>
  <si>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</si>
  <si>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</si>
  <si>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</si>
  <si>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</si>
  <si>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</si>
  <si>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</si>
  <si>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</si>
  <si>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</si>
  <si>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</si>
  <si>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</si>
  <si>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</si>
  <si>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</si>
  <si>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</si>
  <si>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</si>
  <si>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</si>
  <si>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</si>
  <si>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</si>
  <si>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</si>
  <si>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</si>
  <si>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</si>
  <si>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</si>
  <si>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</si>
  <si>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</si>
  <si>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</si>
  <si>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</si>
  <si>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</si>
  <si>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</si>
  <si>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</si>
  <si>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</si>
  <si>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</si>
  <si>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</si>
  <si>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</si>
  <si>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</si>
  <si>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</si>
  <si>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</si>
  <si>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</si>
  <si>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</si>
  <si>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</si>
  <si>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</si>
  <si>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</si>
  <si>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</si>
  <si>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</si>
  <si>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</si>
  <si>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</si>
  <si>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</si>
  <si>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</si>
  <si>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</si>
  <si>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</si>
  <si>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</si>
  <si>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</si>
  <si>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</si>
  <si>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</si>
  <si>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</si>
  <si>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</si>
  <si>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</si>
  <si>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</si>
  <si>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</si>
  <si>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</si>
  <si>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</si>
  <si>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</si>
  <si>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</si>
  <si>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</si>
  <si>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</si>
  <si>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</si>
  <si>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</si>
  <si>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</si>
  <si>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</si>
  <si>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</si>
  <si>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</si>
  <si>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</si>
  <si>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</si>
  <si>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</si>
  <si>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</si>
  <si>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</si>
  <si>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</si>
  <si>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</si>
  <si>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</si>
  <si>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</si>
  <si>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</si>
  <si>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</si>
  <si>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</si>
  <si>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</si>
  <si>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</si>
  <si>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</si>
  <si>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</si>
  <si>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</si>
  <si>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</si>
  <si>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</si>
  <si>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</si>
  <si>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</si>
  <si>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</si>
  <si>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</si>
  <si>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</si>
  <si>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</si>
  <si>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</si>
  <si>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</si>
  <si>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</si>
  <si>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</si>
  <si>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</si>
  <si>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</si>
  <si>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</si>
  <si>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</si>
  <si>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</si>
  <si>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</si>
  <si>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</si>
  <si>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</si>
  <si>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</si>
  <si>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</si>
  <si>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</si>
  <si>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</si>
  <si>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</si>
  <si>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</si>
  <si>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</si>
  <si>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</si>
  <si>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</si>
  <si>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</si>
  <si>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</si>
  <si>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</si>
  <si>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</si>
  <si>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</si>
  <si>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</si>
  <si>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</si>
  <si>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</si>
  <si>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</si>
  <si>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</si>
  <si>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</si>
  <si>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</si>
  <si>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</si>
  <si>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</si>
  <si>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</si>
  <si>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</si>
  <si>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</si>
  <si>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</si>
  <si>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</si>
  <si>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</si>
  <si>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</si>
  <si>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</si>
  <si>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</si>
  <si>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</si>
  <si>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</si>
  <si>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</si>
  <si>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</si>
  <si>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</si>
  <si>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</si>
  <si>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</si>
  <si>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</si>
  <si>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</si>
  <si>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</si>
  <si>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</si>
  <si>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</si>
  <si>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</si>
  <si>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</si>
  <si>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</si>
  <si>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</si>
  <si>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</si>
  <si>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</si>
  <si>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</si>
  <si>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</si>
  <si>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</si>
  <si>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</si>
  <si>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</si>
  <si>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</si>
  <si>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</si>
  <si>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</si>
  <si>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</si>
  <si>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</si>
  <si>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</si>
  <si>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</si>
  <si>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</si>
  <si>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</si>
  <si>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</si>
  <si>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</si>
  <si>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</si>
  <si>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</si>
  <si>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</si>
  <si>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</si>
  <si>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</si>
  <si>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</si>
  <si>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</si>
  <si>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</si>
  <si>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</si>
  <si>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</si>
  <si>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</si>
  <si>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</si>
  <si>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</si>
  <si>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</si>
  <si>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</si>
  <si>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</si>
  <si>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</si>
  <si>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</si>
  <si>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</si>
  <si>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</si>
  <si>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</si>
  <si>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</si>
  <si>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</si>
  <si>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</si>
  <si>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</si>
  <si>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</si>
  <si>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</si>
  <si>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</si>
  <si>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</si>
  <si>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</si>
  <si>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</si>
  <si>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</si>
  <si>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</si>
  <si>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</si>
  <si>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</si>
  <si>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</si>
  <si>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</si>
  <si>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</si>
  <si>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</si>
  <si>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</si>
  <si>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</si>
  <si>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</si>
  <si>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</si>
  <si>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</si>
  <si>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</si>
  <si>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</si>
  <si>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</si>
  <si>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</si>
  <si>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</si>
  <si>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</si>
  <si>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</si>
  <si>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</si>
  <si>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</si>
  <si>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</si>
  <si>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</si>
  <si>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</si>
  <si>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</si>
  <si>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</si>
  <si>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</si>
  <si>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</si>
  <si>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</si>
  <si>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</si>
  <si>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</si>
  <si>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</si>
  <si>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</si>
  <si>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</si>
  <si>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</si>
  <si>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</si>
  <si>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</si>
  <si>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</si>
  <si>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</si>
  <si>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</si>
  <si>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</si>
  <si>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</si>
  <si>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</si>
  <si>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</si>
  <si>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</si>
  <si>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</si>
  <si>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</si>
  <si>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</si>
  <si>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</si>
  <si>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</si>
  <si>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</si>
  <si>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</si>
  <si>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</si>
  <si>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</si>
  <si>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</si>
  <si>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</si>
  <si>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</si>
  <si>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</si>
  <si>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</si>
  <si>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</si>
  <si>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</si>
  <si>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</si>
  <si>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</si>
  <si>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</si>
  <si>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</si>
  <si>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</si>
  <si>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</si>
  <si>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</si>
  <si>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</si>
  <si>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</si>
  <si>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</si>
  <si>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</si>
  <si>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</si>
  <si>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</si>
  <si>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</si>
  <si>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</si>
  <si>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</si>
  <si>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</si>
  <si>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</si>
  <si>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</si>
  <si>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</si>
  <si>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</si>
  <si>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</si>
  <si>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</si>
  <si>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</si>
  <si>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</si>
  <si>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</si>
  <si>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</si>
  <si>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</si>
  <si>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</si>
  <si>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</si>
  <si>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</si>
  <si>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</si>
  <si>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</si>
  <si>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</si>
  <si>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</si>
  <si>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</si>
  <si>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</si>
  <si>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</si>
  <si>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</si>
  <si>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</si>
  <si>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</si>
  <si>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</si>
  <si>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</si>
  <si>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</si>
  <si>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</si>
  <si>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</si>
  <si>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</si>
  <si>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</si>
  <si>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</si>
  <si>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</si>
  <si>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</si>
  <si>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</si>
  <si>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</si>
  <si>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</si>
  <si>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</si>
  <si>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</si>
  <si>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</si>
  <si>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</si>
  <si>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</si>
  <si>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</si>
  <si>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</si>
  <si>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</si>
  <si>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</si>
  <si>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</si>
  <si>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</si>
  <si>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</si>
  <si>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</si>
  <si>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</si>
  <si>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</si>
  <si>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</si>
  <si>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</si>
  <si>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</si>
  <si>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</si>
  <si>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</si>
  <si>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</si>
  <si>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</si>
  <si>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</si>
  <si>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</si>
  <si>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</si>
  <si>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</si>
  <si>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</si>
  <si>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</si>
  <si>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</si>
  <si>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</si>
  <si>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</si>
  <si>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</si>
  <si>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</si>
  <si>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</si>
  <si>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</si>
  <si>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</si>
  <si>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</si>
  <si>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</si>
  <si>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</si>
  <si>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</si>
  <si>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</si>
  <si>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</si>
  <si>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</si>
  <si>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</si>
  <si>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</si>
  <si>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</si>
  <si>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</si>
  <si>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</si>
  <si>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</si>
  <si>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</si>
  <si>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</si>
  <si>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</si>
  <si>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</si>
  <si>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</si>
  <si>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</si>
  <si>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</si>
  <si>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</si>
  <si>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</si>
  <si>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</si>
  <si>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</si>
  <si>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</si>
  <si>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</si>
  <si>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</si>
  <si>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</si>
  <si>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</si>
  <si>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</si>
  <si>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</si>
  <si>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</si>
  <si>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</si>
  <si>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</si>
  <si>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</si>
  <si>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</si>
  <si>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</si>
  <si>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</si>
  <si>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</si>
  <si>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</si>
  <si>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</si>
  <si>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</si>
  <si>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</si>
  <si>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</si>
  <si>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</si>
  <si>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</si>
  <si>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</si>
  <si>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</si>
  <si>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</si>
  <si>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</si>
  <si>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</si>
  <si>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</si>
  <si>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</si>
  <si>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</si>
  <si>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</si>
  <si>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</si>
  <si>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</si>
  <si>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</si>
  <si>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</si>
  <si>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</si>
  <si>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</si>
  <si>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</si>
  <si>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</si>
  <si>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</si>
  <si>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</si>
  <si>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</si>
  <si>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</si>
  <si>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</si>
  <si>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</si>
  <si>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</si>
  <si>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</si>
  <si>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</si>
  <si>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</si>
  <si>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</si>
  <si>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</si>
  <si>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</si>
  <si>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</si>
  <si>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</si>
  <si>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</si>
  <si>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</si>
  <si>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</si>
  <si>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</si>
  <si>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</si>
  <si>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</si>
  <si>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</si>
  <si>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</si>
  <si>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</si>
  <si>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</si>
  <si>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</si>
  <si>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</si>
  <si>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</si>
  <si>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</si>
  <si>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</si>
  <si>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</si>
  <si>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</si>
  <si>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</si>
  <si>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</si>
  <si>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</si>
  <si>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</si>
  <si>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</si>
  <si>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</si>
  <si>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</si>
  <si>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</si>
  <si>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</si>
  <si>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</si>
  <si>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</si>
  <si>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</si>
  <si>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</si>
  <si>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</si>
  <si>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</si>
  <si>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</si>
  <si>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</si>
  <si>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</si>
  <si>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</si>
  <si>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</si>
  <si>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</si>
  <si>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</si>
  <si>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</si>
  <si>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</si>
  <si>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</si>
  <si>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</si>
  <si>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</si>
  <si>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</si>
  <si>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</si>
  <si>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</si>
  <si>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</si>
  <si>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</si>
  <si>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</si>
  <si>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</si>
  <si>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</si>
  <si>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</si>
  <si>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</si>
  <si>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</si>
  <si>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</si>
  <si>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</si>
  <si>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</si>
  <si>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</si>
  <si>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</si>
  <si>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</si>
  <si>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</si>
  <si>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</si>
  <si>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</si>
  <si>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</si>
  <si>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</si>
  <si>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</si>
  <si>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</si>
  <si>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IQ2024- 355.34</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</si>
  <si>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</si>
  <si>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</si>
  <si>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</si>
  <si>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</si>
  <si>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</si>
  <si>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</si>
  <si>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</si>
  <si>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</si>
  <si>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</si>
  <si>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</si>
  <si>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</si>
  <si>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</si>
  <si>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</si>
  <si>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</si>
  <si>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</si>
  <si>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</si>
  <si>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</si>
  <si>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</si>
  <si>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</si>
  <si>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</si>
  <si>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</si>
  <si>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</si>
  <si>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</si>
  <si>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</si>
  <si>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</si>
  <si>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</si>
  <si>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</si>
  <si>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</si>
  <si>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</si>
  <si>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</si>
  <si>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</si>
  <si>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</si>
  <si>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</si>
  <si>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</si>
  <si>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</si>
  <si>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</si>
  <si>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</si>
  <si>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</si>
  <si>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</si>
  <si>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</si>
  <si>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</si>
  <si>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</si>
  <si>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</si>
  <si>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</si>
  <si>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</si>
  <si>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</si>
  <si>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</si>
  <si>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</si>
  <si>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</si>
  <si>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</si>
  <si>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</si>
  <si>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</si>
  <si>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</si>
  <si>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</si>
  <si>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</si>
  <si>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</si>
  <si>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</si>
  <si>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</si>
  <si>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</si>
  <si>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</si>
  <si>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</si>
  <si>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</si>
  <si>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</si>
  <si>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</si>
  <si>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</si>
  <si>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</si>
  <si>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</si>
  <si>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</si>
  <si>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</si>
  <si>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</si>
  <si>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</si>
  <si>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</si>
  <si>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</si>
  <si>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</si>
  <si>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</si>
  <si>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</si>
  <si>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</si>
  <si>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</si>
  <si>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</si>
  <si>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</si>
  <si>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</si>
  <si>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</si>
  <si>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</si>
  <si>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</si>
  <si>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</si>
  <si>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</si>
  <si>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</si>
  <si>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</si>
  <si>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</si>
  <si>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</si>
  <si>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</si>
  <si>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</si>
  <si>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</si>
  <si>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The applied methodology is described in Recs. 15-03, 16-04, 17-03, 2021-03, 22-04 with reduction of TAC.</t>
  </si>
  <si>
    <t>2014-2022: 50t transferred to Belize (The quota transfers shall be reviewed annually in response to a request from an involved CPC).</t>
  </si>
  <si>
    <t>302+(0.25*242)</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</si>
  <si>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</si>
  <si>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</si>
  <si>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</si>
  <si>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</si>
  <si>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</si>
  <si>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</si>
  <si>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</si>
  <si>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</si>
  <si>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</si>
  <si>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</si>
  <si>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</si>
  <si>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</si>
  <si>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</si>
  <si>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</si>
  <si>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</si>
  <si>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</si>
  <si>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</si>
  <si>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</si>
  <si>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</si>
  <si>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</si>
  <si>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</si>
  <si>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</si>
  <si>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</si>
  <si>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</si>
  <si>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</si>
  <si>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</si>
  <si>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</si>
  <si>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</si>
  <si>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</si>
  <si>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</si>
  <si>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</si>
  <si>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</si>
  <si>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</si>
  <si>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</si>
  <si>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</si>
  <si>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</si>
  <si>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</si>
  <si>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</si>
  <si>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</si>
  <si>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</si>
  <si>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</si>
  <si>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</si>
  <si>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</si>
  <si>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</si>
  <si>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</si>
  <si>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</si>
  <si>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</si>
  <si>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</si>
  <si>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</si>
  <si>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</si>
  <si>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</si>
  <si>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</si>
  <si>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</si>
  <si>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</si>
  <si>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</si>
  <si>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</si>
  <si>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</si>
  <si>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</si>
  <si>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</si>
  <si>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</si>
  <si>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</si>
  <si>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</si>
  <si>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</si>
  <si>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</si>
  <si>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</si>
  <si>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</si>
  <si>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</si>
  <si>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</si>
  <si>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</si>
  <si>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</si>
  <si>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</si>
  <si>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</si>
  <si>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</si>
  <si>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</si>
  <si>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</si>
  <si>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</si>
  <si>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</si>
  <si>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</si>
  <si>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</si>
  <si>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</si>
  <si>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</si>
  <si>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</si>
  <si>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</si>
  <si>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</si>
  <si>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</si>
  <si>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</si>
  <si>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</si>
  <si>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</si>
  <si>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</si>
  <si>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</si>
  <si>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</si>
  <si>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2026 + 25%  2024 limit</t>
  </si>
  <si>
    <t>2026*</t>
  </si>
  <si>
    <t>IQ(2025)+125% BALANCE(2023)</t>
  </si>
  <si>
    <t>[9] = 2025 limit + 125% 2024 Balance</t>
  </si>
  <si>
    <t>[9]= Límite de 2025 + 125% BALANCE de 2024</t>
  </si>
  <si>
    <t>IQ(2025)+ BALANCE(2024)</t>
  </si>
  <si>
    <t>(9) Límite ajustado 2025 = Límite 2025 + 125% Saldo 2024</t>
  </si>
  <si>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</si>
  <si>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</si>
  <si>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</si>
  <si>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</si>
  <si>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</si>
  <si>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</si>
  <si>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</si>
  <si>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</si>
  <si>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</si>
  <si>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</si>
  <si>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</si>
  <si>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</si>
  <si>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</si>
  <si>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</si>
  <si>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</si>
  <si>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SMA</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</si>
  <si>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</si>
  <si>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</si>
  <si>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</si>
  <si>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</si>
  <si>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</si>
  <si>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</si>
  <si>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</si>
  <si>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</si>
  <si>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</si>
  <si>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</si>
  <si>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</si>
  <si>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</si>
  <si>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</si>
  <si>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</si>
  <si>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</si>
  <si>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</si>
  <si>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</si>
  <si>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</si>
  <si>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</si>
  <si>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</si>
  <si>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</si>
  <si>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</si>
  <si>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</si>
  <si>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</si>
  <si>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</si>
  <si>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</si>
  <si>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</si>
  <si>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</si>
  <si>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</si>
  <si>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</si>
  <si>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</si>
  <si>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</si>
  <si>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</si>
  <si>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</si>
  <si>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</si>
  <si>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</si>
  <si>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</si>
  <si>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</si>
  <si>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</si>
  <si>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</si>
  <si>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</si>
  <si>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</si>
  <si>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</si>
  <si>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</si>
  <si>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</si>
  <si>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</si>
  <si>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</si>
  <si>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</si>
  <si>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</si>
  <si>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</si>
  <si>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</si>
  <si>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</si>
  <si>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</si>
  <si>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</si>
  <si>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</si>
  <si>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</si>
  <si>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</si>
  <si>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</si>
  <si>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</si>
  <si>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</si>
  <si>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</si>
  <si>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</si>
  <si>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</si>
  <si>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</si>
  <si>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</si>
  <si>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</si>
  <si>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</si>
  <si>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</si>
  <si>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</si>
  <si>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</si>
  <si>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</si>
  <si>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</si>
  <si>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</si>
  <si>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</si>
  <si>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</si>
  <si>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</si>
  <si>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</si>
  <si>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</si>
  <si>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</si>
  <si>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JAPAN-N-ALB: Japan's 2026 adjusted limit = BET 2026 catch * 4.5% (Para 8 of Rec.23-05)</t>
    <phoneticPr fontId="1" type="noConversion"/>
  </si>
  <si>
    <t>JAPAN-S-ALB: 2026 adjusted limit = 1,630t(Limit)+21.05t(2024 carry over(Para 4 of Rec. 22-06))+100t(transfer from Brazil (Para 3 of Rec. 22-06))+100t(transfer from Uruguay(Para 3 of Rec. 22-06))+100t(transfer from South Africa (Para 3 of Rec. 22-06))+386.45t(up to 25% of initial quita(407.5-21.05)(Para 4b) of Rec. 22-06))</t>
  </si>
  <si>
    <t>JAPAN-N-SWO: Japan’s 2026 adjusted limit = 842t(Limit)+NAt(2025 carry over(Para 12 of Rec.24-10))-150t(transfer to Morocco(Para 7 of Rec. 24-10))-25t(transfer to Mauritania(Para 7 of Rec. 24-10))</t>
    <phoneticPr fontId="1" type="noConversion"/>
  </si>
  <si>
    <t>JAPAN-N-BSH: Japan's 2026 adjusted limit = 3,055t(Para 3 of Rec.23-10)-43t(transfer to Morocco(Para 3 of Rec.23-10))</t>
    <phoneticPr fontId="1" type="noConversion"/>
  </si>
  <si>
    <t>JAPAN-S-SMA: Japan's 2026 adjusted limit = 62t(Para 2 of Rec.22-11)</t>
    <phoneticPr fontId="1" type="noConversion"/>
  </si>
  <si>
    <t>S-BSH</t>
  </si>
  <si>
    <t>JAPAN-S-BSH: Japan's 2026 adjusted limit = 1,520t (para 4 a) of Rec. 23-11)</t>
  </si>
  <si>
    <t>(3) Adjusted quota for 2025 = 2600 t (Quota) + 128t from SYR = 2728.00t</t>
  </si>
  <si>
    <r>
      <t>2025</t>
    </r>
    <r>
      <rPr>
        <b/>
        <vertAlign val="superscript"/>
        <sz val="10"/>
        <rFont val="Cambria"/>
        <family val="1"/>
      </rPr>
      <t>f</t>
    </r>
  </si>
  <si>
    <t>SWOMed</t>
  </si>
  <si>
    <t>=AQ2024-catches2024+1/2reserve2024</t>
  </si>
  <si>
    <t>=AQ2023-catches2023+1/2reserve2023</t>
  </si>
  <si>
    <t>=1/2reserve2022-catches2022</t>
  </si>
  <si>
    <t>LIBYA</t>
  </si>
  <si>
    <t>=1/2reserve2019-catches2019</t>
  </si>
  <si>
    <t>=AQ2020-catches2020+1/2reserve2020</t>
  </si>
  <si>
    <t>=AQ2021-catches2021+1/2reserve2021</t>
  </si>
  <si>
    <t>=AQ2022-catches2022+1/2reserve2022</t>
  </si>
  <si>
    <t>JAPAN-S-SWO: Japan's 2026 adjusted limit  = 901t(Limit)+600.00t(2024 carry over(Para 1(2) of Rec.22-04))-50t(transfer to Namibia(Para 5 of Rec.17-03))</t>
  </si>
  <si>
    <t>JAPAN-BIGEYE: Japan's 2026 adjusted limit = 13,865.86t(Para 6 of Rec.24-01)+4,147.16t(2024 carry over(Para 12 of Rec.22-01))-350t(transfer to China (Para 12 of Rec.24-01))</t>
  </si>
  <si>
    <t>(**) Türkiye transfers to EU 0.05 t in 2025</t>
  </si>
  <si>
    <t>ANGOLA</t>
  </si>
  <si>
    <t>2025**</t>
  </si>
  <si>
    <t>50 + Balance 2023</t>
  </si>
  <si>
    <t>11 : limite 2025 + 40% limite de capture initiale (Rec.23-04) + 40 tonnes transférées de l'Union Européenne (REC 17-02)=40+(40*0.4)+40=96</t>
  </si>
  <si>
    <t>12 : limite 2025 + 25% quota de capture initial 2024 (REC 23-05)</t>
  </si>
  <si>
    <t>10(A)=IQ2024+2t EU transfer provided by Rec. 19-05.</t>
  </si>
  <si>
    <t>=1168+10%1168+50+50+50</t>
  </si>
  <si>
    <t>=1168+10%1168+50+50</t>
  </si>
  <si>
    <t>302+(0.25*302)</t>
  </si>
  <si>
    <t xml:space="preserve">*Belize is carrying forward 25% of its initial balance (75 t) from its balance of 302.72 in 2024 to be used in 2026.  </t>
  </si>
  <si>
    <r>
      <t xml:space="preserve">2026: IQ2024 + 25% MAX2024 </t>
    </r>
    <r>
      <rPr>
        <b/>
        <sz val="10"/>
        <color rgb="FFFF0000"/>
        <rFont val="Cambria"/>
        <family val="1"/>
      </rPr>
      <t>- 100t transferred to JPN</t>
    </r>
  </si>
  <si>
    <t xml:space="preserve">2026 adjusted quota is 120+30 due to the inclusion of 2024 underage (MAX 25% IQ 2024) and 2026 initial catch quota.  </t>
  </si>
  <si>
    <t>Adjusted limit for 2026=initial quota(240)+240*25%(not exceeding the balance of 2023)=300</t>
  </si>
  <si>
    <t>The underharvest of the EU in 2024 was of 2065.47t.  In line with Rec 22-06, the EU is entitled to carry over  441.25 t to 2026, corresponding to 25% of its initial quota for 2024.</t>
  </si>
  <si>
    <t>=4320+25%4320</t>
  </si>
  <si>
    <t>* Adjusted limit 2026 = initial limit 2024 (530) + available balance 2023 (not to exceed 25% of initial quota) (132.5) - 100t transferred to JPN</t>
  </si>
  <si>
    <t>2025 = Initial allocation + underharvest from 2024 (49.814) + Mexican transfer (60t)</t>
  </si>
  <si>
    <t>11:  limite 2025+ 100% allocation de quota initiale = 6.18+4.46= 12.36</t>
  </si>
  <si>
    <t>2025= 149.34+149.34-transfer to Canada (60t) por Rec. 22-10</t>
  </si>
  <si>
    <t>2025 adjusted limit: IQ-OH2024</t>
  </si>
  <si>
    <t>Limit 2025 + MAX5% 2024 (1075,15)</t>
  </si>
  <si>
    <t>In 2025, the underharvest for the EU was 1116,99 t, which is more than the maximum allowed 5% provided in the Rec. 22-08. Therefore, the EU is entitled to carry over 1075,15t to 2025 if the current management arrangments are maintained. Transfer of 200 t received from Iceland</t>
  </si>
  <si>
    <r>
      <t>Limit 202</t>
    </r>
    <r>
      <rPr>
        <sz val="10"/>
        <color rgb="FFFF0000"/>
        <rFont val="Cambria"/>
        <family val="1"/>
      </rPr>
      <t>5</t>
    </r>
    <r>
      <rPr>
        <sz val="10"/>
        <rFont val="Cambria"/>
        <family val="1"/>
      </rPr>
      <t xml:space="preserve"> + MAX5% 202</t>
    </r>
    <r>
      <rPr>
        <sz val="10"/>
        <color rgb="FFFF0000"/>
        <rFont val="Cambria"/>
        <family val="1"/>
      </rPr>
      <t>4</t>
    </r>
    <r>
      <rPr>
        <sz val="10"/>
        <rFont val="Cambria"/>
        <family val="1"/>
      </rPr>
      <t xml:space="preserve"> (1075,15) * 200t (transfert ISL)</t>
    </r>
  </si>
  <si>
    <t>f) According to Recommendation 22-08 paragraph 4, Norway was initially  allocated a quota of 368 tonnes eastern BFT in 2024. Referring to Recommendation 22-08 Paragraph 6, Norway requested in panel 2 to transfer a maximum of 5 % of its 2024 quota to 2025. A total of 152,574 tonnes of the Adjusted Norwegian catch quota (368 tonnes) was utilised in 2024, and 18,4 tonnes (5 % of 368 tonnes) may, according to Paragraph 6, be transferred to 2025.</t>
  </si>
  <si>
    <t>IQ2025 -538.5</t>
  </si>
  <si>
    <t>IQ2026  -538.5</t>
  </si>
  <si>
    <t>IQ2027  -538.5</t>
  </si>
  <si>
    <t>IQ2028  -538.5</t>
  </si>
  <si>
    <t>2024: IQ2024 - 355.34 t [Brazil payback 355.34 t in 2024 from the 2022 overharvest by ICCAT Rec. 23-02]</t>
  </si>
  <si>
    <t>2025: IQ2025 - 538.5 t [Rec 24-03: The overharvest of bigeye tuna of 1,232 t for 2022 and 922.03 t for 2023 shall be paid back over a period of 4 years, from 2025 to 2028, in the following way: 2025 to 2028: 538.5 t.]</t>
  </si>
  <si>
    <t>2026: IQ2026 - 538.5 t [Rec 24-03: The overharvest of bigeye tuna of 1,232 t for 2022 and 922.03 t for 2023 shall be paid back over a period of 4 years, from 2025 to 2028, in the following way: 2025 to 2028: 538.5 t.]</t>
  </si>
  <si>
    <t>2027: IQ2027 - 538.5 t [Rec 24-03: The overharvest of bigeye tuna of 1,232 t for 2022 and 922.03 t for 2023 shall be paid back over a period of 4 years, from 2025 to 2028, in the following way: 2025 to 2028: 538.5 t.]</t>
  </si>
  <si>
    <t>2028: IQ2028 - 538.5 t [Rec 24-03: The overharvest of bigeye tuna of 1,232 t for 2022 and 922.03 t for 2023 shall be paid back over a period of 4 years, from 2025 to 2028, in the following way: 2025 to 2028: 538.5 t.]</t>
  </si>
  <si>
    <t>2022: IQ2022 + 2020 balance</t>
  </si>
  <si>
    <t>2023: IQ2023 + 2021 balance</t>
  </si>
  <si>
    <t>BSHS</t>
  </si>
  <si>
    <t>The applied methodology is described in Rec. 23-11.</t>
  </si>
  <si>
    <t xml:space="preserve">COC-304/25 Annex 1_REV7: APPLICATION OF OVER/UNDERHARVEST / APPLICATION DE SUR/SOUSONSOMMATION / APLICACIÓN DE EXCESO/REMANENTE DE CAPTURA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</si>
</sst>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2"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
      <sz val="11"/>
      <color rgb="FFFF0000"/>
      <name val="Cambria"/>
      <family val="1"/>
    </font>
    <font>
      <sz val="10"/>
      <color rgb="FFFF0000"/>
      <name val="Calibri Light"/>
      <family val="1"/>
      <scheme val="major"/>
    </font>
    <font>
      <b/>
      <sz val="10"/>
      <color rgb="FFFF0000"/>
      <name val="Cambria"/>
      <family val="1"/>
    </font>
  </fonts>
  <fills count="2">
    <fill>
      <patternFill patternType="none"/>
    </fill>
    <fill>
      <patternFill patternType="gray125"/>
    </fill>
  </fills>
  <borders count="4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1">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xf numFmtId="38" fontId="1" fillId="0" borderId="0" applyFont="0" applyFill="0" applyBorder="0" applyAlignment="0" applyProtection="0">
      <alignment vertical="center"/>
    </xf>
    <xf numFmtId="0" fontId="9" fillId="0" borderId="0"/>
  </cellStyleXfs>
  <cellXfs count="744">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4" xfId="0" applyFont="1" applyBorder="1"/>
    <xf numFmtId="0" fontId="11" fillId="0" borderId="36" xfId="0" applyFont="1" applyBorder="1"/>
    <xf numFmtId="0" fontId="17" fillId="0" borderId="36" xfId="0" applyFont="1" applyBorder="1"/>
    <xf numFmtId="0" fontId="5" fillId="0" borderId="37"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8" xfId="0" applyFont="1" applyBorder="1"/>
    <xf numFmtId="0" fontId="11" fillId="0" borderId="39" xfId="0" applyFont="1" applyBorder="1"/>
    <xf numFmtId="0" fontId="17" fillId="0" borderId="33"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6" xfId="0" applyFont="1" applyBorder="1" applyAlignment="1">
      <alignment vertical="center"/>
    </xf>
    <xf numFmtId="0" fontId="16" fillId="0" borderId="36" xfId="0" applyFont="1" applyBorder="1"/>
    <xf numFmtId="0" fontId="16" fillId="0" borderId="37"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5" xfId="0" applyFont="1" applyBorder="1"/>
    <xf numFmtId="0" fontId="11" fillId="0" borderId="37"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3" xfId="0" applyFont="1" applyBorder="1"/>
    <xf numFmtId="2" fontId="11" fillId="0" borderId="16" xfId="1" applyNumberFormat="1" applyFont="1" applyBorder="1"/>
    <xf numFmtId="0" fontId="11" fillId="0" borderId="32" xfId="0" applyFont="1" applyBorder="1"/>
    <xf numFmtId="0" fontId="11" fillId="0" borderId="25" xfId="1" applyFont="1" applyBorder="1"/>
    <xf numFmtId="0" fontId="11" fillId="0" borderId="34" xfId="1" applyFont="1" applyBorder="1"/>
    <xf numFmtId="0" fontId="11" fillId="0" borderId="36"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2" xfId="0" applyFont="1" applyBorder="1"/>
    <xf numFmtId="0" fontId="12" fillId="0" borderId="32" xfId="0" applyFont="1" applyBorder="1"/>
    <xf numFmtId="0" fontId="12" fillId="0" borderId="32" xfId="0" applyFont="1" applyBorder="1" applyAlignment="1">
      <alignment horizontal="right"/>
    </xf>
    <xf numFmtId="0" fontId="12" fillId="0" borderId="33" xfId="0" applyFont="1" applyBorder="1"/>
    <xf numFmtId="0" fontId="12" fillId="0" borderId="6" xfId="0" applyFont="1" applyBorder="1"/>
    <xf numFmtId="0" fontId="11" fillId="0" borderId="9" xfId="1" applyFont="1" applyBorder="1"/>
    <xf numFmtId="0" fontId="11" fillId="0" borderId="0" xfId="1" applyFont="1" applyAlignment="1">
      <alignment wrapText="1"/>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5" xfId="1" applyFont="1" applyBorder="1"/>
    <xf numFmtId="0" fontId="5" fillId="0" borderId="36" xfId="1" applyFont="1" applyBorder="1"/>
    <xf numFmtId="0" fontId="5" fillId="0" borderId="37" xfId="1" applyFont="1" applyBorder="1"/>
    <xf numFmtId="0" fontId="5" fillId="0" borderId="35" xfId="0" applyFont="1" applyBorder="1"/>
    <xf numFmtId="0" fontId="5" fillId="0" borderId="32" xfId="0" applyFont="1" applyBorder="1"/>
    <xf numFmtId="0" fontId="11" fillId="0" borderId="32" xfId="1" applyFont="1" applyBorder="1"/>
    <xf numFmtId="2" fontId="11" fillId="0" borderId="32" xfId="1" applyNumberFormat="1" applyFont="1" applyBorder="1"/>
    <xf numFmtId="2" fontId="11" fillId="0" borderId="32" xfId="0" applyNumberFormat="1" applyFont="1" applyBorder="1"/>
    <xf numFmtId="2" fontId="11" fillId="0" borderId="32" xfId="1" applyNumberFormat="1" applyFont="1" applyBorder="1" applyAlignment="1">
      <alignment horizontal="right"/>
    </xf>
    <xf numFmtId="43" fontId="11" fillId="0" borderId="32" xfId="1" applyNumberFormat="1" applyFont="1" applyBorder="1"/>
    <xf numFmtId="1" fontId="11" fillId="0" borderId="32"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4"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5" xfId="0" applyFont="1" applyBorder="1" applyAlignment="1">
      <alignment horizontal="left" vertical="center" wrapText="1"/>
    </xf>
    <xf numFmtId="0" fontId="5" fillId="0" borderId="35" xfId="0" applyFont="1" applyBorder="1" applyAlignment="1">
      <alignment horizontal="center" vertical="center" wrapText="1"/>
    </xf>
    <xf numFmtId="0" fontId="5" fillId="0" borderId="35"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2"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39" xfId="0" applyFont="1" applyBorder="1" applyAlignment="1">
      <alignment horizontal="center"/>
    </xf>
    <xf numFmtId="2" fontId="11" fillId="0" borderId="35"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2"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2" xfId="0" applyFont="1" applyBorder="1"/>
    <xf numFmtId="0" fontId="12" fillId="0" borderId="4" xfId="0" applyFont="1" applyBorder="1"/>
    <xf numFmtId="2" fontId="12" fillId="0" borderId="4" xfId="0" applyNumberFormat="1" applyFont="1" applyBorder="1"/>
    <xf numFmtId="2" fontId="12" fillId="0" borderId="32"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8" xfId="0" applyFont="1" applyBorder="1"/>
    <xf numFmtId="0" fontId="12" fillId="0" borderId="39" xfId="0" applyFont="1" applyBorder="1"/>
    <xf numFmtId="0" fontId="1" fillId="0" borderId="33" xfId="0" applyFont="1" applyBorder="1"/>
    <xf numFmtId="20" fontId="12" fillId="0" borderId="34" xfId="0" applyNumberFormat="1" applyFont="1" applyBorder="1"/>
    <xf numFmtId="0" fontId="12" fillId="0" borderId="36" xfId="0" applyFont="1" applyBorder="1"/>
    <xf numFmtId="0" fontId="12" fillId="0" borderId="37" xfId="0" applyFont="1" applyBorder="1"/>
    <xf numFmtId="0" fontId="1" fillId="0" borderId="37"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4"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2"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6"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6" xfId="1" applyFont="1" applyBorder="1" applyAlignment="1">
      <alignmen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5" fillId="0" borderId="16" xfId="1" applyFont="1" applyBorder="1" applyAlignment="1">
      <alignment horizontal="center"/>
    </xf>
    <xf numFmtId="0" fontId="5" fillId="0" borderId="32" xfId="1" applyFont="1" applyBorder="1" applyAlignment="1">
      <alignment horizontal="center"/>
    </xf>
    <xf numFmtId="0" fontId="11" fillId="0" borderId="35"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6"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2" xfId="0" applyFont="1" applyBorder="1" applyAlignment="1">
      <alignment horizontal="center" vertical="center"/>
    </xf>
    <xf numFmtId="2" fontId="11" fillId="0" borderId="4" xfId="0" applyNumberFormat="1" applyFont="1" applyBorder="1" applyAlignment="1">
      <alignment wrapText="1"/>
    </xf>
    <xf numFmtId="0" fontId="11" fillId="0" borderId="32" xfId="0" applyFont="1" applyBorder="1" applyAlignment="1">
      <alignment horizontal="left" wrapText="1"/>
    </xf>
    <xf numFmtId="2" fontId="11" fillId="0" borderId="1" xfId="0" applyNumberFormat="1" applyFont="1" applyBorder="1"/>
    <xf numFmtId="0" fontId="5" fillId="0" borderId="36"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0" xfId="1" applyNumberFormat="1" applyFont="1" applyBorder="1" applyProtection="1">
      <protection locked="0"/>
    </xf>
    <xf numFmtId="0" fontId="11" fillId="0" borderId="4" xfId="0" applyFont="1" applyBorder="1" applyAlignment="1">
      <alignment horizontal="center" vertical="center" wrapText="1"/>
    </xf>
    <xf numFmtId="0" fontId="26" fillId="0" borderId="40" xfId="0" applyFont="1" applyBorder="1" applyAlignment="1">
      <alignment wrapText="1"/>
    </xf>
    <xf numFmtId="2" fontId="26" fillId="0" borderId="40" xfId="0" applyNumberFormat="1" applyFont="1" applyBorder="1"/>
    <xf numFmtId="0" fontId="26" fillId="0" borderId="40" xfId="0" applyFont="1" applyBorder="1"/>
    <xf numFmtId="0" fontId="26" fillId="0" borderId="41"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7"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2"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3" xfId="1" applyFont="1" applyBorder="1" applyAlignment="1">
      <alignment horizontal="center"/>
    </xf>
    <xf numFmtId="1" fontId="11" fillId="0" borderId="32" xfId="0" applyNumberFormat="1" applyFont="1" applyBorder="1"/>
    <xf numFmtId="1" fontId="11" fillId="0" borderId="15" xfId="1" applyNumberFormat="1" applyFont="1" applyBorder="1" applyAlignment="1">
      <alignment horizontal="center"/>
    </xf>
    <xf numFmtId="1" fontId="11" fillId="0" borderId="35" xfId="1" applyNumberFormat="1" applyFont="1" applyBorder="1" applyAlignment="1">
      <alignment horizontal="center"/>
    </xf>
    <xf numFmtId="0" fontId="11" fillId="0" borderId="34" xfId="0" applyFont="1" applyBorder="1" applyAlignment="1">
      <alignment horizontal="left" vertical="center" wrapText="1"/>
    </xf>
    <xf numFmtId="0" fontId="11" fillId="0" borderId="36"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2" xfId="0" applyFont="1" applyBorder="1"/>
    <xf numFmtId="0" fontId="18" fillId="0" borderId="32" xfId="0" applyFont="1" applyBorder="1"/>
    <xf numFmtId="0" fontId="11" fillId="0" borderId="7" xfId="2" applyFont="1" applyBorder="1"/>
    <xf numFmtId="40" fontId="11" fillId="0" borderId="15" xfId="2" applyNumberFormat="1" applyFont="1" applyBorder="1"/>
    <xf numFmtId="0" fontId="11" fillId="0" borderId="34" xfId="2" applyFont="1" applyBorder="1"/>
    <xf numFmtId="40" fontId="11" fillId="0" borderId="36" xfId="2" applyNumberFormat="1" applyFont="1" applyBorder="1"/>
    <xf numFmtId="0" fontId="11" fillId="0" borderId="36" xfId="2" applyFont="1" applyBorder="1"/>
    <xf numFmtId="0" fontId="11" fillId="0" borderId="12" xfId="2" applyFont="1" applyBorder="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8" xfId="2" applyFont="1" applyBorder="1"/>
    <xf numFmtId="0" fontId="11" fillId="0" borderId="39" xfId="2" applyFont="1" applyBorder="1"/>
    <xf numFmtId="0" fontId="18" fillId="0" borderId="33" xfId="0" applyFont="1" applyBorder="1"/>
    <xf numFmtId="0" fontId="18" fillId="0" borderId="37"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40" fontId="11" fillId="0" borderId="32" xfId="8" applyNumberFormat="1" applyFont="1" applyFill="1" applyBorder="1" applyAlignment="1"/>
    <xf numFmtId="1" fontId="11" fillId="0" borderId="4" xfId="2" applyNumberFormat="1" applyFont="1" applyBorder="1"/>
    <xf numFmtId="4" fontId="11" fillId="0" borderId="32" xfId="8" applyNumberFormat="1" applyFont="1" applyFill="1" applyBorder="1" applyAlignment="1">
      <alignment horizontal="center"/>
    </xf>
    <xf numFmtId="0" fontId="11" fillId="0" borderId="37"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6" fillId="0" borderId="11" xfId="3"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3"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6" fillId="0" borderId="11" xfId="2" applyFont="1" applyBorder="1" applyAlignment="1">
      <alignment horizontal="left"/>
    </xf>
    <xf numFmtId="0" fontId="11" fillId="0" borderId="6"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8" xfId="1" applyFont="1" applyBorder="1" applyAlignment="1">
      <alignment horizontal="left"/>
    </xf>
    <xf numFmtId="0" fontId="11" fillId="0" borderId="39" xfId="1" applyFont="1" applyBorder="1" applyAlignment="1">
      <alignment horizontal="left"/>
    </xf>
    <xf numFmtId="2" fontId="11" fillId="0" borderId="4" xfId="1" applyNumberFormat="1" applyFont="1" applyBorder="1" applyAlignment="1">
      <alignment vertical="center" wrapText="1"/>
    </xf>
    <xf numFmtId="0" fontId="11" fillId="0" borderId="36" xfId="0" applyFont="1" applyBorder="1" applyAlignment="1">
      <alignment horizontal="center"/>
    </xf>
    <xf numFmtId="0" fontId="6" fillId="0" borderId="11" xfId="1" applyFont="1" applyBorder="1" applyAlignment="1">
      <alignment horizontal="left"/>
    </xf>
    <xf numFmtId="0" fontId="24" fillId="0" borderId="32" xfId="1" applyFont="1" applyBorder="1" applyAlignment="1">
      <alignment horizontal="center"/>
    </xf>
    <xf numFmtId="2" fontId="7" fillId="0" borderId="32" xfId="0" applyNumberFormat="1" applyFont="1" applyBorder="1"/>
    <xf numFmtId="0" fontId="7" fillId="0" borderId="32" xfId="0" applyFont="1" applyBorder="1" applyAlignment="1">
      <alignment horizontal="right"/>
    </xf>
    <xf numFmtId="0" fontId="7" fillId="0" borderId="32"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2" xfId="0" applyFont="1" applyBorder="1" applyAlignment="1">
      <alignment horizontal="center"/>
    </xf>
    <xf numFmtId="0" fontId="7" fillId="0" borderId="32" xfId="1" applyFont="1" applyBorder="1" applyAlignment="1">
      <alignment horizontal="right"/>
    </xf>
    <xf numFmtId="0" fontId="7" fillId="0" borderId="35" xfId="0" applyFont="1" applyBorder="1" applyAlignment="1">
      <alignment horizontal="center"/>
    </xf>
    <xf numFmtId="0" fontId="7" fillId="0" borderId="32" xfId="0" applyFont="1" applyBorder="1" applyAlignment="1">
      <alignment wrapText="1"/>
    </xf>
    <xf numFmtId="2" fontId="11" fillId="0" borderId="4" xfId="1" applyNumberFormat="1" applyFont="1" applyBorder="1" applyAlignment="1">
      <alignment horizontal="right" wrapText="1"/>
    </xf>
    <xf numFmtId="2" fontId="7" fillId="0" borderId="32" xfId="1" applyNumberFormat="1" applyFont="1" applyBorder="1"/>
    <xf numFmtId="2" fontId="7" fillId="0" borderId="32"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0" xfId="0" applyFont="1" applyBorder="1" applyAlignment="1">
      <alignment horizontal="center"/>
    </xf>
    <xf numFmtId="2" fontId="26" fillId="0" borderId="42" xfId="0" applyNumberFormat="1" applyFont="1" applyBorder="1" applyAlignment="1">
      <alignment horizontal="right"/>
    </xf>
    <xf numFmtId="0" fontId="26" fillId="0" borderId="43" xfId="0" applyFont="1" applyBorder="1" applyAlignment="1">
      <alignment horizontal="center"/>
    </xf>
    <xf numFmtId="0" fontId="1" fillId="0" borderId="39" xfId="0" applyFont="1" applyBorder="1"/>
    <xf numFmtId="0" fontId="1" fillId="0" borderId="36"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2" xfId="0" applyNumberFormat="1" applyFont="1" applyBorder="1" applyAlignment="1">
      <alignment horizontal="right"/>
    </xf>
    <xf numFmtId="0" fontId="25" fillId="0" borderId="30" xfId="0" applyFont="1" applyBorder="1" applyAlignment="1">
      <alignment horizontal="center"/>
    </xf>
    <xf numFmtId="2" fontId="11" fillId="0" borderId="4" xfId="0" applyNumberFormat="1" applyFont="1" applyBorder="1" applyAlignment="1">
      <alignment horizontal="center"/>
    </xf>
    <xf numFmtId="2" fontId="11" fillId="0" borderId="31" xfId="0" applyNumberFormat="1" applyFont="1" applyBorder="1"/>
    <xf numFmtId="1" fontId="11" fillId="0" borderId="31" xfId="0" applyNumberFormat="1" applyFont="1" applyBorder="1"/>
    <xf numFmtId="0" fontId="5" fillId="0" borderId="16" xfId="0" applyFont="1" applyBorder="1"/>
    <xf numFmtId="2" fontId="26" fillId="0" borderId="42" xfId="0" applyNumberFormat="1" applyFont="1" applyBorder="1"/>
    <xf numFmtId="0" fontId="26" fillId="0" borderId="43" xfId="0" applyFont="1" applyBorder="1"/>
    <xf numFmtId="0" fontId="11" fillId="0" borderId="34"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2"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39" xfId="1" applyFont="1" applyBorder="1"/>
    <xf numFmtId="0" fontId="25" fillId="0" borderId="32" xfId="1" applyFont="1" applyBorder="1" applyAlignment="1">
      <alignment horizontal="center"/>
    </xf>
    <xf numFmtId="2" fontId="26" fillId="0" borderId="32" xfId="1" applyNumberFormat="1" applyFont="1" applyBorder="1"/>
    <xf numFmtId="0" fontId="26" fillId="0" borderId="32"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6"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2"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2" xfId="0" applyNumberFormat="1" applyFont="1" applyBorder="1" applyAlignment="1">
      <alignment horizontal="right"/>
    </xf>
    <xf numFmtId="0" fontId="11" fillId="0" borderId="32" xfId="0" quotePrefix="1" applyFont="1" applyBorder="1" applyAlignment="1">
      <alignment horizontal="center"/>
    </xf>
    <xf numFmtId="0" fontId="11" fillId="0" borderId="32" xfId="0" applyFont="1" applyBorder="1" applyAlignment="1">
      <alignment horizontal="left"/>
    </xf>
    <xf numFmtId="0" fontId="11" fillId="0" borderId="37"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5" fillId="0" borderId="6" xfId="0" applyFont="1" applyBorder="1" applyAlignment="1">
      <alignment horizontal="right"/>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6" xfId="4" applyFont="1" applyBorder="1"/>
    <xf numFmtId="0" fontId="11" fillId="0" borderId="6" xfId="4" applyFont="1" applyBorder="1" applyAlignment="1">
      <alignment horizontal="center"/>
    </xf>
    <xf numFmtId="2" fontId="11" fillId="0" borderId="19" xfId="4" applyNumberFormat="1" applyFont="1" applyBorder="1" applyAlignment="1">
      <alignment horizontal="center"/>
    </xf>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4" xfId="4" applyFont="1" applyBorder="1"/>
    <xf numFmtId="0" fontId="11" fillId="0" borderId="36"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6" xfId="4" applyFont="1" applyBorder="1"/>
    <xf numFmtId="0" fontId="11" fillId="0" borderId="36"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8" xfId="4" applyFont="1" applyBorder="1"/>
    <xf numFmtId="0" fontId="11" fillId="0" borderId="39"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39"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2" xfId="0" applyFont="1" applyBorder="1" applyAlignment="1">
      <alignment horizontal="center"/>
    </xf>
    <xf numFmtId="0" fontId="11" fillId="0" borderId="36"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7" xfId="0" applyFont="1" applyBorder="1"/>
    <xf numFmtId="0" fontId="6" fillId="0" borderId="36" xfId="0" applyFont="1" applyBorder="1"/>
    <xf numFmtId="1" fontId="11" fillId="0" borderId="35" xfId="1" applyNumberFormat="1" applyFont="1" applyBorder="1"/>
    <xf numFmtId="0" fontId="12" fillId="0" borderId="35" xfId="0" applyFont="1" applyBorder="1"/>
    <xf numFmtId="0" fontId="11" fillId="0" borderId="34" xfId="1" applyFont="1" applyBorder="1" applyAlignment="1">
      <alignment vertical="top" wrapText="1"/>
    </xf>
    <xf numFmtId="0" fontId="11" fillId="0" borderId="36" xfId="1" applyFont="1" applyBorder="1" applyAlignment="1">
      <alignment vertical="top" wrapText="1"/>
    </xf>
    <xf numFmtId="0" fontId="11" fillId="0" borderId="37" xfId="1" applyFont="1" applyBorder="1" applyAlignment="1">
      <alignment vertical="top" wrapText="1"/>
    </xf>
    <xf numFmtId="0" fontId="11" fillId="0" borderId="0" xfId="1" applyFont="1" applyAlignment="1">
      <alignment vertical="top" wrapText="1"/>
    </xf>
    <xf numFmtId="0" fontId="11" fillId="0" borderId="34" xfId="1" applyFont="1" applyBorder="1" applyAlignment="1">
      <alignment vertical="top"/>
    </xf>
    <xf numFmtId="0" fontId="5" fillId="0" borderId="32" xfId="1" applyFont="1" applyBorder="1"/>
    <xf numFmtId="0" fontId="11" fillId="0" borderId="38" xfId="1" applyFont="1" applyBorder="1"/>
    <xf numFmtId="0" fontId="11" fillId="0" borderId="33" xfId="1" applyFont="1" applyBorder="1"/>
    <xf numFmtId="0" fontId="5" fillId="0" borderId="33" xfId="0" applyFont="1" applyBorder="1" applyAlignment="1">
      <alignment horizontal="left"/>
    </xf>
    <xf numFmtId="49" fontId="11" fillId="0" borderId="32" xfId="1" applyNumberFormat="1" applyFont="1" applyBorder="1" applyAlignment="1">
      <alignment horizontal="center" wrapText="1"/>
    </xf>
    <xf numFmtId="0" fontId="20" fillId="0" borderId="10" xfId="0" applyFont="1" applyBorder="1"/>
    <xf numFmtId="0" fontId="12" fillId="0" borderId="36" xfId="2" applyFont="1" applyBorder="1"/>
    <xf numFmtId="0" fontId="12" fillId="0" borderId="0" xfId="2" applyFont="1"/>
    <xf numFmtId="40" fontId="11" fillId="0" borderId="35" xfId="2" applyNumberFormat="1" applyFont="1" applyBorder="1"/>
    <xf numFmtId="165" fontId="11" fillId="0" borderId="35" xfId="2" applyNumberFormat="1" applyFont="1" applyBorder="1"/>
    <xf numFmtId="0" fontId="18" fillId="0" borderId="35" xfId="0" applyFont="1" applyBorder="1"/>
    <xf numFmtId="0" fontId="16" fillId="0" borderId="35" xfId="0" applyFont="1" applyBorder="1"/>
    <xf numFmtId="0" fontId="6" fillId="0" borderId="0" xfId="2" applyFont="1"/>
    <xf numFmtId="2" fontId="11" fillId="0" borderId="0" xfId="2" applyNumberFormat="1" applyFont="1" applyAlignment="1">
      <alignment horizontal="center"/>
    </xf>
    <xf numFmtId="0" fontId="6" fillId="0" borderId="6" xfId="3" applyFont="1" applyBorder="1"/>
    <xf numFmtId="0" fontId="6" fillId="0" borderId="6" xfId="2" applyFont="1" applyBorder="1"/>
    <xf numFmtId="0" fontId="29" fillId="0" borderId="3" xfId="0" applyFont="1" applyBorder="1"/>
    <xf numFmtId="0" fontId="29" fillId="0" borderId="0" xfId="0" applyFont="1"/>
    <xf numFmtId="0" fontId="11" fillId="0" borderId="0" xfId="3" applyFont="1" applyAlignment="1">
      <alignment wrapText="1"/>
    </xf>
    <xf numFmtId="0" fontId="11" fillId="0" borderId="6" xfId="3" applyFont="1" applyBorder="1"/>
    <xf numFmtId="1" fontId="5" fillId="0" borderId="32" xfId="2" applyNumberFormat="1" applyFont="1" applyBorder="1" applyAlignment="1">
      <alignment horizontal="center" vertical="top"/>
    </xf>
    <xf numFmtId="167" fontId="11" fillId="0" borderId="35" xfId="2" applyNumberFormat="1" applyFont="1" applyBorder="1"/>
    <xf numFmtId="1" fontId="11" fillId="0" borderId="35" xfId="2" applyNumberFormat="1" applyFont="1" applyBorder="1"/>
    <xf numFmtId="0" fontId="11" fillId="0" borderId="35" xfId="2" applyFont="1" applyBorder="1"/>
    <xf numFmtId="0" fontId="20" fillId="0" borderId="37" xfId="0" applyFont="1" applyBorder="1"/>
    <xf numFmtId="0" fontId="6" fillId="0" borderId="6" xfId="1" applyFont="1" applyBorder="1"/>
    <xf numFmtId="0" fontId="5" fillId="0" borderId="38" xfId="2" applyFont="1" applyBorder="1"/>
    <xf numFmtId="0" fontId="5" fillId="0" borderId="32" xfId="2" applyFont="1" applyBorder="1"/>
    <xf numFmtId="0" fontId="11" fillId="0" borderId="33" xfId="2" applyFont="1" applyBorder="1"/>
    <xf numFmtId="0" fontId="11" fillId="0" borderId="10" xfId="1" applyFont="1" applyBorder="1"/>
    <xf numFmtId="0" fontId="6" fillId="0" borderId="3" xfId="1" applyFont="1" applyBorder="1"/>
    <xf numFmtId="0" fontId="30" fillId="0" borderId="0" xfId="0" applyFont="1"/>
    <xf numFmtId="40" fontId="11" fillId="0" borderId="32" xfId="2" applyNumberFormat="1" applyFont="1" applyBorder="1"/>
    <xf numFmtId="40" fontId="11" fillId="0" borderId="38" xfId="2" applyNumberFormat="1" applyFont="1" applyBorder="1"/>
    <xf numFmtId="4" fontId="11" fillId="0" borderId="32" xfId="9" applyNumberFormat="1" applyFont="1" applyFill="1" applyBorder="1" applyAlignment="1">
      <alignment horizontal="center"/>
    </xf>
    <xf numFmtId="40" fontId="11" fillId="0" borderId="34" xfId="2" applyNumberFormat="1" applyFont="1" applyBorder="1"/>
    <xf numFmtId="4" fontId="11" fillId="0" borderId="35" xfId="9" applyNumberFormat="1" applyFont="1" applyFill="1" applyBorder="1" applyAlignment="1">
      <alignment horizontal="center"/>
    </xf>
    <xf numFmtId="0" fontId="6" fillId="0" borderId="38" xfId="4" applyFont="1" applyBorder="1"/>
    <xf numFmtId="0" fontId="11" fillId="0" borderId="33" xfId="4" applyFont="1" applyBorder="1"/>
    <xf numFmtId="0" fontId="5" fillId="0" borderId="4" xfId="0" applyFont="1" applyBorder="1" applyAlignment="1">
      <alignment vertical="center"/>
    </xf>
    <xf numFmtId="0" fontId="5" fillId="0" borderId="32" xfId="0" applyFont="1" applyBorder="1" applyAlignment="1">
      <alignment vertical="center"/>
    </xf>
    <xf numFmtId="0" fontId="27" fillId="0" borderId="3" xfId="0" applyFont="1" applyBorder="1"/>
    <xf numFmtId="1" fontId="11" fillId="0" borderId="35" xfId="0" applyNumberFormat="1" applyFont="1" applyBorder="1" applyAlignment="1">
      <alignment horizontal="center"/>
    </xf>
    <xf numFmtId="0" fontId="11" fillId="0" borderId="35" xfId="0" applyFont="1" applyBorder="1" applyAlignment="1">
      <alignment horizontal="center"/>
    </xf>
    <xf numFmtId="0" fontId="11" fillId="0" borderId="34" xfId="1" applyFont="1" applyBorder="1" applyAlignment="1">
      <alignment horizontal="left"/>
    </xf>
    <xf numFmtId="0" fontId="11" fillId="0" borderId="36" xfId="1" applyFont="1" applyBorder="1" applyAlignment="1">
      <alignment horizontal="left"/>
    </xf>
    <xf numFmtId="43" fontId="7" fillId="0" borderId="4" xfId="1" applyNumberFormat="1" applyFont="1" applyBorder="1" applyAlignment="1">
      <alignment horizontal="right"/>
    </xf>
    <xf numFmtId="0" fontId="11" fillId="0" borderId="39" xfId="1" applyFont="1" applyBorder="1" applyAlignment="1">
      <alignment horizontal="left" wrapText="1"/>
    </xf>
    <xf numFmtId="0" fontId="5" fillId="0" borderId="38" xfId="1" applyFont="1" applyBorder="1"/>
    <xf numFmtId="0" fontId="5" fillId="0" borderId="33" xfId="1" applyFont="1" applyBorder="1"/>
    <xf numFmtId="0" fontId="11" fillId="0" borderId="32" xfId="1" applyFont="1" applyBorder="1" applyAlignment="1">
      <alignment horizontal="left" wrapText="1"/>
    </xf>
    <xf numFmtId="0" fontId="11" fillId="0" borderId="32" xfId="1" applyFont="1" applyBorder="1" applyAlignment="1">
      <alignment wrapText="1"/>
    </xf>
    <xf numFmtId="2" fontId="11" fillId="0" borderId="32" xfId="1" applyNumberFormat="1" applyFont="1" applyBorder="1" applyAlignment="1">
      <alignment horizontal="left" wrapText="1"/>
    </xf>
    <xf numFmtId="2" fontId="11" fillId="0" borderId="32" xfId="1" applyNumberFormat="1" applyFont="1" applyBorder="1" applyAlignment="1">
      <alignment horizontal="right" wrapText="1"/>
    </xf>
    <xf numFmtId="0" fontId="11" fillId="0" borderId="32" xfId="1" quotePrefix="1" applyFont="1" applyBorder="1" applyAlignment="1">
      <alignment horizontal="left" wrapText="1"/>
    </xf>
    <xf numFmtId="0" fontId="11" fillId="0" borderId="32" xfId="1" applyFont="1" applyBorder="1" applyAlignment="1">
      <alignment horizontal="left"/>
    </xf>
    <xf numFmtId="0" fontId="11" fillId="0" borderId="39" xfId="1" applyFont="1" applyBorder="1" applyAlignment="1">
      <alignment wrapText="1"/>
    </xf>
    <xf numFmtId="0" fontId="11" fillId="0" borderId="33" xfId="1" applyFont="1" applyBorder="1" applyAlignment="1">
      <alignment wrapText="1"/>
    </xf>
    <xf numFmtId="2" fontId="11" fillId="0" borderId="32" xfId="1" applyNumberFormat="1" applyFont="1" applyBorder="1" applyAlignment="1">
      <alignment wrapText="1"/>
    </xf>
    <xf numFmtId="0" fontId="11" fillId="0" borderId="35" xfId="1" applyFont="1" applyBorder="1" applyAlignment="1">
      <alignment horizontal="left" wrapText="1"/>
    </xf>
    <xf numFmtId="0" fontId="11" fillId="0" borderId="35" xfId="1" applyFont="1" applyBorder="1" applyAlignment="1">
      <alignment wrapText="1"/>
    </xf>
    <xf numFmtId="0" fontId="6" fillId="0" borderId="11" xfId="3" applyFont="1" applyBorder="1" applyAlignment="1">
      <alignment horizontal="left"/>
    </xf>
    <xf numFmtId="0" fontId="11" fillId="0" borderId="32" xfId="0" applyFont="1" applyBorder="1" applyAlignment="1">
      <alignment wrapText="1"/>
    </xf>
    <xf numFmtId="0" fontId="11" fillId="0" borderId="32" xfId="1" applyFont="1" applyBorder="1" applyAlignment="1">
      <alignment horizontal="right"/>
    </xf>
    <xf numFmtId="2" fontId="11" fillId="0" borderId="32" xfId="0" applyNumberFormat="1" applyFont="1" applyBorder="1" applyAlignment="1">
      <alignment wrapText="1"/>
    </xf>
    <xf numFmtId="0" fontId="11" fillId="0" borderId="35" xfId="1" applyFont="1" applyBorder="1" applyAlignment="1">
      <alignment horizontal="center"/>
    </xf>
    <xf numFmtId="0" fontId="11" fillId="0" borderId="35" xfId="0" applyFont="1" applyBorder="1" applyAlignment="1">
      <alignment wrapText="1"/>
    </xf>
    <xf numFmtId="0" fontId="11" fillId="0" borderId="39" xfId="0" applyFont="1" applyBorder="1" applyAlignment="1">
      <alignment wrapText="1"/>
    </xf>
    <xf numFmtId="0" fontId="11" fillId="0" borderId="33" xfId="0" applyFont="1" applyBorder="1" applyAlignment="1">
      <alignment wrapText="1"/>
    </xf>
    <xf numFmtId="0" fontId="6" fillId="0" borderId="32" xfId="0" applyFont="1" applyBorder="1" applyAlignment="1">
      <alignment wrapText="1"/>
    </xf>
    <xf numFmtId="0" fontId="11" fillId="0" borderId="37" xfId="0" applyFont="1" applyBorder="1" applyAlignment="1">
      <alignment wrapText="1"/>
    </xf>
    <xf numFmtId="0" fontId="7" fillId="0" borderId="0" xfId="0" applyFont="1" applyAlignment="1">
      <alignment horizontal="left" wrapText="1"/>
    </xf>
    <xf numFmtId="0" fontId="11" fillId="0" borderId="34" xfId="0" applyFont="1" applyBorder="1" applyAlignment="1">
      <alignment wrapText="1"/>
    </xf>
    <xf numFmtId="0" fontId="11" fillId="0" borderId="32" xfId="1" applyFont="1" applyBorder="1" applyAlignment="1">
      <alignment horizontal="center"/>
    </xf>
    <xf numFmtId="2" fontId="5" fillId="0" borderId="4" xfId="0" applyNumberFormat="1" applyFont="1" applyBorder="1" applyAlignment="1">
      <alignment horizontal="right"/>
    </xf>
    <xf numFmtId="0" fontId="5" fillId="0" borderId="0" xfId="0" applyFont="1" applyAlignment="1">
      <alignment horizontal="right"/>
    </xf>
    <xf numFmtId="0" fontId="5" fillId="0" borderId="36" xfId="0" applyFont="1" applyBorder="1" applyAlignment="1">
      <alignment horizontal="right"/>
    </xf>
    <xf numFmtId="0" fontId="11" fillId="0" borderId="44" xfId="1" applyFont="1" applyBorder="1" applyAlignment="1">
      <alignment wrapText="1"/>
    </xf>
    <xf numFmtId="0" fontId="11" fillId="0" borderId="45" xfId="1" applyFont="1" applyBorder="1" applyAlignment="1">
      <alignment wrapText="1"/>
    </xf>
    <xf numFmtId="0" fontId="11" fillId="0" borderId="46" xfId="1" applyFont="1" applyBorder="1" applyAlignment="1">
      <alignment wrapText="1"/>
    </xf>
    <xf numFmtId="0" fontId="11" fillId="0" borderId="44" xfId="1" applyFont="1" applyBorder="1"/>
    <xf numFmtId="0" fontId="11" fillId="0" borderId="45" xfId="1" applyFont="1" applyBorder="1"/>
    <xf numFmtId="0" fontId="11" fillId="0" borderId="45" xfId="0" applyFont="1" applyBorder="1"/>
    <xf numFmtId="0" fontId="11" fillId="0" borderId="46" xfId="0" applyFont="1" applyBorder="1"/>
    <xf numFmtId="0" fontId="11" fillId="0" borderId="44" xfId="0" applyFont="1" applyBorder="1"/>
    <xf numFmtId="2" fontId="6" fillId="0" borderId="32" xfId="0" applyNumberFormat="1" applyFont="1" applyBorder="1"/>
    <xf numFmtId="0" fontId="6" fillId="0" borderId="12" xfId="1" applyFont="1" applyBorder="1" applyAlignment="1">
      <alignment vertical="top"/>
    </xf>
    <xf numFmtId="0" fontId="6" fillId="0" borderId="11" xfId="1" applyFont="1" applyBorder="1" applyAlignment="1">
      <alignment vertical="top"/>
    </xf>
    <xf numFmtId="0" fontId="11" fillId="0" borderId="32" xfId="1" applyFont="1" applyBorder="1" applyAlignment="1">
      <alignment horizontal="right" wrapText="1"/>
    </xf>
    <xf numFmtId="0" fontId="11" fillId="0" borderId="33" xfId="1" applyFont="1" applyBorder="1" applyAlignment="1">
      <alignment horizontal="left"/>
    </xf>
    <xf numFmtId="0" fontId="6" fillId="0" borderId="39" xfId="1" applyFont="1" applyBorder="1" applyAlignment="1">
      <alignment horizontal="left"/>
    </xf>
    <xf numFmtId="0" fontId="6" fillId="0" borderId="38" xfId="1" applyFont="1" applyBorder="1" applyAlignment="1">
      <alignment horizontal="left"/>
    </xf>
    <xf numFmtId="2" fontId="6" fillId="0" borderId="32" xfId="1" applyNumberFormat="1" applyFont="1" applyBorder="1" applyAlignment="1">
      <alignment horizontal="right" wrapText="1"/>
    </xf>
    <xf numFmtId="0" fontId="6" fillId="0" borderId="32" xfId="1" applyFont="1" applyBorder="1" applyAlignment="1">
      <alignment horizontal="right"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12" xfId="0" applyFont="1" applyBorder="1" applyAlignment="1">
      <alignment horizontal="left" wrapText="1"/>
    </xf>
    <xf numFmtId="0" fontId="11" fillId="0" borderId="0" xfId="0" applyFont="1" applyAlignment="1">
      <alignment horizontal="left" wrapText="1"/>
    </xf>
    <xf numFmtId="0" fontId="11" fillId="0" borderId="7" xfId="0" applyFont="1" applyBorder="1" applyAlignment="1">
      <alignment horizontal="left" wrapText="1"/>
    </xf>
    <xf numFmtId="0" fontId="11" fillId="0" borderId="8" xfId="0" applyFont="1" applyBorder="1" applyAlignment="1">
      <alignment horizontal="left" wrapText="1"/>
    </xf>
    <xf numFmtId="0" fontId="11" fillId="0" borderId="34" xfId="0" applyFont="1" applyBorder="1" applyAlignment="1">
      <alignment horizontal="left" wrapText="1"/>
    </xf>
    <xf numFmtId="0" fontId="11" fillId="0" borderId="36" xfId="0"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6" fillId="0" borderId="11" xfId="0" applyFont="1" applyBorder="1" applyAlignment="1">
      <alignment horizontal="left" wrapText="1"/>
    </xf>
    <xf numFmtId="0" fontId="6" fillId="0" borderId="6" xfId="0" applyFont="1" applyBorder="1" applyAlignment="1">
      <alignment horizontal="left" wrapText="1"/>
    </xf>
    <xf numFmtId="0" fontId="11" fillId="0" borderId="4"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8" xfId="1" applyNumberFormat="1" applyFont="1" applyBorder="1" applyAlignment="1">
      <alignment horizontal="center"/>
    </xf>
    <xf numFmtId="2" fontId="11" fillId="0" borderId="39" xfId="1" applyNumberFormat="1" applyFont="1" applyBorder="1" applyAlignment="1">
      <alignment horizontal="center"/>
    </xf>
    <xf numFmtId="2" fontId="11" fillId="0" borderId="33" xfId="1" applyNumberFormat="1" applyFont="1" applyBorder="1" applyAlignment="1">
      <alignment horizontal="center"/>
    </xf>
    <xf numFmtId="0" fontId="12" fillId="0" borderId="34" xfId="0" applyFont="1" applyBorder="1" applyAlignment="1">
      <alignment horizontal="left"/>
    </xf>
    <xf numFmtId="0" fontId="12" fillId="0" borderId="36" xfId="0" applyFont="1" applyBorder="1" applyAlignment="1">
      <alignment horizontal="left"/>
    </xf>
    <xf numFmtId="0" fontId="11" fillId="0" borderId="34" xfId="1" applyFont="1" applyBorder="1" applyAlignment="1">
      <alignment horizontal="left"/>
    </xf>
    <xf numFmtId="0" fontId="11" fillId="0" borderId="36" xfId="1"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38" xfId="1" applyFont="1" applyBorder="1" applyAlignment="1">
      <alignment horizontal="left" wrapText="1"/>
    </xf>
    <xf numFmtId="0" fontId="11" fillId="0" borderId="39" xfId="1" applyFont="1" applyBorder="1" applyAlignment="1">
      <alignment horizontal="left" wrapText="1"/>
    </xf>
    <xf numFmtId="0" fontId="11" fillId="0" borderId="33" xfId="1" applyFont="1" applyBorder="1" applyAlignment="1">
      <alignment horizontal="left" wrapText="1"/>
    </xf>
    <xf numFmtId="0" fontId="11" fillId="0" borderId="39" xfId="0" applyFont="1" applyBorder="1" applyAlignment="1">
      <alignment horizontal="center"/>
    </xf>
    <xf numFmtId="0" fontId="11" fillId="0" borderId="33" xfId="0" applyFont="1" applyBorder="1" applyAlignment="1">
      <alignment horizontal="center"/>
    </xf>
    <xf numFmtId="0" fontId="11" fillId="0" borderId="38" xfId="0" applyFont="1" applyBorder="1" applyAlignment="1">
      <alignment horizontal="left"/>
    </xf>
    <xf numFmtId="0" fontId="11" fillId="0" borderId="39" xfId="0" applyFont="1" applyBorder="1" applyAlignment="1">
      <alignment horizontal="left"/>
    </xf>
    <xf numFmtId="0" fontId="11" fillId="0" borderId="34" xfId="1" applyFont="1" applyBorder="1" applyAlignment="1">
      <alignment horizontal="left" wrapText="1"/>
    </xf>
    <xf numFmtId="0" fontId="11" fillId="0" borderId="36"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8" xfId="1" applyFont="1" applyBorder="1" applyAlignment="1">
      <alignment horizontal="left"/>
    </xf>
    <xf numFmtId="0" fontId="11" fillId="0" borderId="39" xfId="1" applyFont="1" applyBorder="1" applyAlignment="1">
      <alignment horizontal="left"/>
    </xf>
    <xf numFmtId="0" fontId="11" fillId="0" borderId="34" xfId="0" applyFont="1" applyBorder="1" applyAlignment="1">
      <alignment horizontal="left" vertical="center" wrapText="1"/>
    </xf>
    <xf numFmtId="0" fontId="11" fillId="0" borderId="36" xfId="0" applyFont="1" applyBorder="1" applyAlignment="1">
      <alignment horizontal="left" vertical="center" wrapText="1"/>
    </xf>
  </cellXfs>
  <cellStyles count="11">
    <cellStyle name="Comma [0]" xfId="8" builtinId="6"/>
    <cellStyle name="Comma [0] 2" xfId="9" xr:uid="{15BE6873-DCEF-47FA-9EBF-7847D7F2AC03}"/>
    <cellStyle name="Normal" xfId="0" builtinId="0"/>
    <cellStyle name="Normal 2" xfId="1" xr:uid="{00000000-0005-0000-0000-000001000000}"/>
    <cellStyle name="Normal 3" xfId="4" xr:uid="{00000000-0005-0000-0000-000002000000}"/>
    <cellStyle name="Normal 3 2" xfId="10" xr:uid="{737AFF2C-E8F3-4F05-B0D3-ADE26FDD4D83}"/>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RS2290"/>
  <sheetViews>
    <sheetView tabSelected="1" zoomScaleNormal="100" workbookViewId="0">
      <pane xSplit="2" ySplit="2" topLeftCell="C3" activePane="bottomRight" state="frozen"/>
      <selection pane="topRight" activeCell="C1" sqref="C1"/>
      <selection pane="bottomLeft" activeCell="A3" sqref="A3"/>
      <selection pane="bottomRight" activeCell="A2" sqref="A2"/>
    </sheetView>
  </sheetViews>
  <sheetFormatPr defaultColWidth="9.109375" defaultRowHeight="13.2" x14ac:dyDescent="0.25"/>
  <cols>
    <col min="1" max="1" width="19.88671875" style="3" customWidth="1"/>
    <col min="2" max="4" width="28.5546875" style="3" customWidth="1"/>
    <col min="5" max="5" width="30.5546875" style="3" customWidth="1"/>
    <col min="6" max="9" width="28.5546875" style="3" customWidth="1"/>
    <col min="10" max="10" width="27.44140625" style="3" bestFit="1" customWidth="1"/>
    <col min="11" max="11" width="20.6640625" style="3" customWidth="1"/>
    <col min="12" max="12" width="19.109375" style="3" bestFit="1" customWidth="1"/>
    <col min="13" max="14" width="17.6640625" style="3" bestFit="1" customWidth="1"/>
    <col min="15" max="16" width="10.33203125" style="3" customWidth="1"/>
    <col min="17" max="16384" width="9.109375" style="3"/>
  </cols>
  <sheetData>
    <row r="1" spans="1:26" ht="13.8" x14ac:dyDescent="0.3">
      <c r="A1" s="1" t="s">
        <v>1282</v>
      </c>
      <c r="B1" s="2"/>
      <c r="C1" s="2"/>
      <c r="D1" s="2"/>
      <c r="E1" s="2"/>
      <c r="F1" s="1"/>
      <c r="G1" s="2"/>
    </row>
    <row r="2" spans="1:26" ht="13.8" x14ac:dyDescent="0.3">
      <c r="A2" s="1"/>
      <c r="B2" s="2"/>
      <c r="C2" s="2"/>
      <c r="D2" s="2"/>
      <c r="E2" s="2"/>
      <c r="F2" s="1"/>
      <c r="G2" s="2"/>
    </row>
    <row r="3" spans="1:26" ht="12.75" customHeight="1" x14ac:dyDescent="0.25">
      <c r="A3" s="3" t="s">
        <v>935</v>
      </c>
      <c r="B3" s="4"/>
      <c r="C3" s="4"/>
      <c r="D3" s="4"/>
      <c r="E3" s="4"/>
      <c r="F3" s="4"/>
      <c r="G3" s="4"/>
      <c r="H3" s="4"/>
      <c r="I3" s="4"/>
      <c r="J3" s="4"/>
      <c r="K3" s="4"/>
      <c r="L3" s="4"/>
      <c r="M3" s="4"/>
      <c r="N3" s="4"/>
      <c r="O3" s="4"/>
      <c r="P3" s="4"/>
      <c r="Q3" s="4"/>
      <c r="R3" s="4"/>
      <c r="S3" s="4"/>
      <c r="T3" s="4"/>
      <c r="U3" s="4"/>
      <c r="V3" s="4"/>
      <c r="W3" s="4"/>
      <c r="X3" s="4"/>
      <c r="Y3" s="4"/>
      <c r="Z3" s="4"/>
    </row>
    <row r="4" spans="1:26" ht="12.75" customHeight="1" x14ac:dyDescent="0.25">
      <c r="B4" s="4"/>
      <c r="C4" s="4"/>
      <c r="D4" s="4"/>
      <c r="E4" s="4"/>
      <c r="F4" s="4"/>
      <c r="G4" s="4"/>
      <c r="H4" s="4"/>
      <c r="I4" s="4"/>
      <c r="J4" s="4"/>
      <c r="K4" s="4"/>
      <c r="L4" s="4"/>
      <c r="M4" s="4"/>
      <c r="N4" s="4"/>
      <c r="O4" s="4"/>
      <c r="P4" s="4"/>
      <c r="Q4" s="4"/>
      <c r="R4" s="4"/>
      <c r="S4" s="4"/>
      <c r="T4" s="4"/>
      <c r="U4" s="4"/>
      <c r="V4" s="4"/>
      <c r="W4" s="4"/>
      <c r="X4" s="4"/>
      <c r="Y4" s="4"/>
      <c r="Z4" s="4"/>
    </row>
    <row r="5" spans="1:26" ht="12.75" customHeight="1" x14ac:dyDescent="0.25">
      <c r="A5" s="6" t="s">
        <v>12</v>
      </c>
      <c r="B5" s="7" t="s">
        <v>1245</v>
      </c>
      <c r="C5" s="4"/>
      <c r="D5" s="4"/>
      <c r="E5" s="4"/>
      <c r="F5" s="4"/>
      <c r="G5" s="4"/>
      <c r="H5" s="4"/>
      <c r="I5" s="4"/>
      <c r="J5" s="4"/>
      <c r="K5" s="4"/>
      <c r="L5" s="4"/>
      <c r="M5" s="4"/>
      <c r="N5" s="4"/>
      <c r="O5" s="4"/>
      <c r="P5" s="4"/>
      <c r="Q5" s="4"/>
      <c r="R5" s="4"/>
      <c r="S5" s="4"/>
      <c r="T5" s="4"/>
      <c r="U5" s="4"/>
      <c r="V5" s="4"/>
      <c r="W5" s="4"/>
      <c r="X5" s="4"/>
      <c r="Y5" s="4"/>
      <c r="Z5" s="4"/>
    </row>
    <row r="6" spans="1:26" ht="12.75" customHeight="1" x14ac:dyDescent="0.25">
      <c r="A6" s="98" t="s">
        <v>14</v>
      </c>
      <c r="B6" s="66" t="s">
        <v>641</v>
      </c>
      <c r="C6" s="135" t="s">
        <v>152</v>
      </c>
      <c r="D6" s="8"/>
      <c r="E6" s="8"/>
      <c r="F6" s="8"/>
      <c r="G6" s="4"/>
      <c r="H6" s="4"/>
      <c r="I6" s="4"/>
      <c r="J6" s="4"/>
      <c r="K6" s="4"/>
      <c r="L6" s="4"/>
      <c r="M6" s="4"/>
      <c r="N6" s="4"/>
      <c r="O6" s="4"/>
      <c r="P6" s="4"/>
      <c r="Q6" s="4"/>
      <c r="R6" s="4"/>
      <c r="S6" s="4"/>
      <c r="T6" s="4"/>
      <c r="U6" s="4"/>
      <c r="V6" s="4"/>
      <c r="W6" s="4"/>
      <c r="X6" s="4"/>
      <c r="Y6" s="4"/>
      <c r="Z6" s="4"/>
    </row>
    <row r="7" spans="1:26" ht="12.75" customHeight="1" x14ac:dyDescent="0.25">
      <c r="A7" s="127" t="s">
        <v>16</v>
      </c>
      <c r="B7" s="269">
        <v>2016</v>
      </c>
      <c r="C7" s="269">
        <v>2017</v>
      </c>
      <c r="D7" s="269">
        <v>2018</v>
      </c>
      <c r="E7" s="269">
        <v>2019</v>
      </c>
      <c r="F7" s="269">
        <v>2020</v>
      </c>
      <c r="G7" s="269">
        <v>2021</v>
      </c>
      <c r="H7" s="269">
        <v>2022</v>
      </c>
      <c r="I7" s="269">
        <v>2023</v>
      </c>
      <c r="J7" s="269">
        <v>2024</v>
      </c>
      <c r="K7" s="269">
        <v>2025</v>
      </c>
      <c r="L7" s="4"/>
      <c r="M7" s="4"/>
      <c r="N7" s="4"/>
      <c r="O7" s="4"/>
      <c r="P7" s="4"/>
      <c r="Q7" s="4"/>
      <c r="R7" s="4"/>
      <c r="S7" s="4"/>
      <c r="T7" s="4"/>
      <c r="U7" s="4"/>
      <c r="V7" s="4"/>
      <c r="W7" s="4"/>
      <c r="X7" s="4"/>
    </row>
    <row r="8" spans="1:26" ht="12.75" customHeight="1" x14ac:dyDescent="0.25">
      <c r="A8" s="127" t="s">
        <v>17</v>
      </c>
      <c r="B8" s="128">
        <v>100</v>
      </c>
      <c r="C8" s="128">
        <v>100</v>
      </c>
      <c r="D8" s="128">
        <v>100</v>
      </c>
      <c r="E8" s="660">
        <v>100</v>
      </c>
      <c r="F8" s="660">
        <v>100</v>
      </c>
      <c r="G8" s="660">
        <v>100</v>
      </c>
      <c r="H8" s="660">
        <v>100</v>
      </c>
      <c r="I8" s="660">
        <v>100</v>
      </c>
      <c r="J8" s="660">
        <v>100</v>
      </c>
      <c r="K8" s="660">
        <v>100</v>
      </c>
      <c r="L8" s="4"/>
      <c r="M8" s="4"/>
      <c r="N8" s="4"/>
      <c r="O8" s="4"/>
      <c r="P8" s="4"/>
      <c r="Q8" s="4"/>
      <c r="R8" s="4"/>
      <c r="S8" s="4"/>
      <c r="T8" s="4"/>
      <c r="U8" s="4"/>
      <c r="V8" s="4"/>
      <c r="W8" s="4"/>
      <c r="X8" s="4"/>
    </row>
    <row r="9" spans="1:26" ht="12.75" customHeight="1" x14ac:dyDescent="0.25">
      <c r="A9" s="127" t="s">
        <v>18</v>
      </c>
      <c r="B9" s="128"/>
      <c r="C9" s="128"/>
      <c r="D9" s="128"/>
      <c r="E9" s="660"/>
      <c r="F9" s="660"/>
      <c r="G9" s="660"/>
      <c r="H9" s="660"/>
      <c r="I9" s="660"/>
      <c r="J9" s="660">
        <f>J8+H12</f>
        <v>65.319999999999993</v>
      </c>
      <c r="K9" s="662"/>
      <c r="L9" s="4"/>
      <c r="M9" s="4"/>
      <c r="N9" s="4"/>
      <c r="O9" s="4"/>
      <c r="P9" s="4"/>
      <c r="Q9" s="4"/>
      <c r="R9" s="4"/>
      <c r="S9" s="4"/>
      <c r="T9" s="4"/>
      <c r="U9" s="4"/>
      <c r="V9" s="4"/>
      <c r="W9" s="4"/>
      <c r="X9" s="4"/>
    </row>
    <row r="10" spans="1:26" ht="12.75" customHeight="1" x14ac:dyDescent="0.25">
      <c r="A10" s="127" t="s">
        <v>19</v>
      </c>
      <c r="B10" s="661"/>
      <c r="C10" s="661"/>
      <c r="D10" s="661"/>
      <c r="E10" s="660"/>
      <c r="F10" s="660"/>
      <c r="G10" s="660"/>
      <c r="H10" s="660"/>
      <c r="I10" s="660"/>
      <c r="J10" s="660"/>
      <c r="K10" s="660"/>
      <c r="L10" s="4"/>
      <c r="M10" s="4"/>
      <c r="N10" s="4"/>
      <c r="O10" s="4"/>
      <c r="P10" s="4"/>
      <c r="Q10" s="4"/>
      <c r="R10" s="4"/>
      <c r="S10" s="4"/>
      <c r="T10" s="4"/>
      <c r="U10" s="4"/>
      <c r="V10" s="4"/>
      <c r="W10" s="4"/>
      <c r="X10" s="4"/>
    </row>
    <row r="11" spans="1:26" ht="12.6" customHeight="1" x14ac:dyDescent="0.25">
      <c r="A11" s="127" t="s">
        <v>20</v>
      </c>
      <c r="B11" s="128">
        <v>0</v>
      </c>
      <c r="C11" s="128">
        <v>13.5</v>
      </c>
      <c r="D11" s="128">
        <v>0</v>
      </c>
      <c r="E11" s="662">
        <v>0</v>
      </c>
      <c r="F11" s="662">
        <v>0</v>
      </c>
      <c r="G11" s="662">
        <v>45.082000000000001</v>
      </c>
      <c r="H11" s="662">
        <v>134.68</v>
      </c>
      <c r="I11" s="662">
        <v>22.178999999999998</v>
      </c>
      <c r="J11" s="662">
        <v>32.44</v>
      </c>
      <c r="K11" s="662"/>
      <c r="L11" s="4"/>
      <c r="M11" s="4"/>
      <c r="N11" s="4"/>
      <c r="O11" s="4"/>
      <c r="P11" s="4"/>
      <c r="Q11" s="4"/>
      <c r="R11" s="4"/>
      <c r="S11" s="4"/>
      <c r="T11" s="4"/>
      <c r="U11" s="4"/>
      <c r="V11" s="4"/>
      <c r="W11" s="4"/>
      <c r="X11" s="4"/>
    </row>
    <row r="12" spans="1:26" ht="12.75" customHeight="1" x14ac:dyDescent="0.25">
      <c r="A12" s="127" t="s">
        <v>21</v>
      </c>
      <c r="B12" s="128"/>
      <c r="C12" s="128">
        <v>86.5</v>
      </c>
      <c r="D12" s="128">
        <v>100</v>
      </c>
      <c r="E12" s="660">
        <v>100</v>
      </c>
      <c r="F12" s="660">
        <v>100</v>
      </c>
      <c r="G12" s="660">
        <v>54.917999999999999</v>
      </c>
      <c r="H12" s="667">
        <v>-34.680000000000007</v>
      </c>
      <c r="I12" s="662">
        <f>I8-I11</f>
        <v>77.820999999999998</v>
      </c>
      <c r="J12" s="662">
        <f>J9-J11</f>
        <v>32.879999999999995</v>
      </c>
      <c r="K12" s="662"/>
      <c r="L12" s="4"/>
      <c r="M12" s="4"/>
      <c r="N12" s="4"/>
      <c r="O12" s="4"/>
      <c r="P12" s="4"/>
      <c r="Q12" s="4"/>
      <c r="R12" s="4"/>
      <c r="S12" s="4"/>
      <c r="T12" s="4"/>
      <c r="U12" s="4"/>
      <c r="V12" s="4"/>
      <c r="W12" s="4"/>
      <c r="X12" s="4"/>
    </row>
    <row r="13" spans="1:26" ht="12.75" customHeight="1" x14ac:dyDescent="0.25">
      <c r="A13" s="270" t="s">
        <v>22</v>
      </c>
      <c r="B13" s="663"/>
      <c r="C13" s="663"/>
      <c r="D13" s="663"/>
      <c r="E13" s="664"/>
      <c r="F13" s="664"/>
      <c r="G13" s="664"/>
      <c r="H13" s="664">
        <v>2024</v>
      </c>
      <c r="I13" s="664">
        <v>2025</v>
      </c>
      <c r="J13" s="664">
        <v>2026</v>
      </c>
      <c r="K13" s="664">
        <v>2027</v>
      </c>
      <c r="L13" s="4"/>
      <c r="M13" s="4"/>
      <c r="N13" s="4"/>
      <c r="O13" s="4"/>
      <c r="P13" s="4"/>
      <c r="Q13" s="4"/>
      <c r="R13" s="4"/>
      <c r="S13" s="4"/>
      <c r="T13" s="4"/>
      <c r="U13" s="4"/>
      <c r="V13" s="4"/>
      <c r="W13" s="4"/>
      <c r="X13" s="4"/>
    </row>
    <row r="14" spans="1:26" ht="12.75" customHeight="1" x14ac:dyDescent="0.25">
      <c r="A14" s="434" t="s">
        <v>23</v>
      </c>
      <c r="B14" s="654"/>
      <c r="C14" s="645"/>
      <c r="D14" s="645"/>
      <c r="E14" s="654"/>
      <c r="F14" s="654"/>
      <c r="G14" s="665"/>
      <c r="H14" s="665"/>
      <c r="I14" s="665"/>
      <c r="J14" s="666"/>
      <c r="K14" s="666"/>
      <c r="L14" s="4"/>
      <c r="M14" s="4"/>
      <c r="N14" s="4"/>
      <c r="O14" s="4"/>
      <c r="P14" s="4"/>
      <c r="Q14" s="4"/>
      <c r="R14" s="4"/>
      <c r="S14" s="4"/>
      <c r="T14" s="4"/>
      <c r="U14" s="4"/>
      <c r="V14" s="4"/>
      <c r="W14" s="4"/>
      <c r="X14" s="4"/>
      <c r="Y14" s="4"/>
      <c r="Z14" s="4"/>
    </row>
    <row r="15" spans="1:26" s="5" customFormat="1" ht="13.8" x14ac:dyDescent="0.3"/>
    <row r="16" spans="1:26" ht="13.8" x14ac:dyDescent="0.3">
      <c r="A16" s="6" t="s">
        <v>12</v>
      </c>
      <c r="B16" s="7" t="s">
        <v>756</v>
      </c>
      <c r="C16" s="8"/>
      <c r="F16" s="1"/>
      <c r="G16" s="2"/>
    </row>
    <row r="17" spans="1:7" ht="13.8" x14ac:dyDescent="0.3">
      <c r="A17" s="6" t="s">
        <v>14</v>
      </c>
      <c r="B17" s="7" t="s">
        <v>642</v>
      </c>
      <c r="C17" s="9" t="s">
        <v>15</v>
      </c>
      <c r="F17" s="1"/>
      <c r="G17" s="2"/>
    </row>
    <row r="18" spans="1:7" x14ac:dyDescent="0.25">
      <c r="A18" s="10" t="s">
        <v>16</v>
      </c>
      <c r="B18" s="11"/>
      <c r="C18" s="11">
        <v>2021</v>
      </c>
      <c r="D18" s="11">
        <v>2022</v>
      </c>
      <c r="E18" s="11">
        <v>2023</v>
      </c>
      <c r="F18" s="11">
        <v>2024</v>
      </c>
      <c r="G18" s="11">
        <v>2025</v>
      </c>
    </row>
    <row r="19" spans="1:7" x14ac:dyDescent="0.25">
      <c r="A19" s="10" t="s">
        <v>17</v>
      </c>
      <c r="B19" s="12"/>
      <c r="C19" s="12">
        <v>170</v>
      </c>
      <c r="D19" s="12">
        <v>170</v>
      </c>
      <c r="E19" s="12">
        <v>264</v>
      </c>
      <c r="F19" s="12">
        <v>264</v>
      </c>
      <c r="G19" s="12">
        <v>264</v>
      </c>
    </row>
    <row r="20" spans="1:7" x14ac:dyDescent="0.25">
      <c r="A20" s="10" t="s">
        <v>18</v>
      </c>
      <c r="B20" s="12"/>
      <c r="C20" s="12"/>
      <c r="D20" s="12">
        <f>D19+0.05*C19</f>
        <v>178.5</v>
      </c>
      <c r="E20" s="12"/>
      <c r="F20" s="12"/>
      <c r="G20" s="12"/>
    </row>
    <row r="21" spans="1:7" x14ac:dyDescent="0.25">
      <c r="A21" s="10" t="s">
        <v>19</v>
      </c>
      <c r="B21" s="13"/>
      <c r="C21" s="14"/>
      <c r="D21" s="14" t="s">
        <v>757</v>
      </c>
      <c r="E21" s="14"/>
      <c r="F21" s="14"/>
      <c r="G21" s="14"/>
    </row>
    <row r="22" spans="1:7" x14ac:dyDescent="0.25">
      <c r="A22" s="10" t="s">
        <v>20</v>
      </c>
      <c r="B22" s="12"/>
      <c r="C22" s="12">
        <v>148.4</v>
      </c>
      <c r="D22" s="12">
        <v>177.5</v>
      </c>
      <c r="E22" s="12">
        <v>263.86921999999998</v>
      </c>
      <c r="F22" s="15">
        <v>262.95</v>
      </c>
      <c r="G22" s="15"/>
    </row>
    <row r="23" spans="1:7" x14ac:dyDescent="0.25">
      <c r="A23" s="10" t="s">
        <v>21</v>
      </c>
      <c r="B23" s="12"/>
      <c r="C23" s="12">
        <f>C19-C22</f>
        <v>21.599999999999994</v>
      </c>
      <c r="D23" s="12">
        <f>D20-D22</f>
        <v>1</v>
      </c>
      <c r="E23" s="12">
        <f>E19-E22</f>
        <v>0.13078000000001566</v>
      </c>
      <c r="F23" s="15">
        <f>F19-F22</f>
        <v>1.0500000000000114</v>
      </c>
      <c r="G23" s="15"/>
    </row>
    <row r="24" spans="1:7" x14ac:dyDescent="0.25">
      <c r="A24" s="16" t="s">
        <v>22</v>
      </c>
      <c r="B24" s="17"/>
      <c r="C24" s="17">
        <v>2022</v>
      </c>
      <c r="D24" s="17">
        <v>2023</v>
      </c>
      <c r="E24" s="17">
        <v>2024</v>
      </c>
      <c r="F24" s="17">
        <v>2025</v>
      </c>
      <c r="G24" s="17">
        <v>2026</v>
      </c>
    </row>
    <row r="25" spans="1:7" ht="13.8" x14ac:dyDescent="0.3">
      <c r="A25" s="18" t="s">
        <v>23</v>
      </c>
      <c r="B25" s="19"/>
      <c r="C25" s="19"/>
      <c r="D25" s="19"/>
      <c r="E25" s="19"/>
      <c r="F25" s="20"/>
      <c r="G25" s="21"/>
    </row>
    <row r="26" spans="1:7" ht="31.95" customHeight="1" x14ac:dyDescent="0.3">
      <c r="A26" s="692" t="s">
        <v>758</v>
      </c>
      <c r="B26" s="693"/>
      <c r="C26" s="693"/>
      <c r="D26" s="693"/>
      <c r="E26" s="693"/>
      <c r="F26" s="23"/>
      <c r="G26" s="24"/>
    </row>
    <row r="27" spans="1:7" ht="13.8" x14ac:dyDescent="0.3">
      <c r="A27" s="1"/>
      <c r="B27" s="2"/>
      <c r="C27" s="2"/>
      <c r="D27" s="2"/>
      <c r="E27" s="2"/>
      <c r="F27" s="1"/>
      <c r="G27" s="2"/>
    </row>
    <row r="28" spans="1:7" s="5" customFormat="1" ht="13.8" x14ac:dyDescent="0.3"/>
    <row r="29" spans="1:7" ht="13.8" x14ac:dyDescent="0.3">
      <c r="A29" s="6" t="s">
        <v>12</v>
      </c>
      <c r="B29" s="7" t="s">
        <v>977</v>
      </c>
      <c r="C29" s="8"/>
      <c r="F29" s="1"/>
      <c r="G29" s="2"/>
    </row>
    <row r="30" spans="1:7" ht="13.8" x14ac:dyDescent="0.3">
      <c r="A30" s="6" t="s">
        <v>14</v>
      </c>
      <c r="B30" s="7" t="s">
        <v>642</v>
      </c>
      <c r="C30" s="9" t="s">
        <v>15</v>
      </c>
      <c r="F30" s="1"/>
      <c r="G30" s="2"/>
    </row>
    <row r="31" spans="1:7" x14ac:dyDescent="0.25">
      <c r="A31" s="10" t="s">
        <v>16</v>
      </c>
      <c r="B31" s="11"/>
      <c r="C31" s="11">
        <v>2023</v>
      </c>
      <c r="D31" s="11">
        <v>2024</v>
      </c>
      <c r="E31" s="585">
        <v>2025</v>
      </c>
      <c r="F31" s="2"/>
    </row>
    <row r="32" spans="1:7" x14ac:dyDescent="0.25">
      <c r="A32" s="10" t="s">
        <v>17</v>
      </c>
      <c r="B32" s="12"/>
      <c r="C32" s="12">
        <v>2023</v>
      </c>
      <c r="D32" s="12">
        <v>2023</v>
      </c>
      <c r="E32" s="586">
        <v>2023</v>
      </c>
      <c r="F32" s="2"/>
    </row>
    <row r="33" spans="1:9" x14ac:dyDescent="0.25">
      <c r="A33" s="10" t="s">
        <v>18</v>
      </c>
      <c r="B33" s="12"/>
      <c r="C33" s="12"/>
      <c r="D33" s="12">
        <f>D32+23</f>
        <v>2046</v>
      </c>
      <c r="E33" s="27">
        <v>2052.65</v>
      </c>
      <c r="F33" s="2"/>
    </row>
    <row r="34" spans="1:9" ht="26.4" x14ac:dyDescent="0.25">
      <c r="A34" s="10" t="s">
        <v>19</v>
      </c>
      <c r="B34" s="13"/>
      <c r="C34" s="14"/>
      <c r="D34" s="14" t="s">
        <v>978</v>
      </c>
      <c r="E34" s="28" t="s">
        <v>1130</v>
      </c>
      <c r="F34" s="2"/>
    </row>
    <row r="35" spans="1:9" x14ac:dyDescent="0.25">
      <c r="A35" s="10" t="s">
        <v>20</v>
      </c>
      <c r="B35" s="12"/>
      <c r="C35" s="12">
        <v>1999.9290000000001</v>
      </c>
      <c r="D35" s="15">
        <v>2011.35</v>
      </c>
      <c r="E35" s="586"/>
      <c r="F35" s="2"/>
    </row>
    <row r="36" spans="1:9" x14ac:dyDescent="0.25">
      <c r="A36" s="10" t="s">
        <v>21</v>
      </c>
      <c r="B36" s="12"/>
      <c r="C36" s="12">
        <f>C32-C35</f>
        <v>23.070999999999913</v>
      </c>
      <c r="D36" s="15">
        <f>D33-D35</f>
        <v>34.650000000000091</v>
      </c>
      <c r="E36" s="586"/>
      <c r="F36" s="2"/>
    </row>
    <row r="37" spans="1:9" x14ac:dyDescent="0.25">
      <c r="A37" s="16" t="s">
        <v>22</v>
      </c>
      <c r="B37" s="17"/>
      <c r="C37" s="17">
        <v>2024</v>
      </c>
      <c r="D37" s="17">
        <v>2025</v>
      </c>
      <c r="E37" s="587">
        <v>2026</v>
      </c>
      <c r="F37" s="2"/>
    </row>
    <row r="38" spans="1:9" ht="13.8" x14ac:dyDescent="0.3">
      <c r="A38" s="29" t="s">
        <v>23</v>
      </c>
      <c r="B38" s="30"/>
      <c r="C38" s="30"/>
      <c r="D38" s="30"/>
      <c r="E38" s="31"/>
      <c r="F38" s="2"/>
    </row>
    <row r="39" spans="1:9" ht="31.95" customHeight="1" x14ac:dyDescent="0.3">
      <c r="A39" s="695" t="s">
        <v>979</v>
      </c>
      <c r="B39" s="695"/>
      <c r="C39" s="695"/>
      <c r="D39" s="695"/>
      <c r="E39" s="1"/>
      <c r="F39" s="2"/>
    </row>
    <row r="40" spans="1:9" s="34" customFormat="1" ht="31.95" customHeight="1" x14ac:dyDescent="0.3">
      <c r="A40" s="724" t="s">
        <v>1129</v>
      </c>
      <c r="B40" s="724"/>
      <c r="C40" s="724"/>
      <c r="D40" s="724"/>
      <c r="E40" s="23"/>
      <c r="F40" s="33"/>
    </row>
    <row r="41" spans="1:9" ht="13.8" x14ac:dyDescent="0.3">
      <c r="A41" s="35"/>
      <c r="B41" s="35"/>
      <c r="C41" s="35"/>
      <c r="D41" s="35"/>
      <c r="E41" s="1"/>
      <c r="F41" s="2"/>
    </row>
    <row r="42" spans="1:9" ht="13.8" x14ac:dyDescent="0.3">
      <c r="A42" s="1"/>
      <c r="B42" s="2"/>
      <c r="C42" s="2"/>
      <c r="D42" s="2"/>
      <c r="E42" s="2"/>
      <c r="F42" s="1"/>
      <c r="G42" s="2"/>
    </row>
    <row r="43" spans="1:9" x14ac:dyDescent="0.25">
      <c r="A43" s="6" t="s">
        <v>12</v>
      </c>
      <c r="B43" s="7" t="s">
        <v>202</v>
      </c>
      <c r="C43" s="8"/>
    </row>
    <row r="44" spans="1:9" x14ac:dyDescent="0.25">
      <c r="A44" s="6" t="s">
        <v>14</v>
      </c>
      <c r="B44" s="7" t="s">
        <v>624</v>
      </c>
      <c r="C44" s="9" t="s">
        <v>15</v>
      </c>
    </row>
    <row r="45" spans="1:9" x14ac:dyDescent="0.25">
      <c r="A45" s="10" t="s">
        <v>16</v>
      </c>
      <c r="B45" s="11"/>
      <c r="C45" s="11">
        <v>2019</v>
      </c>
      <c r="D45" s="11">
        <v>2020</v>
      </c>
      <c r="E45" s="11">
        <v>2021</v>
      </c>
      <c r="F45" s="11">
        <v>2022</v>
      </c>
      <c r="G45" s="11">
        <v>2023</v>
      </c>
      <c r="H45" s="11">
        <v>2024</v>
      </c>
      <c r="I45" s="585">
        <v>2025</v>
      </c>
    </row>
    <row r="46" spans="1:9" x14ac:dyDescent="0.25">
      <c r="A46" s="10" t="s">
        <v>17</v>
      </c>
      <c r="B46" s="12"/>
      <c r="C46" s="12">
        <v>215</v>
      </c>
      <c r="D46" s="12">
        <v>215</v>
      </c>
      <c r="E46" s="12">
        <v>242</v>
      </c>
      <c r="F46" s="12">
        <v>242</v>
      </c>
      <c r="G46" s="12">
        <v>242</v>
      </c>
      <c r="H46" s="12">
        <v>302</v>
      </c>
      <c r="I46" s="586">
        <v>302</v>
      </c>
    </row>
    <row r="47" spans="1:9" x14ac:dyDescent="0.25">
      <c r="A47" s="10" t="s">
        <v>18</v>
      </c>
      <c r="B47" s="12"/>
      <c r="C47" s="12">
        <v>265</v>
      </c>
      <c r="D47" s="12">
        <v>265</v>
      </c>
      <c r="E47" s="12">
        <f>E46+0.25*C46</f>
        <v>295.75</v>
      </c>
      <c r="F47" s="12">
        <f>F46+0.25*D46</f>
        <v>295.75</v>
      </c>
      <c r="G47" s="12">
        <f>G46+0.25*E46</f>
        <v>302.5</v>
      </c>
      <c r="H47" s="12">
        <f>H46+0.25*F46</f>
        <v>362.5</v>
      </c>
      <c r="I47" s="586">
        <f>I46+0.25*G46</f>
        <v>362.5</v>
      </c>
    </row>
    <row r="48" spans="1:9" x14ac:dyDescent="0.25">
      <c r="A48" s="10" t="s">
        <v>19</v>
      </c>
      <c r="B48" s="13"/>
      <c r="C48" s="14">
        <v>1</v>
      </c>
      <c r="D48" s="14">
        <v>2</v>
      </c>
      <c r="E48" s="14">
        <v>3</v>
      </c>
      <c r="F48" s="14">
        <v>4</v>
      </c>
      <c r="G48" s="14">
        <v>5</v>
      </c>
      <c r="H48" s="14">
        <v>6</v>
      </c>
      <c r="I48" s="588">
        <v>7</v>
      </c>
    </row>
    <row r="49" spans="1:9" x14ac:dyDescent="0.25">
      <c r="A49" s="10" t="s">
        <v>20</v>
      </c>
      <c r="B49" s="12"/>
      <c r="C49" s="12">
        <v>7.12</v>
      </c>
      <c r="D49" s="12">
        <v>10.18</v>
      </c>
      <c r="E49" s="12">
        <v>12.5</v>
      </c>
      <c r="F49" s="12">
        <v>11.74</v>
      </c>
      <c r="G49" s="12">
        <v>13.9</v>
      </c>
      <c r="H49" s="12">
        <v>4.1399999999999997</v>
      </c>
      <c r="I49" s="586"/>
    </row>
    <row r="50" spans="1:9" x14ac:dyDescent="0.25">
      <c r="A50" s="10" t="s">
        <v>21</v>
      </c>
      <c r="B50" s="12"/>
      <c r="C50" s="12">
        <f t="shared" ref="C50:H50" si="0">C47-C49</f>
        <v>257.88</v>
      </c>
      <c r="D50" s="12">
        <f t="shared" si="0"/>
        <v>254.82</v>
      </c>
      <c r="E50" s="12">
        <f t="shared" si="0"/>
        <v>283.25</v>
      </c>
      <c r="F50" s="12">
        <f t="shared" si="0"/>
        <v>284.01</v>
      </c>
      <c r="G50" s="12">
        <f t="shared" si="0"/>
        <v>288.60000000000002</v>
      </c>
      <c r="H50" s="12">
        <f t="shared" si="0"/>
        <v>358.36</v>
      </c>
      <c r="I50" s="586"/>
    </row>
    <row r="51" spans="1:9" x14ac:dyDescent="0.25">
      <c r="A51" s="16" t="s">
        <v>22</v>
      </c>
      <c r="B51" s="17"/>
      <c r="C51" s="17">
        <v>2021</v>
      </c>
      <c r="D51" s="17">
        <v>2022</v>
      </c>
      <c r="E51" s="17">
        <v>2023</v>
      </c>
      <c r="F51" s="17">
        <v>2024</v>
      </c>
      <c r="G51" s="17">
        <v>2025</v>
      </c>
      <c r="H51" s="17">
        <v>2026</v>
      </c>
      <c r="I51" s="587">
        <v>2027</v>
      </c>
    </row>
    <row r="52" spans="1:9" x14ac:dyDescent="0.25">
      <c r="A52" s="10" t="s">
        <v>23</v>
      </c>
      <c r="B52" s="36"/>
      <c r="C52" s="36"/>
      <c r="D52" s="36"/>
      <c r="E52" s="36"/>
      <c r="F52" s="36"/>
      <c r="G52" s="37"/>
      <c r="H52" s="38"/>
      <c r="I52" s="38"/>
    </row>
    <row r="53" spans="1:9" x14ac:dyDescent="0.25">
      <c r="A53" s="18" t="s">
        <v>981</v>
      </c>
      <c r="B53" s="19"/>
      <c r="C53" s="19"/>
      <c r="D53" s="19"/>
      <c r="E53" s="19"/>
      <c r="F53" s="19"/>
      <c r="G53" s="63"/>
      <c r="H53" s="589"/>
      <c r="I53" s="589"/>
    </row>
    <row r="54" spans="1:9" x14ac:dyDescent="0.25">
      <c r="A54" s="18">
        <v>1</v>
      </c>
      <c r="B54" s="19" t="s">
        <v>759</v>
      </c>
      <c r="C54" s="19"/>
      <c r="D54" s="19"/>
      <c r="E54" s="19"/>
      <c r="F54" s="19"/>
      <c r="G54" s="19"/>
      <c r="H54" s="590"/>
      <c r="I54" s="589"/>
    </row>
    <row r="55" spans="1:9" x14ac:dyDescent="0.25">
      <c r="A55" s="39">
        <v>2</v>
      </c>
      <c r="B55" s="3" t="s">
        <v>760</v>
      </c>
      <c r="H55" s="45"/>
      <c r="I55" s="40"/>
    </row>
    <row r="56" spans="1:9" x14ac:dyDescent="0.25">
      <c r="A56" s="39">
        <v>3</v>
      </c>
      <c r="B56" s="3" t="s">
        <v>761</v>
      </c>
      <c r="H56" s="45"/>
      <c r="I56" s="40"/>
    </row>
    <row r="57" spans="1:9" x14ac:dyDescent="0.25">
      <c r="A57" s="39">
        <v>4</v>
      </c>
      <c r="B57" s="3" t="s">
        <v>762</v>
      </c>
      <c r="H57" s="45"/>
      <c r="I57" s="40"/>
    </row>
    <row r="58" spans="1:9" x14ac:dyDescent="0.25">
      <c r="A58" s="39">
        <v>5</v>
      </c>
      <c r="B58" s="3" t="s">
        <v>763</v>
      </c>
      <c r="H58" s="45"/>
      <c r="I58" s="40"/>
    </row>
    <row r="59" spans="1:9" x14ac:dyDescent="0.25">
      <c r="A59" s="39">
        <v>6</v>
      </c>
      <c r="B59" s="3" t="s">
        <v>980</v>
      </c>
      <c r="H59" s="45"/>
      <c r="I59" s="40"/>
    </row>
    <row r="60" spans="1:9" s="45" customFormat="1" x14ac:dyDescent="0.25">
      <c r="A60" s="42">
        <v>7</v>
      </c>
      <c r="B60" s="43" t="s">
        <v>1110</v>
      </c>
      <c r="C60" s="43"/>
      <c r="D60" s="43"/>
      <c r="E60" s="43"/>
      <c r="F60" s="43"/>
      <c r="G60" s="43"/>
      <c r="H60" s="43"/>
      <c r="I60" s="44"/>
    </row>
    <row r="62" spans="1:9" x14ac:dyDescent="0.25">
      <c r="A62" s="6" t="s">
        <v>14</v>
      </c>
      <c r="B62" s="7" t="s">
        <v>623</v>
      </c>
      <c r="C62" s="9" t="s">
        <v>15</v>
      </c>
    </row>
    <row r="63" spans="1:9" x14ac:dyDescent="0.25">
      <c r="A63" s="10" t="s">
        <v>16</v>
      </c>
      <c r="B63" s="11">
        <v>2018</v>
      </c>
      <c r="C63" s="11">
        <v>2019</v>
      </c>
      <c r="D63" s="11">
        <v>2020</v>
      </c>
      <c r="E63" s="11">
        <v>2021</v>
      </c>
      <c r="F63" s="11">
        <v>2022</v>
      </c>
      <c r="G63" s="11">
        <v>2023</v>
      </c>
      <c r="H63" s="11">
        <v>2024</v>
      </c>
      <c r="I63" s="11">
        <v>2025</v>
      </c>
    </row>
    <row r="64" spans="1:9" x14ac:dyDescent="0.25">
      <c r="A64" s="10" t="s">
        <v>17</v>
      </c>
      <c r="B64" s="12">
        <v>45</v>
      </c>
      <c r="C64" s="12">
        <v>45</v>
      </c>
      <c r="D64" s="12">
        <v>45</v>
      </c>
      <c r="E64" s="12">
        <v>45</v>
      </c>
      <c r="F64" s="12">
        <v>45</v>
      </c>
      <c r="G64" s="12">
        <v>45</v>
      </c>
      <c r="H64" s="12">
        <v>45</v>
      </c>
      <c r="I64" s="12">
        <v>45</v>
      </c>
    </row>
    <row r="65" spans="1:15" x14ac:dyDescent="0.25">
      <c r="A65" s="10" t="s">
        <v>18</v>
      </c>
      <c r="B65" s="12">
        <v>63</v>
      </c>
      <c r="C65" s="12">
        <v>63</v>
      </c>
      <c r="D65" s="12">
        <v>63</v>
      </c>
      <c r="E65" s="12">
        <v>63</v>
      </c>
      <c r="F65" s="12">
        <v>63</v>
      </c>
      <c r="G65" s="12">
        <v>63</v>
      </c>
      <c r="H65" s="12">
        <v>63</v>
      </c>
      <c r="I65" s="12">
        <v>63</v>
      </c>
    </row>
    <row r="66" spans="1:15" x14ac:dyDescent="0.25">
      <c r="A66" s="10" t="s">
        <v>19</v>
      </c>
      <c r="B66" s="11" t="s">
        <v>300</v>
      </c>
      <c r="C66" s="11" t="s">
        <v>300</v>
      </c>
      <c r="D66" s="11" t="s">
        <v>300</v>
      </c>
      <c r="E66" s="11" t="s">
        <v>300</v>
      </c>
      <c r="F66" s="11" t="s">
        <v>300</v>
      </c>
      <c r="G66" s="11" t="s">
        <v>300</v>
      </c>
      <c r="H66" s="11" t="s">
        <v>300</v>
      </c>
      <c r="I66" s="11" t="s">
        <v>300</v>
      </c>
    </row>
    <row r="67" spans="1:15" x14ac:dyDescent="0.25">
      <c r="A67" s="10" t="s">
        <v>20</v>
      </c>
      <c r="B67" s="12">
        <v>18.100000000000001</v>
      </c>
      <c r="C67" s="12">
        <v>9.9499999999999993</v>
      </c>
      <c r="D67" s="12">
        <v>11.79</v>
      </c>
      <c r="E67" s="12">
        <v>13.29</v>
      </c>
      <c r="F67" s="12">
        <v>8.1999999999999993</v>
      </c>
      <c r="G67" s="12">
        <v>9.4700000000000006</v>
      </c>
      <c r="H67" s="12">
        <v>8.7100000000000009</v>
      </c>
      <c r="I67" s="12"/>
    </row>
    <row r="68" spans="1:15" x14ac:dyDescent="0.25">
      <c r="A68" s="10" t="s">
        <v>21</v>
      </c>
      <c r="B68" s="12">
        <f t="shared" ref="B68:H68" si="1">B65-B67</f>
        <v>44.9</v>
      </c>
      <c r="C68" s="12">
        <f t="shared" si="1"/>
        <v>53.05</v>
      </c>
      <c r="D68" s="12">
        <f t="shared" si="1"/>
        <v>51.21</v>
      </c>
      <c r="E68" s="12">
        <f t="shared" si="1"/>
        <v>49.71</v>
      </c>
      <c r="F68" s="12">
        <f t="shared" si="1"/>
        <v>54.8</v>
      </c>
      <c r="G68" s="12">
        <f t="shared" si="1"/>
        <v>53.53</v>
      </c>
      <c r="H68" s="12">
        <f t="shared" si="1"/>
        <v>54.29</v>
      </c>
      <c r="I68" s="12"/>
    </row>
    <row r="69" spans="1:15" x14ac:dyDescent="0.25">
      <c r="A69" s="16" t="s">
        <v>22</v>
      </c>
      <c r="B69" s="17">
        <v>2020</v>
      </c>
      <c r="C69" s="17">
        <v>2021</v>
      </c>
      <c r="D69" s="17">
        <v>2022</v>
      </c>
      <c r="E69" s="17">
        <v>2023</v>
      </c>
      <c r="F69" s="17">
        <v>2024</v>
      </c>
      <c r="G69" s="17">
        <v>2025</v>
      </c>
      <c r="H69" s="17">
        <v>2026</v>
      </c>
      <c r="I69" s="17">
        <v>2027</v>
      </c>
    </row>
    <row r="70" spans="1:15" x14ac:dyDescent="0.25">
      <c r="A70" s="18" t="s">
        <v>154</v>
      </c>
      <c r="B70" s="19"/>
      <c r="C70" s="19"/>
      <c r="D70" s="19"/>
      <c r="E70" s="19"/>
      <c r="F70" s="19"/>
      <c r="G70" s="19"/>
      <c r="H70" s="19"/>
      <c r="I70" s="63"/>
    </row>
    <row r="71" spans="1:15" x14ac:dyDescent="0.25">
      <c r="A71" s="41" t="s">
        <v>982</v>
      </c>
      <c r="B71" s="34"/>
      <c r="C71" s="34"/>
      <c r="D71" s="34"/>
      <c r="E71" s="34"/>
      <c r="F71" s="34"/>
      <c r="G71" s="34"/>
      <c r="H71" s="34"/>
      <c r="I71" s="48"/>
    </row>
    <row r="73" spans="1:15" s="50" customFormat="1" ht="14.4" x14ac:dyDescent="0.3">
      <c r="A73" s="9" t="s">
        <v>14</v>
      </c>
      <c r="B73" s="9" t="s">
        <v>74</v>
      </c>
      <c r="C73" s="9" t="s">
        <v>15</v>
      </c>
      <c r="D73" s="49"/>
      <c r="E73" s="49"/>
      <c r="F73" s="49"/>
      <c r="G73" s="49"/>
      <c r="H73" s="49"/>
      <c r="I73" s="49"/>
      <c r="J73" s="49"/>
      <c r="K73" s="49"/>
      <c r="L73" s="49"/>
      <c r="M73" s="3"/>
    </row>
    <row r="74" spans="1:15" s="50" customFormat="1" ht="14.4" x14ac:dyDescent="0.3">
      <c r="A74" s="11" t="s">
        <v>16</v>
      </c>
      <c r="B74" s="11">
        <v>2013</v>
      </c>
      <c r="C74" s="11">
        <v>2014</v>
      </c>
      <c r="D74" s="51">
        <v>2015</v>
      </c>
      <c r="E74" s="11">
        <v>2016</v>
      </c>
      <c r="F74" s="51">
        <v>2017</v>
      </c>
      <c r="G74" s="11">
        <v>2018</v>
      </c>
      <c r="H74" s="51">
        <v>2019</v>
      </c>
      <c r="I74" s="11">
        <v>2020</v>
      </c>
      <c r="J74" s="51">
        <v>2021</v>
      </c>
      <c r="K74" s="51">
        <v>2022</v>
      </c>
      <c r="L74" s="51">
        <v>2023</v>
      </c>
      <c r="M74" s="51">
        <v>2024</v>
      </c>
      <c r="N74" s="51">
        <v>2025</v>
      </c>
      <c r="O74" s="51">
        <v>2026</v>
      </c>
    </row>
    <row r="75" spans="1:15" s="50" customFormat="1" ht="14.4" x14ac:dyDescent="0.3">
      <c r="A75" s="11" t="s">
        <v>17</v>
      </c>
      <c r="B75" s="11">
        <v>10</v>
      </c>
      <c r="C75" s="11">
        <v>10</v>
      </c>
      <c r="D75" s="11">
        <v>10</v>
      </c>
      <c r="E75" s="11">
        <v>10</v>
      </c>
      <c r="F75" s="11">
        <v>10</v>
      </c>
      <c r="G75" s="11">
        <v>10</v>
      </c>
      <c r="H75" s="11">
        <v>10</v>
      </c>
      <c r="I75" s="11">
        <v>10</v>
      </c>
      <c r="J75" s="11">
        <v>10</v>
      </c>
      <c r="K75" s="11">
        <v>10</v>
      </c>
      <c r="L75" s="11">
        <v>10</v>
      </c>
      <c r="M75" s="11">
        <v>10</v>
      </c>
      <c r="N75" s="11">
        <v>10</v>
      </c>
      <c r="O75" s="11">
        <v>10</v>
      </c>
    </row>
    <row r="76" spans="1:15" s="50" customFormat="1" ht="14.4" x14ac:dyDescent="0.3">
      <c r="A76" s="11" t="s">
        <v>18</v>
      </c>
      <c r="B76" s="11"/>
      <c r="C76" s="11"/>
      <c r="D76" s="11">
        <f t="shared" ref="D76:J76" si="2">D75+B79</f>
        <v>8.98</v>
      </c>
      <c r="E76" s="12">
        <f t="shared" si="2"/>
        <v>8.41</v>
      </c>
      <c r="F76" s="12">
        <f t="shared" si="2"/>
        <v>-14.739999999999998</v>
      </c>
      <c r="G76" s="12">
        <f t="shared" si="2"/>
        <v>7.2100000000000009</v>
      </c>
      <c r="H76" s="12">
        <f t="shared" si="2"/>
        <v>-28.769999999999996</v>
      </c>
      <c r="I76" s="12">
        <f t="shared" si="2"/>
        <v>3.66</v>
      </c>
      <c r="J76" s="12">
        <f t="shared" si="2"/>
        <v>-32.25</v>
      </c>
      <c r="K76" s="12">
        <f>K75+(1.25*I79)</f>
        <v>-12.337500000000002</v>
      </c>
      <c r="L76" s="12">
        <f>L75+(1.25*J79)</f>
        <v>-45.600000000000009</v>
      </c>
      <c r="M76" s="12">
        <f>M75+(1.25*K79)</f>
        <v>-17.296875000000004</v>
      </c>
      <c r="N76" s="12">
        <f>N75+(1.25*L79)</f>
        <v>-58.275000000000006</v>
      </c>
      <c r="O76" s="12">
        <f>O75+(1.25*M79)</f>
        <v>-21.158593750000001</v>
      </c>
    </row>
    <row r="77" spans="1:15" s="50" customFormat="1" ht="14.4" x14ac:dyDescent="0.3">
      <c r="A77" s="11" t="s">
        <v>19</v>
      </c>
      <c r="B77" s="11"/>
      <c r="C77" s="11"/>
      <c r="D77" s="11">
        <v>1</v>
      </c>
      <c r="E77" s="11">
        <v>2</v>
      </c>
      <c r="F77" s="11">
        <v>3</v>
      </c>
      <c r="G77" s="11">
        <v>4</v>
      </c>
      <c r="H77" s="11">
        <v>5</v>
      </c>
      <c r="I77" s="11">
        <v>6</v>
      </c>
      <c r="J77" s="11">
        <v>7</v>
      </c>
      <c r="K77" s="11">
        <v>8</v>
      </c>
      <c r="L77" s="11">
        <v>9</v>
      </c>
      <c r="M77" s="11">
        <v>10</v>
      </c>
      <c r="N77" s="11">
        <v>11</v>
      </c>
      <c r="O77" s="11">
        <v>12</v>
      </c>
    </row>
    <row r="78" spans="1:15" s="50" customFormat="1" ht="14.4" x14ac:dyDescent="0.3">
      <c r="A78" s="11" t="s">
        <v>20</v>
      </c>
      <c r="B78" s="11">
        <v>11.02</v>
      </c>
      <c r="C78" s="11">
        <v>11.59</v>
      </c>
      <c r="D78" s="52">
        <v>33.72</v>
      </c>
      <c r="E78" s="52">
        <v>11.2</v>
      </c>
      <c r="F78" s="52">
        <v>24.03</v>
      </c>
      <c r="G78" s="52">
        <v>13.55</v>
      </c>
      <c r="H78" s="52">
        <v>13.48</v>
      </c>
      <c r="I78" s="52">
        <v>21.53</v>
      </c>
      <c r="J78" s="52">
        <v>12.23</v>
      </c>
      <c r="K78" s="52">
        <v>9.5</v>
      </c>
      <c r="L78" s="51">
        <v>9.02</v>
      </c>
      <c r="M78" s="51">
        <v>7.63</v>
      </c>
      <c r="N78" s="51"/>
      <c r="O78" s="51"/>
    </row>
    <row r="79" spans="1:15" s="50" customFormat="1" ht="14.4" x14ac:dyDescent="0.3">
      <c r="A79" s="11" t="s">
        <v>21</v>
      </c>
      <c r="B79" s="11">
        <f>B75-B78</f>
        <v>-1.0199999999999996</v>
      </c>
      <c r="C79" s="11">
        <f>C75-C78</f>
        <v>-1.5899999999999999</v>
      </c>
      <c r="D79" s="11">
        <f>D76-D78</f>
        <v>-24.74</v>
      </c>
      <c r="E79" s="12">
        <f>E76-E78</f>
        <v>-2.7899999999999991</v>
      </c>
      <c r="F79" s="12">
        <f t="shared" ref="F79:K79" si="3">F76-F78</f>
        <v>-38.769999999999996</v>
      </c>
      <c r="G79" s="12">
        <f t="shared" si="3"/>
        <v>-6.34</v>
      </c>
      <c r="H79" s="12">
        <f t="shared" si="3"/>
        <v>-42.25</v>
      </c>
      <c r="I79" s="12">
        <f t="shared" si="3"/>
        <v>-17.87</v>
      </c>
      <c r="J79" s="12">
        <f t="shared" si="3"/>
        <v>-44.480000000000004</v>
      </c>
      <c r="K79" s="12">
        <f t="shared" si="3"/>
        <v>-21.837500000000002</v>
      </c>
      <c r="L79" s="12">
        <f>L76-L78</f>
        <v>-54.620000000000005</v>
      </c>
      <c r="M79" s="12">
        <f>M76-M78</f>
        <v>-24.926875000000003</v>
      </c>
      <c r="N79" s="11"/>
      <c r="O79" s="11"/>
    </row>
    <row r="80" spans="1:15" s="50" customFormat="1" ht="14.4" x14ac:dyDescent="0.3">
      <c r="A80" s="17" t="s">
        <v>22</v>
      </c>
      <c r="B80" s="17">
        <v>2015</v>
      </c>
      <c r="C80" s="17">
        <v>2016</v>
      </c>
      <c r="D80" s="17">
        <v>2017</v>
      </c>
      <c r="E80" s="17">
        <v>2018</v>
      </c>
      <c r="F80" s="17">
        <v>2019</v>
      </c>
      <c r="G80" s="17">
        <v>2020</v>
      </c>
      <c r="H80" s="17">
        <v>2021</v>
      </c>
      <c r="I80" s="17">
        <v>2022</v>
      </c>
      <c r="J80" s="17">
        <v>2023</v>
      </c>
      <c r="K80" s="17">
        <v>2024</v>
      </c>
      <c r="L80" s="17">
        <v>2025</v>
      </c>
      <c r="M80" s="17">
        <v>2026</v>
      </c>
      <c r="N80" s="17">
        <v>2027</v>
      </c>
      <c r="O80" s="17">
        <v>2028</v>
      </c>
    </row>
    <row r="81" spans="1:15" s="50" customFormat="1" ht="14.4" x14ac:dyDescent="0.3">
      <c r="A81" s="18">
        <v>1</v>
      </c>
      <c r="B81" s="53" t="s">
        <v>909</v>
      </c>
      <c r="C81" s="19"/>
      <c r="D81" s="19"/>
      <c r="E81" s="19"/>
      <c r="F81" s="19"/>
      <c r="G81" s="19"/>
      <c r="H81" s="19"/>
      <c r="I81" s="19"/>
      <c r="J81" s="19"/>
      <c r="K81" s="19"/>
      <c r="L81" s="19"/>
      <c r="M81" s="19"/>
      <c r="N81" s="54"/>
      <c r="O81" s="55"/>
    </row>
    <row r="82" spans="1:15" s="50" customFormat="1" ht="14.4" x14ac:dyDescent="0.3">
      <c r="A82" s="56">
        <v>2</v>
      </c>
      <c r="B82" s="49" t="s">
        <v>910</v>
      </c>
      <c r="C82" s="3"/>
      <c r="D82" s="3"/>
      <c r="E82" s="3"/>
      <c r="F82" s="3"/>
      <c r="G82" s="3"/>
      <c r="H82" s="3"/>
      <c r="I82" s="3"/>
      <c r="J82" s="3"/>
      <c r="K82" s="3"/>
      <c r="L82" s="3"/>
      <c r="M82" s="3"/>
      <c r="O82" s="57"/>
    </row>
    <row r="83" spans="1:15" s="50" customFormat="1" ht="14.4" x14ac:dyDescent="0.3">
      <c r="A83" s="39">
        <v>3</v>
      </c>
      <c r="B83" s="49" t="s">
        <v>911</v>
      </c>
      <c r="C83" s="3"/>
      <c r="D83" s="3"/>
      <c r="E83" s="3"/>
      <c r="F83" s="3"/>
      <c r="G83" s="3"/>
      <c r="H83" s="3"/>
      <c r="I83" s="3"/>
      <c r="J83" s="3"/>
      <c r="K83" s="3"/>
      <c r="L83" s="3"/>
      <c r="M83" s="3"/>
      <c r="O83" s="57"/>
    </row>
    <row r="84" spans="1:15" s="50" customFormat="1" ht="14.4" x14ac:dyDescent="0.3">
      <c r="A84" s="56">
        <v>4</v>
      </c>
      <c r="B84" s="49" t="s">
        <v>912</v>
      </c>
      <c r="C84" s="3"/>
      <c r="D84" s="3"/>
      <c r="E84" s="3"/>
      <c r="F84" s="3"/>
      <c r="G84" s="3"/>
      <c r="H84" s="3"/>
      <c r="I84" s="3"/>
      <c r="J84" s="3"/>
      <c r="K84" s="3"/>
      <c r="L84" s="3"/>
      <c r="M84" s="3"/>
      <c r="O84" s="57"/>
    </row>
    <row r="85" spans="1:15" s="50" customFormat="1" ht="14.4" x14ac:dyDescent="0.3">
      <c r="A85" s="39">
        <v>5</v>
      </c>
      <c r="B85" s="49" t="s">
        <v>913</v>
      </c>
      <c r="C85" s="3"/>
      <c r="D85" s="3"/>
      <c r="E85" s="3"/>
      <c r="F85" s="3"/>
      <c r="G85" s="3"/>
      <c r="H85" s="3"/>
      <c r="I85" s="3"/>
      <c r="J85" s="3"/>
      <c r="K85" s="3"/>
      <c r="L85" s="3"/>
      <c r="M85" s="3"/>
      <c r="O85" s="57"/>
    </row>
    <row r="86" spans="1:15" s="50" customFormat="1" ht="14.4" x14ac:dyDescent="0.3">
      <c r="A86" s="56">
        <v>6</v>
      </c>
      <c r="B86" s="49" t="s">
        <v>914</v>
      </c>
      <c r="C86" s="3"/>
      <c r="D86" s="3"/>
      <c r="E86" s="3"/>
      <c r="F86" s="3"/>
      <c r="G86" s="3"/>
      <c r="H86" s="3"/>
      <c r="I86" s="3"/>
      <c r="J86" s="3"/>
      <c r="K86" s="3"/>
      <c r="L86" s="3"/>
      <c r="M86" s="3"/>
      <c r="O86" s="57"/>
    </row>
    <row r="87" spans="1:15" s="50" customFormat="1" ht="14.4" x14ac:dyDescent="0.3">
      <c r="A87" s="39">
        <v>7</v>
      </c>
      <c r="B87" s="49" t="s">
        <v>915</v>
      </c>
      <c r="C87" s="3"/>
      <c r="D87" s="3"/>
      <c r="E87" s="3"/>
      <c r="F87" s="3"/>
      <c r="G87" s="3"/>
      <c r="H87" s="3"/>
      <c r="I87" s="3"/>
      <c r="J87" s="3"/>
      <c r="K87" s="3"/>
      <c r="L87" s="3"/>
      <c r="M87" s="3"/>
      <c r="O87" s="57"/>
    </row>
    <row r="88" spans="1:15" s="50" customFormat="1" ht="14.4" x14ac:dyDescent="0.3">
      <c r="A88" s="56">
        <v>8</v>
      </c>
      <c r="B88" s="49" t="s">
        <v>916</v>
      </c>
      <c r="C88" s="3"/>
      <c r="D88" s="3"/>
      <c r="E88" s="3"/>
      <c r="F88" s="3"/>
      <c r="G88" s="3"/>
      <c r="H88" s="3"/>
      <c r="I88" s="3"/>
      <c r="J88" s="3"/>
      <c r="K88" s="3"/>
      <c r="L88" s="3"/>
      <c r="M88" s="3"/>
      <c r="O88" s="57"/>
    </row>
    <row r="89" spans="1:15" s="50" customFormat="1" ht="14.4" x14ac:dyDescent="0.3">
      <c r="A89" s="56">
        <v>9</v>
      </c>
      <c r="B89" s="49" t="s">
        <v>917</v>
      </c>
      <c r="C89" s="3"/>
      <c r="D89" s="3"/>
      <c r="E89" s="3"/>
      <c r="F89" s="3"/>
      <c r="G89" s="3"/>
      <c r="H89" s="3"/>
      <c r="I89" s="3"/>
      <c r="J89" s="3"/>
      <c r="K89" s="3"/>
      <c r="L89" s="3"/>
      <c r="M89" s="3"/>
      <c r="O89" s="57"/>
    </row>
    <row r="90" spans="1:15" s="50" customFormat="1" ht="14.4" x14ac:dyDescent="0.3">
      <c r="A90" s="39">
        <v>10</v>
      </c>
      <c r="B90" s="49" t="s">
        <v>983</v>
      </c>
      <c r="C90" s="3"/>
      <c r="D90" s="3"/>
      <c r="E90" s="3"/>
      <c r="F90" s="3"/>
      <c r="G90" s="3"/>
      <c r="H90" s="3"/>
      <c r="I90" s="3"/>
      <c r="J90" s="3"/>
      <c r="K90" s="3"/>
      <c r="L90" s="3"/>
      <c r="M90" s="3"/>
      <c r="O90" s="57"/>
    </row>
    <row r="91" spans="1:15" s="50" customFormat="1" ht="14.4" x14ac:dyDescent="0.3">
      <c r="A91" s="39">
        <v>11</v>
      </c>
      <c r="B91" s="49" t="s">
        <v>1124</v>
      </c>
      <c r="C91" s="3"/>
      <c r="D91" s="3"/>
      <c r="E91" s="3"/>
      <c r="F91" s="3"/>
      <c r="G91" s="3"/>
      <c r="H91" s="3"/>
      <c r="I91" s="3"/>
      <c r="J91" s="3"/>
      <c r="K91" s="3"/>
      <c r="L91" s="3"/>
      <c r="M91" s="3"/>
      <c r="O91" s="57"/>
    </row>
    <row r="92" spans="1:15" s="59" customFormat="1" ht="14.4" x14ac:dyDescent="0.3">
      <c r="A92" s="41">
        <v>12</v>
      </c>
      <c r="B92" s="58" t="s">
        <v>1141</v>
      </c>
      <c r="C92" s="34"/>
      <c r="D92" s="34"/>
      <c r="E92" s="34"/>
      <c r="F92" s="34"/>
      <c r="G92" s="34"/>
      <c r="H92" s="34"/>
      <c r="I92" s="34"/>
      <c r="J92" s="34"/>
      <c r="K92" s="34"/>
      <c r="L92" s="34"/>
      <c r="M92" s="34"/>
      <c r="O92" s="60"/>
    </row>
    <row r="94" spans="1:15" x14ac:dyDescent="0.25">
      <c r="A94" s="9" t="s">
        <v>14</v>
      </c>
      <c r="B94" s="9" t="s">
        <v>79</v>
      </c>
      <c r="C94" s="9" t="s">
        <v>15</v>
      </c>
    </row>
    <row r="95" spans="1:15" x14ac:dyDescent="0.25">
      <c r="A95" s="11" t="s">
        <v>16</v>
      </c>
      <c r="B95" s="11">
        <v>2013</v>
      </c>
      <c r="C95" s="11">
        <v>2014</v>
      </c>
      <c r="D95" s="11">
        <v>2015</v>
      </c>
      <c r="E95" s="11">
        <v>2016</v>
      </c>
      <c r="F95" s="11">
        <v>2017</v>
      </c>
      <c r="G95" s="11">
        <v>2018</v>
      </c>
      <c r="H95" s="11">
        <v>2019</v>
      </c>
      <c r="I95" s="11">
        <v>2020</v>
      </c>
      <c r="J95" s="11">
        <v>2021</v>
      </c>
      <c r="K95" s="11">
        <v>2022</v>
      </c>
      <c r="L95" s="11">
        <v>2023</v>
      </c>
      <c r="M95" s="11">
        <v>2024</v>
      </c>
      <c r="N95" s="11">
        <v>2025</v>
      </c>
    </row>
    <row r="96" spans="1:15" x14ac:dyDescent="0.25">
      <c r="A96" s="11" t="s">
        <v>17</v>
      </c>
      <c r="B96" s="11">
        <v>10</v>
      </c>
      <c r="C96" s="11">
        <v>10</v>
      </c>
      <c r="D96" s="11">
        <v>10</v>
      </c>
      <c r="E96" s="11">
        <v>10</v>
      </c>
      <c r="F96" s="11">
        <v>10</v>
      </c>
      <c r="G96" s="11">
        <v>10</v>
      </c>
      <c r="H96" s="11">
        <v>10</v>
      </c>
      <c r="I96" s="11">
        <v>10</v>
      </c>
      <c r="J96" s="11">
        <v>10</v>
      </c>
      <c r="K96" s="11">
        <v>10</v>
      </c>
      <c r="L96" s="11">
        <v>10</v>
      </c>
      <c r="M96" s="11">
        <v>10</v>
      </c>
      <c r="N96" s="11">
        <v>10</v>
      </c>
    </row>
    <row r="97" spans="1:14" x14ac:dyDescent="0.25">
      <c r="A97" s="11" t="s">
        <v>18</v>
      </c>
      <c r="B97" s="11"/>
      <c r="C97" s="11"/>
      <c r="D97" s="11">
        <f>D96+0.2*B96</f>
        <v>12</v>
      </c>
      <c r="E97" s="12">
        <f>E96+0.2*C96</f>
        <v>12</v>
      </c>
      <c r="F97" s="12">
        <f>F96+0.2*D96</f>
        <v>12</v>
      </c>
      <c r="G97" s="12">
        <f>G96+E100</f>
        <v>7.77</v>
      </c>
      <c r="H97" s="12">
        <f>H96+F100</f>
        <v>4.6000000000000014</v>
      </c>
      <c r="I97" s="12">
        <f>I96+G100</f>
        <v>0.26999999999999957</v>
      </c>
      <c r="J97" s="12">
        <f>J96+H100</f>
        <v>3.0400000000000009</v>
      </c>
      <c r="K97" s="12">
        <f>K96+(1.25*I100)</f>
        <v>-7.6125000000000007</v>
      </c>
      <c r="L97" s="12">
        <f>L96+(1.25*J100)</f>
        <v>1.3000000000000007</v>
      </c>
      <c r="M97" s="12">
        <f>M96+(1.25*K100)</f>
        <v>-11.640625</v>
      </c>
      <c r="N97" s="12">
        <f>N96+(1.25*L100)</f>
        <v>2.4000000000000012</v>
      </c>
    </row>
    <row r="98" spans="1:14" x14ac:dyDescent="0.25">
      <c r="A98" s="11" t="s">
        <v>19</v>
      </c>
      <c r="B98" s="11"/>
      <c r="C98" s="11"/>
      <c r="D98" s="11">
        <v>1</v>
      </c>
      <c r="E98" s="11">
        <v>2</v>
      </c>
      <c r="F98" s="11">
        <v>3</v>
      </c>
      <c r="G98" s="11">
        <v>4</v>
      </c>
      <c r="H98" s="11">
        <v>5</v>
      </c>
      <c r="I98" s="11">
        <v>6</v>
      </c>
      <c r="J98" s="11">
        <v>7</v>
      </c>
      <c r="K98" s="11">
        <v>8</v>
      </c>
      <c r="L98" s="11">
        <v>9</v>
      </c>
      <c r="M98" s="11">
        <v>10</v>
      </c>
      <c r="N98" s="11">
        <v>11</v>
      </c>
    </row>
    <row r="99" spans="1:14" x14ac:dyDescent="0.25">
      <c r="A99" s="11" t="s">
        <v>20</v>
      </c>
      <c r="B99" s="11">
        <v>5.51</v>
      </c>
      <c r="C99" s="11">
        <v>6.24</v>
      </c>
      <c r="D99" s="11">
        <v>9.6999999999999993</v>
      </c>
      <c r="E99" s="11">
        <v>14.23</v>
      </c>
      <c r="F99" s="11">
        <v>17.399999999999999</v>
      </c>
      <c r="G99" s="12">
        <v>17.5</v>
      </c>
      <c r="H99" s="12">
        <v>11.56</v>
      </c>
      <c r="I99" s="12">
        <v>14.36</v>
      </c>
      <c r="J99" s="12">
        <v>10</v>
      </c>
      <c r="K99" s="12">
        <v>9.6999999999999993</v>
      </c>
      <c r="L99" s="11">
        <v>7.38</v>
      </c>
      <c r="M99" s="11">
        <v>6.24</v>
      </c>
      <c r="N99" s="11"/>
    </row>
    <row r="100" spans="1:14" x14ac:dyDescent="0.25">
      <c r="A100" s="11" t="s">
        <v>21</v>
      </c>
      <c r="B100" s="11">
        <f>B96-B99</f>
        <v>4.49</v>
      </c>
      <c r="C100" s="11">
        <f>C96-C99</f>
        <v>3.76</v>
      </c>
      <c r="D100" s="11">
        <f>D97-D99</f>
        <v>2.3000000000000007</v>
      </c>
      <c r="E100" s="11">
        <f t="shared" ref="E100:J100" si="4">E97-E99</f>
        <v>-2.2300000000000004</v>
      </c>
      <c r="F100" s="11">
        <f t="shared" si="4"/>
        <v>-5.3999999999999986</v>
      </c>
      <c r="G100" s="11">
        <f t="shared" si="4"/>
        <v>-9.73</v>
      </c>
      <c r="H100" s="11">
        <f t="shared" si="4"/>
        <v>-6.9599999999999991</v>
      </c>
      <c r="I100" s="11">
        <f t="shared" si="4"/>
        <v>-14.09</v>
      </c>
      <c r="J100" s="11">
        <f t="shared" si="4"/>
        <v>-6.9599999999999991</v>
      </c>
      <c r="K100" s="12">
        <f>K97-K99</f>
        <v>-17.3125</v>
      </c>
      <c r="L100" s="12">
        <f>L97-L99</f>
        <v>-6.0799999999999992</v>
      </c>
      <c r="M100" s="12">
        <f>M97-M99</f>
        <v>-17.880625000000002</v>
      </c>
      <c r="N100" s="11"/>
    </row>
    <row r="101" spans="1:14" x14ac:dyDescent="0.25">
      <c r="A101" s="11" t="s">
        <v>22</v>
      </c>
      <c r="B101" s="11">
        <v>2015</v>
      </c>
      <c r="C101" s="11">
        <v>2016</v>
      </c>
      <c r="D101" s="11">
        <v>2017</v>
      </c>
      <c r="E101" s="11">
        <v>2018</v>
      </c>
      <c r="F101" s="11">
        <v>2019</v>
      </c>
      <c r="G101" s="11">
        <v>2020</v>
      </c>
      <c r="H101" s="11">
        <v>2021</v>
      </c>
      <c r="I101" s="11">
        <v>2022</v>
      </c>
      <c r="J101" s="11">
        <v>2023</v>
      </c>
      <c r="K101" s="11">
        <v>2024</v>
      </c>
      <c r="L101" s="11">
        <v>2025</v>
      </c>
      <c r="M101" s="11">
        <v>2026</v>
      </c>
      <c r="N101" s="11">
        <v>2027</v>
      </c>
    </row>
    <row r="102" spans="1:14" x14ac:dyDescent="0.25">
      <c r="A102" s="16">
        <v>1</v>
      </c>
      <c r="B102" s="61" t="s">
        <v>918</v>
      </c>
      <c r="C102" s="46"/>
      <c r="D102" s="46"/>
      <c r="E102" s="46"/>
      <c r="F102" s="46"/>
      <c r="G102" s="46"/>
      <c r="H102" s="46"/>
      <c r="I102" s="46"/>
      <c r="J102" s="46"/>
      <c r="K102" s="46"/>
      <c r="L102" s="47"/>
      <c r="M102" s="47"/>
      <c r="N102" s="62"/>
    </row>
    <row r="103" spans="1:14" x14ac:dyDescent="0.25">
      <c r="A103" s="18">
        <v>2</v>
      </c>
      <c r="B103" s="53" t="s">
        <v>919</v>
      </c>
      <c r="C103" s="19"/>
      <c r="D103" s="19"/>
      <c r="E103" s="19"/>
      <c r="F103" s="19"/>
      <c r="G103" s="19"/>
      <c r="H103" s="19"/>
      <c r="I103" s="19"/>
      <c r="J103" s="19"/>
      <c r="K103" s="19"/>
      <c r="L103" s="19"/>
      <c r="M103" s="19"/>
      <c r="N103" s="63"/>
    </row>
    <row r="104" spans="1:14" x14ac:dyDescent="0.25">
      <c r="A104" s="39">
        <v>3</v>
      </c>
      <c r="B104" s="49" t="s">
        <v>920</v>
      </c>
      <c r="N104" s="64"/>
    </row>
    <row r="105" spans="1:14" x14ac:dyDescent="0.25">
      <c r="A105" s="39">
        <v>4</v>
      </c>
      <c r="B105" s="49" t="s">
        <v>912</v>
      </c>
      <c r="N105" s="64"/>
    </row>
    <row r="106" spans="1:14" x14ac:dyDescent="0.25">
      <c r="A106" s="39">
        <v>5</v>
      </c>
      <c r="B106" s="49" t="s">
        <v>913</v>
      </c>
      <c r="N106" s="64"/>
    </row>
    <row r="107" spans="1:14" x14ac:dyDescent="0.25">
      <c r="A107" s="39">
        <v>6</v>
      </c>
      <c r="B107" s="49" t="s">
        <v>914</v>
      </c>
      <c r="N107" s="64"/>
    </row>
    <row r="108" spans="1:14" x14ac:dyDescent="0.25">
      <c r="A108" s="39">
        <v>7</v>
      </c>
      <c r="B108" s="49" t="s">
        <v>915</v>
      </c>
      <c r="N108" s="64"/>
    </row>
    <row r="109" spans="1:14" x14ac:dyDescent="0.25">
      <c r="A109" s="39">
        <v>8</v>
      </c>
      <c r="B109" s="49" t="s">
        <v>916</v>
      </c>
      <c r="N109" s="64"/>
    </row>
    <row r="110" spans="1:14" x14ac:dyDescent="0.25">
      <c r="A110" s="39">
        <v>9</v>
      </c>
      <c r="B110" s="49" t="s">
        <v>917</v>
      </c>
      <c r="N110" s="64"/>
    </row>
    <row r="111" spans="1:14" x14ac:dyDescent="0.25">
      <c r="A111" s="39">
        <v>10</v>
      </c>
      <c r="B111" s="49" t="s">
        <v>983</v>
      </c>
      <c r="N111" s="64"/>
    </row>
    <row r="112" spans="1:14" x14ac:dyDescent="0.25">
      <c r="A112" s="39">
        <v>11</v>
      </c>
      <c r="B112" s="49" t="s">
        <v>1124</v>
      </c>
      <c r="N112" s="64"/>
    </row>
    <row r="113" spans="1:14" s="34" customFormat="1" x14ac:dyDescent="0.25">
      <c r="A113" s="41">
        <v>12</v>
      </c>
      <c r="B113" s="58" t="s">
        <v>1141</v>
      </c>
      <c r="N113" s="48"/>
    </row>
    <row r="116" spans="1:14" x14ac:dyDescent="0.25">
      <c r="A116" s="65" t="s">
        <v>12</v>
      </c>
      <c r="B116" s="66" t="s">
        <v>166</v>
      </c>
      <c r="C116" s="8"/>
      <c r="D116" s="8"/>
      <c r="E116" s="8"/>
      <c r="F116" s="8"/>
    </row>
    <row r="117" spans="1:14" x14ac:dyDescent="0.25">
      <c r="A117" s="65" t="s">
        <v>14</v>
      </c>
      <c r="B117" s="66" t="s">
        <v>624</v>
      </c>
      <c r="C117" s="67" t="s">
        <v>15</v>
      </c>
      <c r="D117" s="8"/>
      <c r="E117" s="8"/>
      <c r="F117" s="8"/>
    </row>
    <row r="118" spans="1:14" x14ac:dyDescent="0.25">
      <c r="A118" s="68" t="s">
        <v>16</v>
      </c>
      <c r="B118" s="69"/>
      <c r="C118" s="70">
        <v>2017</v>
      </c>
      <c r="D118" s="67">
        <v>2018</v>
      </c>
      <c r="E118" s="67">
        <v>2019</v>
      </c>
      <c r="F118" s="67">
        <v>2020</v>
      </c>
      <c r="G118" s="67">
        <v>2021</v>
      </c>
      <c r="H118" s="67">
        <v>2022</v>
      </c>
      <c r="I118" s="67">
        <v>2023</v>
      </c>
      <c r="J118" s="67">
        <v>2024</v>
      </c>
      <c r="K118" s="67">
        <v>2025</v>
      </c>
    </row>
    <row r="119" spans="1:14" x14ac:dyDescent="0.25">
      <c r="A119" s="68" t="s">
        <v>17</v>
      </c>
      <c r="B119" s="69"/>
      <c r="C119" s="71">
        <v>200</v>
      </c>
      <c r="D119" s="72">
        <v>200</v>
      </c>
      <c r="E119" s="72">
        <v>215</v>
      </c>
      <c r="F119" s="72">
        <v>215</v>
      </c>
      <c r="G119" s="72">
        <v>242</v>
      </c>
      <c r="H119" s="72">
        <v>242</v>
      </c>
      <c r="I119" s="72">
        <v>242</v>
      </c>
      <c r="J119" s="72">
        <v>302</v>
      </c>
      <c r="K119" s="72">
        <v>302</v>
      </c>
    </row>
    <row r="120" spans="1:14" x14ac:dyDescent="0.25">
      <c r="A120" s="68" t="s">
        <v>18</v>
      </c>
      <c r="B120" s="69"/>
      <c r="C120" s="71">
        <v>450</v>
      </c>
      <c r="D120" s="72">
        <v>450</v>
      </c>
      <c r="E120" s="72">
        <f>E119+C123+200</f>
        <v>416.56</v>
      </c>
      <c r="F120" s="72">
        <v>465</v>
      </c>
      <c r="G120" s="72">
        <f>G119+0.25*E119+200</f>
        <v>495.75</v>
      </c>
      <c r="H120" s="72">
        <f>H119+0.25*F119+200</f>
        <v>495.75</v>
      </c>
      <c r="I120" s="72">
        <f>I119+0.25*G119+200</f>
        <v>502.5</v>
      </c>
      <c r="J120" s="72">
        <f>J119+0.25*H119+200</f>
        <v>562.5</v>
      </c>
      <c r="K120" s="72">
        <v>502.5</v>
      </c>
    </row>
    <row r="121" spans="1:14" x14ac:dyDescent="0.25">
      <c r="A121" s="68" t="s">
        <v>19</v>
      </c>
      <c r="B121" s="69"/>
      <c r="C121" s="71"/>
      <c r="D121" s="72"/>
      <c r="E121" s="712" t="s">
        <v>167</v>
      </c>
      <c r="F121" s="713"/>
      <c r="G121" s="713"/>
      <c r="H121" s="713"/>
      <c r="I121" s="713"/>
      <c r="J121" s="713"/>
      <c r="K121" s="714"/>
    </row>
    <row r="122" spans="1:14" x14ac:dyDescent="0.25">
      <c r="A122" s="68" t="s">
        <v>20</v>
      </c>
      <c r="B122" s="69"/>
      <c r="C122" s="72">
        <v>448.44</v>
      </c>
      <c r="D122" s="72">
        <v>385.14</v>
      </c>
      <c r="E122" s="72">
        <v>216.09</v>
      </c>
      <c r="F122" s="72">
        <v>326.05</v>
      </c>
      <c r="G122" s="72">
        <v>200.65</v>
      </c>
      <c r="H122" s="72">
        <v>214.33</v>
      </c>
      <c r="I122" s="72">
        <v>380.65</v>
      </c>
      <c r="J122" s="72">
        <v>324.64999999999998</v>
      </c>
      <c r="K122" s="72"/>
    </row>
    <row r="123" spans="1:14" x14ac:dyDescent="0.25">
      <c r="A123" s="68" t="s">
        <v>21</v>
      </c>
      <c r="B123" s="69"/>
      <c r="C123" s="72">
        <f t="shared" ref="C123:G123" si="5">C120-C122</f>
        <v>1.5600000000000023</v>
      </c>
      <c r="D123" s="72">
        <f t="shared" si="5"/>
        <v>64.860000000000014</v>
      </c>
      <c r="E123" s="72">
        <f t="shared" si="5"/>
        <v>200.47</v>
      </c>
      <c r="F123" s="72">
        <f t="shared" si="5"/>
        <v>138.94999999999999</v>
      </c>
      <c r="G123" s="72">
        <f t="shared" si="5"/>
        <v>295.10000000000002</v>
      </c>
      <c r="H123" s="72">
        <f>H120-H122</f>
        <v>281.41999999999996</v>
      </c>
      <c r="I123" s="72">
        <f>I120-I122</f>
        <v>121.85000000000002</v>
      </c>
      <c r="J123" s="72">
        <f>J120-J122</f>
        <v>237.85000000000002</v>
      </c>
      <c r="K123" s="72"/>
    </row>
    <row r="124" spans="1:14" x14ac:dyDescent="0.25">
      <c r="A124" s="73" t="s">
        <v>22</v>
      </c>
      <c r="B124" s="74"/>
      <c r="C124" s="75">
        <v>2019</v>
      </c>
      <c r="D124" s="74">
        <v>2020</v>
      </c>
      <c r="E124" s="74">
        <v>2021</v>
      </c>
      <c r="F124" s="74">
        <v>2022</v>
      </c>
      <c r="G124" s="74">
        <v>2023</v>
      </c>
      <c r="H124" s="74">
        <v>2024</v>
      </c>
      <c r="I124" s="74">
        <v>2025</v>
      </c>
      <c r="J124" s="74">
        <v>2026</v>
      </c>
      <c r="K124" s="74"/>
    </row>
    <row r="125" spans="1:14" x14ac:dyDescent="0.25">
      <c r="A125" s="710" t="s">
        <v>206</v>
      </c>
      <c r="B125" s="711"/>
      <c r="C125" s="711"/>
      <c r="D125" s="711"/>
      <c r="E125" s="711"/>
      <c r="F125" s="711"/>
      <c r="G125" s="46"/>
      <c r="H125" s="46"/>
      <c r="I125" s="47"/>
      <c r="J125" s="47"/>
      <c r="K125" s="47"/>
    </row>
    <row r="126" spans="1:14" x14ac:dyDescent="0.25">
      <c r="A126" s="718" t="s">
        <v>370</v>
      </c>
      <c r="B126" s="719"/>
      <c r="C126" s="719"/>
      <c r="D126" s="719"/>
      <c r="E126" s="719"/>
      <c r="F126" s="719"/>
      <c r="G126" s="19"/>
      <c r="H126" s="19"/>
      <c r="I126" s="19"/>
      <c r="J126" s="19"/>
      <c r="K126" s="63"/>
    </row>
    <row r="127" spans="1:14" x14ac:dyDescent="0.25">
      <c r="A127" s="78" t="s">
        <v>250</v>
      </c>
      <c r="B127" s="79"/>
      <c r="C127" s="79"/>
      <c r="D127" s="80"/>
      <c r="E127" s="80"/>
      <c r="F127" s="80"/>
      <c r="K127" s="64"/>
    </row>
    <row r="128" spans="1:14" x14ac:dyDescent="0.25">
      <c r="A128" s="78" t="s">
        <v>568</v>
      </c>
      <c r="B128" s="79"/>
      <c r="C128" s="79"/>
      <c r="D128" s="80"/>
      <c r="E128" s="80"/>
      <c r="F128" s="80"/>
      <c r="K128" s="64"/>
    </row>
    <row r="129" spans="1:12" x14ac:dyDescent="0.25">
      <c r="A129" s="78" t="s">
        <v>412</v>
      </c>
      <c r="B129" s="79"/>
      <c r="C129" s="79"/>
      <c r="D129" s="80"/>
      <c r="E129" s="80"/>
      <c r="F129" s="80"/>
      <c r="K129" s="64"/>
    </row>
    <row r="130" spans="1:12" x14ac:dyDescent="0.25">
      <c r="A130" s="81" t="s">
        <v>573</v>
      </c>
      <c r="B130" s="79"/>
      <c r="C130" s="79"/>
      <c r="D130" s="80"/>
      <c r="E130" s="80"/>
      <c r="F130" s="80"/>
      <c r="K130" s="64"/>
    </row>
    <row r="131" spans="1:12" x14ac:dyDescent="0.25">
      <c r="A131" s="82" t="s">
        <v>1142</v>
      </c>
      <c r="B131" s="79"/>
      <c r="C131" s="79"/>
      <c r="D131" s="80"/>
      <c r="E131" s="80"/>
      <c r="F131" s="80"/>
      <c r="K131" s="64"/>
    </row>
    <row r="132" spans="1:12" x14ac:dyDescent="0.25">
      <c r="A132" s="81" t="s">
        <v>670</v>
      </c>
      <c r="B132" s="83"/>
      <c r="C132" s="83"/>
      <c r="D132" s="83"/>
      <c r="E132" s="83"/>
      <c r="F132" s="83"/>
      <c r="K132" s="64"/>
    </row>
    <row r="133" spans="1:12" x14ac:dyDescent="0.25">
      <c r="A133" s="81" t="s">
        <v>764</v>
      </c>
      <c r="B133" s="83"/>
      <c r="C133" s="83"/>
      <c r="D133" s="83"/>
      <c r="E133" s="83"/>
      <c r="F133" s="83"/>
      <c r="K133" s="64"/>
    </row>
    <row r="134" spans="1:12" x14ac:dyDescent="0.25">
      <c r="A134" s="84" t="s">
        <v>984</v>
      </c>
      <c r="B134" s="85"/>
      <c r="C134" s="85"/>
      <c r="D134" s="85"/>
      <c r="E134" s="85"/>
      <c r="F134" s="85"/>
      <c r="G134" s="34"/>
      <c r="H134" s="34"/>
      <c r="I134" s="34"/>
      <c r="J134" s="34"/>
      <c r="K134" s="48"/>
    </row>
    <row r="135" spans="1:12" x14ac:dyDescent="0.25">
      <c r="A135" s="86"/>
      <c r="B135" s="8"/>
      <c r="C135" s="8"/>
      <c r="D135" s="8"/>
      <c r="E135" s="8"/>
      <c r="F135" s="8"/>
    </row>
    <row r="136" spans="1:12" s="34" customFormat="1" x14ac:dyDescent="0.25">
      <c r="A136" s="84"/>
      <c r="B136" s="85"/>
      <c r="C136" s="85"/>
      <c r="D136" s="85"/>
      <c r="E136" s="85"/>
      <c r="F136" s="85"/>
    </row>
    <row r="138" spans="1:12" x14ac:dyDescent="0.25">
      <c r="A138" s="65" t="s">
        <v>14</v>
      </c>
      <c r="B138" s="66" t="s">
        <v>638</v>
      </c>
      <c r="C138" s="67" t="s">
        <v>15</v>
      </c>
      <c r="D138" s="8"/>
      <c r="E138" s="8"/>
      <c r="F138" s="8"/>
    </row>
    <row r="139" spans="1:12" x14ac:dyDescent="0.25">
      <c r="A139" s="87" t="s">
        <v>16</v>
      </c>
      <c r="B139" s="69"/>
      <c r="C139" s="67">
        <v>2017</v>
      </c>
      <c r="D139" s="67">
        <v>2018</v>
      </c>
      <c r="E139" s="67">
        <v>2019</v>
      </c>
      <c r="F139" s="67">
        <v>2020</v>
      </c>
      <c r="G139" s="67">
        <v>2021</v>
      </c>
      <c r="H139" s="67">
        <v>2022</v>
      </c>
      <c r="I139" s="67">
        <v>2023</v>
      </c>
      <c r="J139" s="67">
        <v>2024</v>
      </c>
      <c r="K139" s="67">
        <v>2025</v>
      </c>
      <c r="L139" s="67">
        <v>2026</v>
      </c>
    </row>
    <row r="140" spans="1:12" x14ac:dyDescent="0.25">
      <c r="A140" s="87" t="s">
        <v>17</v>
      </c>
      <c r="B140" s="69"/>
      <c r="C140" s="72">
        <v>250</v>
      </c>
      <c r="D140" s="72">
        <v>250</v>
      </c>
      <c r="E140" s="72">
        <v>250</v>
      </c>
      <c r="F140" s="72">
        <v>250</v>
      </c>
      <c r="G140" s="72">
        <v>250</v>
      </c>
      <c r="H140" s="72">
        <v>250</v>
      </c>
      <c r="I140" s="72">
        <v>300</v>
      </c>
      <c r="J140" s="72">
        <v>300</v>
      </c>
      <c r="K140" s="72">
        <v>300</v>
      </c>
      <c r="L140" s="72">
        <v>300</v>
      </c>
    </row>
    <row r="141" spans="1:12" x14ac:dyDescent="0.25">
      <c r="A141" s="87" t="s">
        <v>18</v>
      </c>
      <c r="B141" s="69"/>
      <c r="C141" s="72">
        <v>312.5</v>
      </c>
      <c r="D141" s="72">
        <v>312.5</v>
      </c>
      <c r="E141" s="72">
        <v>312.5</v>
      </c>
      <c r="F141" s="72">
        <f>F140+D144</f>
        <v>251.98000000000002</v>
      </c>
      <c r="G141" s="72">
        <f>G140+0.25*E140</f>
        <v>312.5</v>
      </c>
      <c r="H141" s="72">
        <f>H140+0.25*F140</f>
        <v>312.5</v>
      </c>
      <c r="I141" s="72">
        <f>I140+0.25*G140</f>
        <v>362.5</v>
      </c>
      <c r="J141" s="72">
        <f>J140+3.72</f>
        <v>303.72000000000003</v>
      </c>
      <c r="K141" s="72">
        <f>K140+0.25*I140</f>
        <v>375</v>
      </c>
      <c r="L141" s="72">
        <f>L140+0.25*J140</f>
        <v>375</v>
      </c>
    </row>
    <row r="142" spans="1:12" ht="15" customHeight="1" x14ac:dyDescent="0.25">
      <c r="A142" s="87" t="s">
        <v>19</v>
      </c>
      <c r="B142" s="69"/>
      <c r="C142" s="715" t="s">
        <v>671</v>
      </c>
      <c r="D142" s="716"/>
      <c r="E142" s="716"/>
      <c r="F142" s="716"/>
      <c r="G142" s="716"/>
      <c r="H142" s="716"/>
      <c r="I142" s="716"/>
      <c r="J142" s="716"/>
      <c r="K142" s="717"/>
      <c r="L142" s="88"/>
    </row>
    <row r="143" spans="1:12" x14ac:dyDescent="0.25">
      <c r="A143" s="87" t="s">
        <v>20</v>
      </c>
      <c r="B143" s="69"/>
      <c r="C143" s="89">
        <v>219.03</v>
      </c>
      <c r="D143" s="89">
        <v>310.52</v>
      </c>
      <c r="E143" s="89">
        <v>158.13999999999999</v>
      </c>
      <c r="F143" s="89">
        <v>162.13</v>
      </c>
      <c r="G143" s="89">
        <v>30.84</v>
      </c>
      <c r="H143" s="89">
        <v>12.74</v>
      </c>
      <c r="I143" s="89">
        <v>0</v>
      </c>
      <c r="J143" s="89">
        <v>1</v>
      </c>
      <c r="K143" s="89"/>
      <c r="L143" s="90"/>
    </row>
    <row r="144" spans="1:12" x14ac:dyDescent="0.25">
      <c r="A144" s="87" t="s">
        <v>21</v>
      </c>
      <c r="B144" s="69"/>
      <c r="C144" s="72">
        <f t="shared" ref="C144:J144" si="6">C141-C143</f>
        <v>93.47</v>
      </c>
      <c r="D144" s="72">
        <f t="shared" si="6"/>
        <v>1.9800000000000182</v>
      </c>
      <c r="E144" s="72">
        <f t="shared" si="6"/>
        <v>154.36000000000001</v>
      </c>
      <c r="F144" s="72">
        <f t="shared" si="6"/>
        <v>89.850000000000023</v>
      </c>
      <c r="G144" s="72">
        <f t="shared" si="6"/>
        <v>281.66000000000003</v>
      </c>
      <c r="H144" s="72">
        <f t="shared" si="6"/>
        <v>299.76</v>
      </c>
      <c r="I144" s="72">
        <f>I141-I143</f>
        <v>362.5</v>
      </c>
      <c r="J144" s="72">
        <f t="shared" si="6"/>
        <v>302.72000000000003</v>
      </c>
      <c r="K144" s="72"/>
      <c r="L144" s="90"/>
    </row>
    <row r="145" spans="1:12" x14ac:dyDescent="0.25">
      <c r="A145" s="91" t="s">
        <v>22</v>
      </c>
      <c r="B145" s="74"/>
      <c r="C145" s="74">
        <v>2019</v>
      </c>
      <c r="D145" s="74">
        <v>2020</v>
      </c>
      <c r="E145" s="74">
        <v>2021</v>
      </c>
      <c r="F145" s="74">
        <v>2022</v>
      </c>
      <c r="G145" s="74">
        <v>2023</v>
      </c>
      <c r="H145" s="74">
        <v>2024</v>
      </c>
      <c r="I145" s="74">
        <v>2025</v>
      </c>
      <c r="J145" s="74">
        <v>2026</v>
      </c>
      <c r="K145" s="74">
        <v>2027</v>
      </c>
      <c r="L145" s="90">
        <v>2028</v>
      </c>
    </row>
    <row r="146" spans="1:12" x14ac:dyDescent="0.25">
      <c r="A146" s="92" t="s">
        <v>207</v>
      </c>
      <c r="B146" s="93"/>
      <c r="C146" s="93"/>
      <c r="D146" s="93"/>
      <c r="E146" s="93"/>
      <c r="F146" s="93"/>
      <c r="G146" s="19"/>
      <c r="H146" s="19"/>
      <c r="I146" s="19"/>
      <c r="J146" s="19"/>
      <c r="K146" s="19"/>
      <c r="L146" s="63"/>
    </row>
    <row r="147" spans="1:12" x14ac:dyDescent="0.25">
      <c r="A147" s="94" t="s">
        <v>252</v>
      </c>
      <c r="B147" s="8"/>
      <c r="C147" s="8"/>
      <c r="D147" s="8"/>
      <c r="E147" s="8"/>
      <c r="F147" s="8"/>
      <c r="L147" s="64"/>
    </row>
    <row r="148" spans="1:12" x14ac:dyDescent="0.25">
      <c r="A148" s="94" t="s">
        <v>413</v>
      </c>
      <c r="B148" s="8"/>
      <c r="C148" s="8"/>
      <c r="D148" s="8"/>
      <c r="E148" s="8"/>
      <c r="F148" s="8"/>
      <c r="L148" s="64"/>
    </row>
    <row r="149" spans="1:12" x14ac:dyDescent="0.25">
      <c r="A149" s="39" t="s">
        <v>574</v>
      </c>
      <c r="B149" s="8"/>
      <c r="C149" s="8"/>
      <c r="D149" s="8"/>
      <c r="E149" s="8"/>
      <c r="F149" s="8"/>
      <c r="L149" s="64"/>
    </row>
    <row r="150" spans="1:12" x14ac:dyDescent="0.25">
      <c r="A150" s="39" t="s">
        <v>765</v>
      </c>
      <c r="B150" s="8"/>
      <c r="C150" s="8"/>
      <c r="D150" s="8"/>
      <c r="E150" s="8"/>
      <c r="F150" s="8"/>
      <c r="L150" s="64"/>
    </row>
    <row r="151" spans="1:12" x14ac:dyDescent="0.25">
      <c r="A151" s="39" t="s">
        <v>921</v>
      </c>
      <c r="B151" s="8"/>
      <c r="C151" s="8"/>
      <c r="D151" s="8"/>
      <c r="E151" s="8"/>
      <c r="F151" s="8"/>
      <c r="L151" s="64"/>
    </row>
    <row r="152" spans="1:12" x14ac:dyDescent="0.25">
      <c r="A152" s="39" t="s">
        <v>985</v>
      </c>
      <c r="B152" s="8"/>
      <c r="C152" s="8"/>
      <c r="D152" s="8"/>
      <c r="E152" s="8"/>
      <c r="F152" s="8"/>
      <c r="L152" s="64"/>
    </row>
    <row r="153" spans="1:12" s="45" customFormat="1" ht="12.75" customHeight="1" x14ac:dyDescent="0.25">
      <c r="A153" s="42" t="s">
        <v>1254</v>
      </c>
      <c r="B153" s="623"/>
      <c r="C153" s="623"/>
      <c r="D153" s="623"/>
      <c r="E153" s="623"/>
      <c r="F153" s="623"/>
      <c r="G153" s="43"/>
      <c r="H153" s="43"/>
      <c r="I153" s="43"/>
      <c r="J153" s="43"/>
      <c r="K153" s="43"/>
      <c r="L153" s="44"/>
    </row>
    <row r="155" spans="1:12" x14ac:dyDescent="0.25">
      <c r="A155" s="65" t="s">
        <v>14</v>
      </c>
      <c r="B155" s="66" t="s">
        <v>623</v>
      </c>
      <c r="C155" s="67" t="s">
        <v>15</v>
      </c>
      <c r="D155" s="8"/>
      <c r="E155" s="8"/>
      <c r="F155" s="8"/>
    </row>
    <row r="156" spans="1:12" x14ac:dyDescent="0.25">
      <c r="A156" s="87" t="s">
        <v>16</v>
      </c>
      <c r="B156" s="69"/>
      <c r="C156" s="67">
        <v>2017</v>
      </c>
      <c r="D156" s="67">
        <v>2018</v>
      </c>
      <c r="E156" s="67">
        <v>2019</v>
      </c>
      <c r="F156" s="67">
        <v>2020</v>
      </c>
      <c r="G156" s="67">
        <v>2021</v>
      </c>
      <c r="H156" s="67">
        <v>2022</v>
      </c>
      <c r="I156" s="67">
        <v>2023</v>
      </c>
      <c r="J156" s="67">
        <v>2024</v>
      </c>
      <c r="K156" s="67">
        <v>2025</v>
      </c>
    </row>
    <row r="157" spans="1:12" x14ac:dyDescent="0.25">
      <c r="A157" s="87" t="s">
        <v>17</v>
      </c>
      <c r="B157" s="69"/>
      <c r="C157" s="72">
        <v>130</v>
      </c>
      <c r="D157" s="72">
        <v>130</v>
      </c>
      <c r="E157" s="72">
        <v>130</v>
      </c>
      <c r="F157" s="72">
        <v>130</v>
      </c>
      <c r="G157" s="72">
        <v>130</v>
      </c>
      <c r="H157" s="72">
        <v>130</v>
      </c>
      <c r="I157" s="72">
        <v>130</v>
      </c>
      <c r="J157" s="72">
        <v>130</v>
      </c>
      <c r="K157" s="72">
        <v>130</v>
      </c>
    </row>
    <row r="158" spans="1:12" x14ac:dyDescent="0.25">
      <c r="A158" s="87" t="s">
        <v>18</v>
      </c>
      <c r="B158" s="69"/>
      <c r="C158" s="72">
        <v>257</v>
      </c>
      <c r="D158" s="72">
        <v>257</v>
      </c>
      <c r="E158" s="72">
        <f>E157*1.4+75</f>
        <v>257</v>
      </c>
      <c r="F158" s="72">
        <f>F157*1.4+75</f>
        <v>257</v>
      </c>
      <c r="G158" s="72">
        <f>G157+0.4*E157+75</f>
        <v>257</v>
      </c>
      <c r="H158" s="72">
        <f>H157+0.4*F157+75</f>
        <v>257</v>
      </c>
      <c r="I158" s="72">
        <f>I157+0.4*G157+75</f>
        <v>257</v>
      </c>
      <c r="J158" s="72">
        <f>J157+0.4*H157+75</f>
        <v>257</v>
      </c>
      <c r="K158" s="72">
        <f>K157+0.4*I157+75</f>
        <v>257</v>
      </c>
    </row>
    <row r="159" spans="1:12" ht="14.4" customHeight="1" x14ac:dyDescent="0.25">
      <c r="A159" s="87" t="s">
        <v>19</v>
      </c>
      <c r="B159" s="69"/>
      <c r="C159" s="712" t="s">
        <v>167</v>
      </c>
      <c r="D159" s="713"/>
      <c r="E159" s="713"/>
      <c r="F159" s="713"/>
      <c r="G159" s="713"/>
      <c r="H159" s="713"/>
      <c r="I159" s="713"/>
      <c r="J159" s="713"/>
      <c r="K159" s="714"/>
    </row>
    <row r="160" spans="1:12" x14ac:dyDescent="0.25">
      <c r="A160" s="87" t="s">
        <v>20</v>
      </c>
      <c r="B160" s="69"/>
      <c r="C160" s="72">
        <v>59.08</v>
      </c>
      <c r="D160" s="72">
        <v>145.32</v>
      </c>
      <c r="E160" s="72">
        <v>116.8</v>
      </c>
      <c r="F160" s="72">
        <v>110.73</v>
      </c>
      <c r="G160" s="72">
        <v>94</v>
      </c>
      <c r="H160" s="72">
        <v>69.739999999999995</v>
      </c>
      <c r="I160" s="72">
        <v>76.75</v>
      </c>
      <c r="J160" s="72">
        <v>75.09</v>
      </c>
      <c r="K160" s="72"/>
    </row>
    <row r="161" spans="1:11" x14ac:dyDescent="0.25">
      <c r="A161" s="87" t="s">
        <v>21</v>
      </c>
      <c r="B161" s="69"/>
      <c r="C161" s="72">
        <f t="shared" ref="C161:J161" si="7">C158-C160</f>
        <v>197.92000000000002</v>
      </c>
      <c r="D161" s="72">
        <f t="shared" si="7"/>
        <v>111.68</v>
      </c>
      <c r="E161" s="72">
        <f t="shared" si="7"/>
        <v>140.19999999999999</v>
      </c>
      <c r="F161" s="72">
        <f t="shared" si="7"/>
        <v>146.26999999999998</v>
      </c>
      <c r="G161" s="72">
        <f t="shared" si="7"/>
        <v>163</v>
      </c>
      <c r="H161" s="72">
        <f t="shared" si="7"/>
        <v>187.26</v>
      </c>
      <c r="I161" s="72">
        <f t="shared" si="7"/>
        <v>180.25</v>
      </c>
      <c r="J161" s="72">
        <f t="shared" si="7"/>
        <v>181.91</v>
      </c>
      <c r="K161" s="72"/>
    </row>
    <row r="162" spans="1:11" x14ac:dyDescent="0.25">
      <c r="A162" s="91" t="s">
        <v>22</v>
      </c>
      <c r="B162" s="74"/>
      <c r="C162" s="74">
        <v>2019</v>
      </c>
      <c r="D162" s="74">
        <v>2020</v>
      </c>
      <c r="E162" s="74">
        <v>2021</v>
      </c>
      <c r="F162" s="74">
        <v>2022</v>
      </c>
      <c r="G162" s="74">
        <v>2023</v>
      </c>
      <c r="H162" s="74">
        <v>2024</v>
      </c>
      <c r="I162" s="74">
        <v>2025</v>
      </c>
      <c r="J162" s="74">
        <v>2026</v>
      </c>
      <c r="K162" s="74">
        <v>2027</v>
      </c>
    </row>
    <row r="163" spans="1:11" x14ac:dyDescent="0.25">
      <c r="A163" s="73" t="s">
        <v>253</v>
      </c>
      <c r="B163" s="75"/>
      <c r="C163" s="75"/>
      <c r="D163" s="75"/>
      <c r="E163" s="75"/>
      <c r="F163" s="75"/>
      <c r="G163" s="75"/>
      <c r="H163" s="46"/>
      <c r="I163" s="46"/>
      <c r="J163" s="46"/>
      <c r="K163" s="47"/>
    </row>
    <row r="164" spans="1:11" x14ac:dyDescent="0.25">
      <c r="A164" s="94" t="s">
        <v>208</v>
      </c>
      <c r="B164" s="8"/>
      <c r="C164" s="8"/>
      <c r="D164" s="8"/>
      <c r="E164" s="8"/>
      <c r="F164" s="8"/>
      <c r="G164" s="8"/>
      <c r="K164" s="64"/>
    </row>
    <row r="165" spans="1:11" x14ac:dyDescent="0.25">
      <c r="A165" s="94" t="s">
        <v>254</v>
      </c>
      <c r="B165" s="8"/>
      <c r="C165" s="8"/>
      <c r="D165" s="8"/>
      <c r="E165" s="8"/>
      <c r="F165" s="8"/>
      <c r="G165" s="8"/>
      <c r="K165" s="64"/>
    </row>
    <row r="166" spans="1:11" x14ac:dyDescent="0.25">
      <c r="A166" s="94" t="s">
        <v>414</v>
      </c>
      <c r="B166" s="8"/>
      <c r="C166" s="8"/>
      <c r="D166" s="8"/>
      <c r="E166" s="8"/>
      <c r="F166" s="8"/>
      <c r="G166" s="8"/>
      <c r="K166" s="64"/>
    </row>
    <row r="167" spans="1:11" x14ac:dyDescent="0.25">
      <c r="A167" s="94" t="s">
        <v>575</v>
      </c>
      <c r="B167" s="8"/>
      <c r="C167" s="8"/>
      <c r="D167" s="8"/>
      <c r="E167" s="8"/>
      <c r="F167" s="8"/>
      <c r="G167" s="8"/>
      <c r="K167" s="64"/>
    </row>
    <row r="168" spans="1:11" x14ac:dyDescent="0.25">
      <c r="A168" s="94" t="s">
        <v>766</v>
      </c>
      <c r="B168" s="8"/>
      <c r="C168" s="8"/>
      <c r="D168" s="8"/>
      <c r="E168" s="8"/>
      <c r="F168" s="8"/>
      <c r="G168" s="8"/>
      <c r="K168" s="64"/>
    </row>
    <row r="169" spans="1:11" x14ac:dyDescent="0.25">
      <c r="A169" s="94" t="s">
        <v>767</v>
      </c>
      <c r="B169" s="8"/>
      <c r="C169" s="8"/>
      <c r="D169" s="8"/>
      <c r="E169" s="8"/>
      <c r="F169" s="8"/>
      <c r="G169" s="8"/>
      <c r="K169" s="64"/>
    </row>
    <row r="170" spans="1:11" x14ac:dyDescent="0.25">
      <c r="A170" s="95" t="s">
        <v>986</v>
      </c>
      <c r="B170" s="85"/>
      <c r="C170" s="85"/>
      <c r="D170" s="85"/>
      <c r="E170" s="85"/>
      <c r="F170" s="85"/>
      <c r="G170" s="85"/>
      <c r="H170" s="34"/>
      <c r="I170" s="34"/>
      <c r="J170" s="34"/>
      <c r="K170" s="48"/>
    </row>
    <row r="172" spans="1:11" x14ac:dyDescent="0.25">
      <c r="A172" s="65" t="s">
        <v>14</v>
      </c>
      <c r="B172" s="66" t="s">
        <v>641</v>
      </c>
      <c r="C172" s="67" t="s">
        <v>15</v>
      </c>
      <c r="D172" s="8"/>
      <c r="E172" s="8"/>
      <c r="F172" s="8"/>
    </row>
    <row r="173" spans="1:11" x14ac:dyDescent="0.25">
      <c r="A173" s="69" t="s">
        <v>16</v>
      </c>
      <c r="B173" s="69"/>
      <c r="C173" s="67">
        <v>2017</v>
      </c>
      <c r="D173" s="67">
        <v>2018</v>
      </c>
      <c r="E173" s="67">
        <v>2019</v>
      </c>
      <c r="F173" s="67">
        <v>2020</v>
      </c>
      <c r="G173" s="67">
        <v>2021</v>
      </c>
      <c r="H173" s="67">
        <v>2022</v>
      </c>
      <c r="I173" s="67">
        <v>2023</v>
      </c>
      <c r="J173" s="67">
        <v>2024</v>
      </c>
      <c r="K173" s="67">
        <v>2025</v>
      </c>
    </row>
    <row r="174" spans="1:11" x14ac:dyDescent="0.25">
      <c r="A174" s="69" t="s">
        <v>17</v>
      </c>
      <c r="B174" s="69"/>
      <c r="C174" s="72">
        <v>125</v>
      </c>
      <c r="D174" s="72">
        <v>125</v>
      </c>
      <c r="E174" s="72">
        <v>125</v>
      </c>
      <c r="F174" s="72">
        <v>125</v>
      </c>
      <c r="G174" s="72">
        <v>125</v>
      </c>
      <c r="H174" s="72">
        <v>125</v>
      </c>
      <c r="I174" s="72">
        <v>125</v>
      </c>
      <c r="J174" s="72">
        <v>125</v>
      </c>
      <c r="K174" s="72">
        <v>125</v>
      </c>
    </row>
    <row r="175" spans="1:11" x14ac:dyDescent="0.25">
      <c r="A175" s="69" t="s">
        <v>18</v>
      </c>
      <c r="B175" s="69"/>
      <c r="C175" s="72">
        <v>275</v>
      </c>
      <c r="D175" s="72">
        <v>287.5</v>
      </c>
      <c r="E175" s="72">
        <f>E174*1.2+25+50+50</f>
        <v>275</v>
      </c>
      <c r="F175" s="72">
        <f>F174*1.2+25+50+50</f>
        <v>275</v>
      </c>
      <c r="G175" s="72">
        <f>G174+0.2*E174+25+50+50</f>
        <v>275</v>
      </c>
      <c r="H175" s="72">
        <f>H174+0.2*F174+24.94+50+50</f>
        <v>274.94</v>
      </c>
      <c r="I175" s="72">
        <f>I174+0.1*G174+25+50+50</f>
        <v>262.5</v>
      </c>
      <c r="J175" s="72">
        <f>J174+0.1*H174+25+50+50</f>
        <v>262.5</v>
      </c>
      <c r="K175" s="72">
        <f>K174+0.1*I174+25+50+50</f>
        <v>262.5</v>
      </c>
    </row>
    <row r="176" spans="1:11" ht="14.4" customHeight="1" x14ac:dyDescent="0.25">
      <c r="A176" s="69" t="s">
        <v>19</v>
      </c>
      <c r="B176" s="69"/>
      <c r="C176" s="96" t="s">
        <v>167</v>
      </c>
      <c r="D176" s="71"/>
      <c r="E176" s="71"/>
      <c r="F176" s="71"/>
      <c r="G176" s="71"/>
      <c r="H176" s="71"/>
      <c r="I176" s="71"/>
      <c r="J176" s="97"/>
      <c r="K176" s="97"/>
    </row>
    <row r="177" spans="1:11" x14ac:dyDescent="0.25">
      <c r="A177" s="69" t="s">
        <v>20</v>
      </c>
      <c r="B177" s="69"/>
      <c r="C177" s="72">
        <v>166.01</v>
      </c>
      <c r="D177" s="72">
        <v>115.22</v>
      </c>
      <c r="E177" s="72">
        <v>55.33</v>
      </c>
      <c r="F177" s="72">
        <v>2.12</v>
      </c>
      <c r="G177" s="72">
        <v>29.08</v>
      </c>
      <c r="H177" s="72">
        <v>0</v>
      </c>
      <c r="I177" s="72">
        <v>0</v>
      </c>
      <c r="J177" s="72">
        <v>12.23</v>
      </c>
      <c r="K177" s="72"/>
    </row>
    <row r="178" spans="1:11" x14ac:dyDescent="0.25">
      <c r="A178" s="69" t="s">
        <v>21</v>
      </c>
      <c r="B178" s="69"/>
      <c r="C178" s="72">
        <f t="shared" ref="C178:J178" si="8">C175-C177</f>
        <v>108.99000000000001</v>
      </c>
      <c r="D178" s="72">
        <f t="shared" si="8"/>
        <v>172.28</v>
      </c>
      <c r="E178" s="72">
        <f t="shared" si="8"/>
        <v>219.67000000000002</v>
      </c>
      <c r="F178" s="72">
        <f t="shared" si="8"/>
        <v>272.88</v>
      </c>
      <c r="G178" s="72">
        <f t="shared" si="8"/>
        <v>245.92000000000002</v>
      </c>
      <c r="H178" s="72">
        <f t="shared" si="8"/>
        <v>274.94</v>
      </c>
      <c r="I178" s="72">
        <f t="shared" si="8"/>
        <v>262.5</v>
      </c>
      <c r="J178" s="72">
        <f t="shared" si="8"/>
        <v>250.27</v>
      </c>
      <c r="K178" s="72"/>
    </row>
    <row r="179" spans="1:11" x14ac:dyDescent="0.25">
      <c r="A179" s="74" t="s">
        <v>22</v>
      </c>
      <c r="B179" s="74"/>
      <c r="C179" s="74">
        <v>2019</v>
      </c>
      <c r="D179" s="74">
        <v>2020</v>
      </c>
      <c r="E179" s="74">
        <v>2021</v>
      </c>
      <c r="F179" s="74">
        <v>2022</v>
      </c>
      <c r="G179" s="74">
        <v>2023</v>
      </c>
      <c r="H179" s="74">
        <v>2024</v>
      </c>
      <c r="I179" s="74">
        <v>2025</v>
      </c>
      <c r="J179" s="74">
        <v>2026</v>
      </c>
      <c r="K179" s="74">
        <v>2027</v>
      </c>
    </row>
    <row r="180" spans="1:11" x14ac:dyDescent="0.25">
      <c r="A180" s="92" t="s">
        <v>256</v>
      </c>
      <c r="B180" s="93"/>
      <c r="C180" s="93"/>
      <c r="D180" s="93"/>
      <c r="E180" s="93"/>
      <c r="F180" s="93"/>
      <c r="G180" s="19"/>
      <c r="H180" s="19"/>
      <c r="I180" s="19"/>
      <c r="J180" s="19"/>
      <c r="K180" s="63"/>
    </row>
    <row r="181" spans="1:11" x14ac:dyDescent="0.25">
      <c r="A181" s="94" t="s">
        <v>257</v>
      </c>
      <c r="B181" s="8"/>
      <c r="C181" s="8"/>
      <c r="D181" s="8"/>
      <c r="E181" s="8"/>
      <c r="F181" s="8"/>
      <c r="K181" s="64"/>
    </row>
    <row r="182" spans="1:11" x14ac:dyDescent="0.25">
      <c r="A182" s="94" t="s">
        <v>258</v>
      </c>
      <c r="B182" s="8"/>
      <c r="C182" s="8"/>
      <c r="D182" s="8"/>
      <c r="E182" s="8"/>
      <c r="F182" s="8"/>
      <c r="K182" s="64"/>
    </row>
    <row r="183" spans="1:11" x14ac:dyDescent="0.25">
      <c r="A183" s="94" t="s">
        <v>209</v>
      </c>
      <c r="B183" s="8"/>
      <c r="C183" s="8"/>
      <c r="D183" s="8"/>
      <c r="E183" s="8"/>
      <c r="F183" s="8"/>
      <c r="K183" s="64"/>
    </row>
    <row r="184" spans="1:11" x14ac:dyDescent="0.25">
      <c r="A184" s="94" t="s">
        <v>255</v>
      </c>
      <c r="B184" s="8"/>
      <c r="C184" s="8"/>
      <c r="D184" s="8"/>
      <c r="E184" s="8"/>
      <c r="F184" s="8"/>
      <c r="K184" s="64"/>
    </row>
    <row r="185" spans="1:11" x14ac:dyDescent="0.25">
      <c r="A185" s="94" t="s">
        <v>415</v>
      </c>
      <c r="B185" s="8"/>
      <c r="C185" s="8"/>
      <c r="D185" s="8"/>
      <c r="E185" s="8"/>
      <c r="F185" s="8"/>
      <c r="K185" s="64"/>
    </row>
    <row r="186" spans="1:11" x14ac:dyDescent="0.25">
      <c r="A186" s="39" t="s">
        <v>576</v>
      </c>
      <c r="B186" s="8"/>
      <c r="C186" s="8"/>
      <c r="D186" s="8"/>
      <c r="E186" s="8"/>
      <c r="F186" s="8"/>
      <c r="K186" s="64"/>
    </row>
    <row r="187" spans="1:11" x14ac:dyDescent="0.25">
      <c r="A187" s="39" t="s">
        <v>988</v>
      </c>
      <c r="B187" s="8"/>
      <c r="C187" s="8"/>
      <c r="D187" s="8"/>
      <c r="E187" s="8"/>
      <c r="F187" s="8"/>
      <c r="K187" s="64"/>
    </row>
    <row r="188" spans="1:11" x14ac:dyDescent="0.25">
      <c r="A188" s="39" t="s">
        <v>987</v>
      </c>
      <c r="B188" s="8"/>
      <c r="C188" s="8"/>
      <c r="D188" s="8"/>
      <c r="E188" s="8"/>
      <c r="F188" s="8"/>
      <c r="K188" s="64"/>
    </row>
    <row r="189" spans="1:11" x14ac:dyDescent="0.25">
      <c r="A189" s="41" t="s">
        <v>989</v>
      </c>
      <c r="B189" s="34"/>
      <c r="C189" s="34"/>
      <c r="D189" s="34"/>
      <c r="E189" s="34"/>
      <c r="F189" s="34"/>
      <c r="G189" s="34"/>
      <c r="H189" s="34"/>
      <c r="I189" s="34"/>
      <c r="J189" s="34"/>
      <c r="K189" s="48"/>
    </row>
    <row r="192" spans="1:11" x14ac:dyDescent="0.25">
      <c r="A192" s="98" t="s">
        <v>12</v>
      </c>
      <c r="B192" s="66" t="s">
        <v>165</v>
      </c>
      <c r="C192" s="8"/>
      <c r="D192" s="8"/>
      <c r="E192" s="8"/>
      <c r="F192" s="8"/>
      <c r="G192" s="8"/>
    </row>
    <row r="193" spans="1:14" x14ac:dyDescent="0.25">
      <c r="A193" s="98" t="s">
        <v>14</v>
      </c>
      <c r="B193" s="66" t="s">
        <v>624</v>
      </c>
      <c r="C193" s="67" t="s">
        <v>15</v>
      </c>
      <c r="D193" s="8"/>
      <c r="E193" s="8"/>
      <c r="F193" s="8"/>
      <c r="G193" s="8"/>
    </row>
    <row r="194" spans="1:14" x14ac:dyDescent="0.25">
      <c r="A194" s="68" t="s">
        <v>16</v>
      </c>
      <c r="B194" s="67">
        <v>2014</v>
      </c>
      <c r="C194" s="67">
        <v>2015</v>
      </c>
      <c r="D194" s="70">
        <v>2016</v>
      </c>
      <c r="E194" s="67">
        <v>2017</v>
      </c>
      <c r="F194" s="66">
        <v>2018</v>
      </c>
      <c r="G194" s="66">
        <v>2019</v>
      </c>
      <c r="H194" s="66">
        <v>2020</v>
      </c>
      <c r="I194" s="66">
        <v>2021</v>
      </c>
      <c r="J194" s="66">
        <v>2022</v>
      </c>
      <c r="K194" s="66">
        <v>2023</v>
      </c>
      <c r="L194" s="66">
        <v>2024</v>
      </c>
      <c r="M194" s="66">
        <v>2025</v>
      </c>
    </row>
    <row r="195" spans="1:14" x14ac:dyDescent="0.25">
      <c r="A195" s="68" t="s">
        <v>17</v>
      </c>
      <c r="B195" s="99">
        <v>200</v>
      </c>
      <c r="C195" s="99">
        <v>200</v>
      </c>
      <c r="D195" s="99">
        <v>200</v>
      </c>
      <c r="E195" s="99">
        <v>200</v>
      </c>
      <c r="F195" s="100">
        <v>200</v>
      </c>
      <c r="G195" s="100">
        <v>215</v>
      </c>
      <c r="H195" s="100">
        <v>215</v>
      </c>
      <c r="I195" s="100">
        <v>242</v>
      </c>
      <c r="J195" s="100">
        <v>242</v>
      </c>
      <c r="K195" s="100">
        <v>242</v>
      </c>
      <c r="L195" s="100">
        <v>302</v>
      </c>
      <c r="M195" s="100">
        <v>302</v>
      </c>
    </row>
    <row r="196" spans="1:14" x14ac:dyDescent="0.25">
      <c r="A196" s="68" t="s">
        <v>18</v>
      </c>
      <c r="B196" s="99">
        <v>250</v>
      </c>
      <c r="C196" s="99">
        <v>250</v>
      </c>
      <c r="D196" s="99">
        <v>250</v>
      </c>
      <c r="E196" s="99">
        <v>250</v>
      </c>
      <c r="F196" s="100">
        <v>250</v>
      </c>
      <c r="G196" s="100">
        <f>E195*0.25+G195</f>
        <v>265</v>
      </c>
      <c r="H196" s="100">
        <f t="shared" ref="H196:L196" si="9">H195+0.25*G195</f>
        <v>268.75</v>
      </c>
      <c r="I196" s="100">
        <f t="shared" si="9"/>
        <v>295.75</v>
      </c>
      <c r="J196" s="100">
        <f>J195+0.25*I195</f>
        <v>302.5</v>
      </c>
      <c r="K196" s="100">
        <f t="shared" si="9"/>
        <v>302.5</v>
      </c>
      <c r="L196" s="100">
        <f t="shared" si="9"/>
        <v>362.5</v>
      </c>
      <c r="M196" s="100">
        <f>M195+0.25*L195</f>
        <v>377.5</v>
      </c>
    </row>
    <row r="197" spans="1:14" x14ac:dyDescent="0.25">
      <c r="A197" s="68" t="s">
        <v>19</v>
      </c>
      <c r="B197" s="101" t="s">
        <v>316</v>
      </c>
      <c r="C197" s="101" t="s">
        <v>316</v>
      </c>
      <c r="D197" s="101" t="s">
        <v>316</v>
      </c>
      <c r="E197" s="101" t="s">
        <v>316</v>
      </c>
      <c r="F197" s="101" t="s">
        <v>316</v>
      </c>
      <c r="G197" s="101" t="s">
        <v>371</v>
      </c>
      <c r="H197" s="101" t="s">
        <v>426</v>
      </c>
      <c r="I197" s="101" t="s">
        <v>652</v>
      </c>
      <c r="J197" s="101" t="s">
        <v>653</v>
      </c>
      <c r="K197" s="101" t="s">
        <v>653</v>
      </c>
      <c r="L197" s="101" t="s">
        <v>1030</v>
      </c>
      <c r="M197" s="101" t="s">
        <v>1253</v>
      </c>
    </row>
    <row r="198" spans="1:14" x14ac:dyDescent="0.25">
      <c r="A198" s="68" t="s">
        <v>20</v>
      </c>
      <c r="B198" s="99">
        <v>0</v>
      </c>
      <c r="C198" s="99">
        <v>0</v>
      </c>
      <c r="D198" s="99">
        <v>0</v>
      </c>
      <c r="E198" s="99">
        <v>0</v>
      </c>
      <c r="F198" s="100">
        <v>0</v>
      </c>
      <c r="G198" s="100">
        <v>0</v>
      </c>
      <c r="H198" s="100">
        <v>0</v>
      </c>
      <c r="I198" s="100">
        <v>0</v>
      </c>
      <c r="J198" s="100">
        <v>0</v>
      </c>
      <c r="K198" s="100">
        <v>41</v>
      </c>
      <c r="L198" s="100">
        <v>18.62</v>
      </c>
      <c r="M198" s="100"/>
    </row>
    <row r="199" spans="1:14" x14ac:dyDescent="0.25">
      <c r="A199" s="68" t="s">
        <v>21</v>
      </c>
      <c r="B199" s="99">
        <v>250</v>
      </c>
      <c r="C199" s="99">
        <v>250</v>
      </c>
      <c r="D199" s="99">
        <v>250</v>
      </c>
      <c r="E199" s="99">
        <v>250</v>
      </c>
      <c r="F199" s="100">
        <v>250</v>
      </c>
      <c r="G199" s="100">
        <f>G196</f>
        <v>265</v>
      </c>
      <c r="H199" s="100">
        <f>H196</f>
        <v>268.75</v>
      </c>
      <c r="I199" s="100">
        <f>I196</f>
        <v>295.75</v>
      </c>
      <c r="J199" s="100">
        <f>J196-J198</f>
        <v>302.5</v>
      </c>
      <c r="K199" s="100">
        <f>K196-K198</f>
        <v>261.5</v>
      </c>
      <c r="L199" s="100">
        <f>L196-L198</f>
        <v>343.88</v>
      </c>
      <c r="M199" s="100"/>
    </row>
    <row r="200" spans="1:14" x14ac:dyDescent="0.25">
      <c r="A200" s="73" t="s">
        <v>22</v>
      </c>
      <c r="B200" s="102">
        <v>2015</v>
      </c>
      <c r="C200" s="102">
        <v>2016</v>
      </c>
      <c r="D200" s="102">
        <v>2017</v>
      </c>
      <c r="E200" s="102">
        <v>2018</v>
      </c>
      <c r="F200" s="102">
        <v>2019</v>
      </c>
      <c r="G200" s="102">
        <v>2020</v>
      </c>
      <c r="H200" s="102">
        <v>2021</v>
      </c>
      <c r="I200" s="102">
        <v>2022</v>
      </c>
      <c r="J200" s="102">
        <v>2023</v>
      </c>
      <c r="K200" s="102">
        <v>2024</v>
      </c>
      <c r="L200" s="102">
        <v>2025</v>
      </c>
      <c r="M200" s="102">
        <v>2026</v>
      </c>
    </row>
    <row r="201" spans="1:14" x14ac:dyDescent="0.25">
      <c r="A201" s="92" t="s">
        <v>1102</v>
      </c>
      <c r="B201" s="93"/>
      <c r="C201" s="93"/>
      <c r="D201" s="93"/>
      <c r="E201" s="93"/>
      <c r="F201" s="93"/>
      <c r="G201" s="93"/>
      <c r="H201" s="93"/>
      <c r="I201" s="93"/>
      <c r="J201" s="19"/>
      <c r="K201" s="19"/>
      <c r="L201" s="19"/>
      <c r="M201" s="63"/>
    </row>
    <row r="202" spans="1:14" x14ac:dyDescent="0.25">
      <c r="A202" s="84" t="s">
        <v>1103</v>
      </c>
      <c r="B202" s="34"/>
      <c r="C202" s="34"/>
      <c r="D202" s="34"/>
      <c r="E202" s="34"/>
      <c r="F202" s="34"/>
      <c r="G202" s="34"/>
      <c r="H202" s="34"/>
      <c r="I202" s="34"/>
      <c r="J202" s="34"/>
      <c r="K202" s="34"/>
      <c r="L202" s="34"/>
      <c r="M202" s="48"/>
    </row>
    <row r="203" spans="1:14" x14ac:dyDescent="0.25">
      <c r="A203" s="84"/>
      <c r="B203" s="34"/>
      <c r="C203" s="34"/>
    </row>
    <row r="204" spans="1:14" x14ac:dyDescent="0.25">
      <c r="A204" s="103" t="s">
        <v>14</v>
      </c>
      <c r="B204" s="104" t="s">
        <v>638</v>
      </c>
      <c r="C204" s="105" t="s">
        <v>15</v>
      </c>
      <c r="D204" s="8"/>
      <c r="E204" s="8"/>
      <c r="F204" s="8"/>
      <c r="G204" s="8"/>
    </row>
    <row r="205" spans="1:14" x14ac:dyDescent="0.25">
      <c r="A205" s="68" t="s">
        <v>16</v>
      </c>
      <c r="B205" s="67">
        <v>2014</v>
      </c>
      <c r="C205" s="67">
        <v>2015</v>
      </c>
      <c r="D205" s="70">
        <v>2016</v>
      </c>
      <c r="E205" s="67">
        <v>2017</v>
      </c>
      <c r="F205" s="66">
        <v>2018</v>
      </c>
      <c r="G205" s="66">
        <v>2019</v>
      </c>
      <c r="H205" s="66">
        <v>2020</v>
      </c>
      <c r="I205" s="66">
        <v>2021</v>
      </c>
      <c r="J205" s="66">
        <v>2022</v>
      </c>
      <c r="K205" s="66">
        <v>2023</v>
      </c>
      <c r="L205" s="66">
        <v>2024</v>
      </c>
      <c r="M205" s="66">
        <v>2025</v>
      </c>
      <c r="N205" s="66">
        <v>2026</v>
      </c>
    </row>
    <row r="206" spans="1:14" x14ac:dyDescent="0.25">
      <c r="A206" s="68" t="s">
        <v>17</v>
      </c>
      <c r="B206" s="106">
        <v>2160</v>
      </c>
      <c r="C206" s="106">
        <v>2160</v>
      </c>
      <c r="D206" s="106">
        <v>2160</v>
      </c>
      <c r="E206" s="106">
        <v>2160</v>
      </c>
      <c r="F206" s="107">
        <v>2160</v>
      </c>
      <c r="G206" s="107">
        <v>2160</v>
      </c>
      <c r="H206" s="107">
        <v>2160</v>
      </c>
      <c r="I206" s="107">
        <v>2160</v>
      </c>
      <c r="J206" s="107">
        <v>2160</v>
      </c>
      <c r="K206" s="107">
        <v>2600</v>
      </c>
      <c r="L206" s="107">
        <v>2600</v>
      </c>
      <c r="M206" s="107">
        <v>2600</v>
      </c>
      <c r="N206" s="107">
        <v>2600</v>
      </c>
    </row>
    <row r="207" spans="1:14" x14ac:dyDescent="0.25">
      <c r="A207" s="68" t="s">
        <v>18</v>
      </c>
      <c r="B207" s="106">
        <v>2700</v>
      </c>
      <c r="C207" s="106">
        <v>2700</v>
      </c>
      <c r="D207" s="106">
        <v>2700</v>
      </c>
      <c r="E207" s="106">
        <v>2600</v>
      </c>
      <c r="F207" s="106">
        <v>2600</v>
      </c>
      <c r="G207" s="106">
        <v>2600</v>
      </c>
      <c r="H207" s="106">
        <f>H206+0.25*G206-200</f>
        <v>2500</v>
      </c>
      <c r="I207" s="106">
        <f>I206+0.25*H206</f>
        <v>2700</v>
      </c>
      <c r="J207" s="106">
        <f>J206*(1+0.25)-259.96</f>
        <v>2440.04</v>
      </c>
      <c r="K207" s="106">
        <f>K206+0.25*I206-100</f>
        <v>3040</v>
      </c>
      <c r="L207" s="106">
        <f>L206-100</f>
        <v>2500</v>
      </c>
      <c r="M207" s="106">
        <f>M206+0.25*J206-100</f>
        <v>3040</v>
      </c>
      <c r="N207" s="106">
        <f>N206+0.25*L206-100</f>
        <v>3150</v>
      </c>
    </row>
    <row r="208" spans="1:14" ht="27.6" customHeight="1" x14ac:dyDescent="0.25">
      <c r="A208" s="68" t="s">
        <v>19</v>
      </c>
      <c r="B208" s="108" t="s">
        <v>317</v>
      </c>
      <c r="C208" s="108" t="s">
        <v>317</v>
      </c>
      <c r="D208" s="108" t="s">
        <v>317</v>
      </c>
      <c r="E208" s="108" t="s">
        <v>318</v>
      </c>
      <c r="F208" s="108" t="s">
        <v>318</v>
      </c>
      <c r="G208" s="108" t="s">
        <v>318</v>
      </c>
      <c r="H208" s="108" t="s">
        <v>428</v>
      </c>
      <c r="I208" s="108" t="s">
        <v>317</v>
      </c>
      <c r="J208" s="108" t="s">
        <v>908</v>
      </c>
      <c r="K208" s="108" t="s">
        <v>821</v>
      </c>
      <c r="L208" s="108" t="s">
        <v>1027</v>
      </c>
      <c r="M208" s="108" t="s">
        <v>821</v>
      </c>
      <c r="N208" s="108" t="s">
        <v>821</v>
      </c>
    </row>
    <row r="209" spans="1:14" x14ac:dyDescent="0.25">
      <c r="A209" s="68" t="s">
        <v>20</v>
      </c>
      <c r="B209" s="106">
        <v>462.36</v>
      </c>
      <c r="C209" s="106">
        <v>490.22</v>
      </c>
      <c r="D209" s="106">
        <v>657.59</v>
      </c>
      <c r="E209" s="106">
        <v>496.85</v>
      </c>
      <c r="F209" s="107">
        <v>396</v>
      </c>
      <c r="G209" s="107">
        <v>1002.664409132517</v>
      </c>
      <c r="H209" s="107">
        <v>617</v>
      </c>
      <c r="I209" s="107">
        <v>516</v>
      </c>
      <c r="J209" s="107">
        <v>543</v>
      </c>
      <c r="K209" s="107">
        <v>524</v>
      </c>
      <c r="L209" s="107">
        <v>605.1</v>
      </c>
      <c r="M209" s="107"/>
      <c r="N209" s="107"/>
    </row>
    <row r="210" spans="1:14" x14ac:dyDescent="0.25">
      <c r="A210" s="68" t="s">
        <v>21</v>
      </c>
      <c r="B210" s="106">
        <f t="shared" ref="B210:G210" si="10">B207-B209</f>
        <v>2237.64</v>
      </c>
      <c r="C210" s="106">
        <f t="shared" si="10"/>
        <v>2209.7799999999997</v>
      </c>
      <c r="D210" s="106">
        <f t="shared" si="10"/>
        <v>2042.4099999999999</v>
      </c>
      <c r="E210" s="106">
        <f t="shared" si="10"/>
        <v>2103.15</v>
      </c>
      <c r="F210" s="106">
        <f t="shared" si="10"/>
        <v>2204</v>
      </c>
      <c r="G210" s="106">
        <f t="shared" si="10"/>
        <v>1597.335590867483</v>
      </c>
      <c r="H210" s="106">
        <f>H207-H209</f>
        <v>1883</v>
      </c>
      <c r="I210" s="106">
        <f>I207-I209</f>
        <v>2184</v>
      </c>
      <c r="J210" s="106">
        <f>J207-J209</f>
        <v>1897.04</v>
      </c>
      <c r="K210" s="106">
        <f>K207-K209</f>
        <v>2516</v>
      </c>
      <c r="L210" s="106">
        <f>L207-L209</f>
        <v>1894.9</v>
      </c>
      <c r="M210" s="106"/>
      <c r="N210" s="106"/>
    </row>
    <row r="211" spans="1:14" x14ac:dyDescent="0.25">
      <c r="A211" s="73" t="s">
        <v>22</v>
      </c>
      <c r="B211" s="102">
        <v>2016</v>
      </c>
      <c r="C211" s="102">
        <v>2017</v>
      </c>
      <c r="D211" s="102">
        <v>2018</v>
      </c>
      <c r="E211" s="102">
        <v>2019</v>
      </c>
      <c r="F211" s="102">
        <v>2020</v>
      </c>
      <c r="G211" s="102">
        <v>2021</v>
      </c>
      <c r="H211" s="102">
        <v>2022</v>
      </c>
      <c r="I211" s="102">
        <v>2023</v>
      </c>
      <c r="J211" s="102">
        <v>2024</v>
      </c>
      <c r="K211" s="102">
        <v>2025</v>
      </c>
      <c r="L211" s="102">
        <v>2026</v>
      </c>
      <c r="M211" s="102">
        <v>2027</v>
      </c>
      <c r="N211" s="102">
        <v>2028</v>
      </c>
    </row>
    <row r="212" spans="1:14" x14ac:dyDescent="0.25">
      <c r="A212" s="710" t="s">
        <v>791</v>
      </c>
      <c r="B212" s="711"/>
      <c r="C212" s="711"/>
      <c r="D212" s="711"/>
      <c r="E212" s="711"/>
      <c r="F212" s="711"/>
      <c r="G212" s="711"/>
      <c r="H212" s="46"/>
      <c r="I212" s="46"/>
      <c r="J212" s="46"/>
      <c r="K212" s="47"/>
      <c r="L212" s="47"/>
      <c r="M212" s="47"/>
      <c r="N212" s="47"/>
    </row>
    <row r="213" spans="1:14" x14ac:dyDescent="0.25">
      <c r="A213" s="76" t="s">
        <v>319</v>
      </c>
      <c r="B213" s="77"/>
      <c r="C213" s="77"/>
      <c r="D213" s="77"/>
      <c r="E213" s="77"/>
      <c r="F213" s="77"/>
      <c r="G213" s="77"/>
      <c r="H213" s="46"/>
      <c r="I213" s="46"/>
      <c r="J213" s="46"/>
      <c r="K213" s="46"/>
      <c r="L213" s="46"/>
      <c r="M213" s="46"/>
      <c r="N213" s="47"/>
    </row>
    <row r="214" spans="1:14" x14ac:dyDescent="0.25">
      <c r="A214" s="109" t="s">
        <v>1024</v>
      </c>
      <c r="B214" s="80"/>
      <c r="C214" s="80"/>
      <c r="D214" s="80"/>
      <c r="E214" s="80"/>
      <c r="F214" s="80"/>
      <c r="G214" s="80"/>
      <c r="N214" s="64"/>
    </row>
    <row r="215" spans="1:14" x14ac:dyDescent="0.25">
      <c r="A215" s="109" t="s">
        <v>427</v>
      </c>
      <c r="B215" s="80"/>
      <c r="C215" s="80"/>
      <c r="D215" s="80"/>
      <c r="E215" s="80"/>
      <c r="F215" s="80"/>
      <c r="G215" s="80"/>
      <c r="N215" s="64"/>
    </row>
    <row r="216" spans="1:14" x14ac:dyDescent="0.25">
      <c r="A216" s="109" t="s">
        <v>907</v>
      </c>
      <c r="B216" s="80"/>
      <c r="C216" s="80"/>
      <c r="D216" s="80"/>
      <c r="E216" s="80"/>
      <c r="F216" s="80"/>
      <c r="G216" s="80"/>
      <c r="N216" s="64"/>
    </row>
    <row r="217" spans="1:14" x14ac:dyDescent="0.25">
      <c r="A217" s="109" t="s">
        <v>820</v>
      </c>
      <c r="B217" s="80"/>
      <c r="C217" s="80"/>
      <c r="D217" s="80"/>
      <c r="E217" s="80"/>
      <c r="F217" s="80"/>
      <c r="G217" s="80"/>
      <c r="N217" s="64"/>
    </row>
    <row r="218" spans="1:14" x14ac:dyDescent="0.25">
      <c r="A218" s="109" t="s">
        <v>1026</v>
      </c>
      <c r="B218" s="80"/>
      <c r="C218" s="80"/>
      <c r="D218" s="80"/>
      <c r="E218" s="80"/>
      <c r="F218" s="80"/>
      <c r="G218" s="80"/>
      <c r="N218" s="64"/>
    </row>
    <row r="219" spans="1:14" x14ac:dyDescent="0.25">
      <c r="A219" s="109" t="s">
        <v>1096</v>
      </c>
      <c r="B219" s="80"/>
      <c r="C219" s="80"/>
      <c r="D219" s="80"/>
      <c r="E219" s="80"/>
      <c r="F219" s="80"/>
      <c r="G219" s="80"/>
      <c r="N219" s="64"/>
    </row>
    <row r="220" spans="1:14" x14ac:dyDescent="0.25">
      <c r="A220" s="438" t="s">
        <v>1255</v>
      </c>
      <c r="B220" s="111"/>
      <c r="C220" s="111"/>
      <c r="D220" s="111"/>
      <c r="E220" s="111"/>
      <c r="F220" s="111"/>
      <c r="G220" s="111"/>
      <c r="H220" s="34"/>
      <c r="I220" s="34"/>
      <c r="J220" s="34"/>
      <c r="K220" s="34"/>
      <c r="L220" s="34"/>
      <c r="M220" s="34"/>
      <c r="N220" s="48"/>
    </row>
    <row r="222" spans="1:14" x14ac:dyDescent="0.25">
      <c r="A222" s="98" t="s">
        <v>14</v>
      </c>
      <c r="B222" s="66" t="s">
        <v>623</v>
      </c>
      <c r="C222" s="67" t="s">
        <v>15</v>
      </c>
      <c r="D222" s="8"/>
      <c r="E222" s="8"/>
      <c r="F222" s="8"/>
    </row>
    <row r="223" spans="1:14" x14ac:dyDescent="0.25">
      <c r="A223" s="68" t="s">
        <v>16</v>
      </c>
      <c r="B223" s="67">
        <v>2014</v>
      </c>
      <c r="C223" s="67">
        <v>2015</v>
      </c>
      <c r="D223" s="70">
        <v>2016</v>
      </c>
      <c r="E223" s="67">
        <v>2017</v>
      </c>
      <c r="F223" s="66">
        <v>2018</v>
      </c>
      <c r="G223" s="66">
        <v>2019</v>
      </c>
      <c r="H223" s="66">
        <v>2020</v>
      </c>
      <c r="I223" s="66">
        <v>2021</v>
      </c>
      <c r="J223" s="66">
        <v>2022</v>
      </c>
      <c r="K223" s="66">
        <v>2023</v>
      </c>
      <c r="L223" s="66">
        <v>2024</v>
      </c>
      <c r="M223" s="112">
        <v>2025</v>
      </c>
      <c r="N223" s="112">
        <v>2026</v>
      </c>
    </row>
    <row r="224" spans="1:14" x14ac:dyDescent="0.25">
      <c r="A224" s="68" t="s">
        <v>17</v>
      </c>
      <c r="B224" s="99">
        <v>50</v>
      </c>
      <c r="C224" s="99">
        <v>50</v>
      </c>
      <c r="D224" s="99">
        <v>50</v>
      </c>
      <c r="E224" s="99">
        <v>50</v>
      </c>
      <c r="F224" s="99">
        <v>50</v>
      </c>
      <c r="G224" s="99">
        <v>50</v>
      </c>
      <c r="H224" s="99">
        <v>50</v>
      </c>
      <c r="I224" s="99">
        <v>50</v>
      </c>
      <c r="J224" s="99">
        <v>50</v>
      </c>
      <c r="K224" s="99">
        <v>50</v>
      </c>
      <c r="L224" s="99">
        <v>50</v>
      </c>
      <c r="M224" s="113">
        <v>50</v>
      </c>
      <c r="N224" s="113">
        <v>50</v>
      </c>
    </row>
    <row r="225" spans="1:14" x14ac:dyDescent="0.25">
      <c r="A225" s="68" t="s">
        <v>18</v>
      </c>
      <c r="B225" s="99">
        <v>75</v>
      </c>
      <c r="C225" s="99">
        <v>50</v>
      </c>
      <c r="D225" s="99">
        <v>50</v>
      </c>
      <c r="E225" s="99">
        <f>E224*1.5-25</f>
        <v>50</v>
      </c>
      <c r="F225" s="99">
        <f>F224*1.4-25</f>
        <v>45</v>
      </c>
      <c r="G225" s="99">
        <f>G224*1.4-25</f>
        <v>45</v>
      </c>
      <c r="H225" s="99">
        <f>H224*1.4-25</f>
        <v>45</v>
      </c>
      <c r="I225" s="99">
        <f>I224*1.4-25</f>
        <v>45</v>
      </c>
      <c r="J225" s="99">
        <f>J224*1.4-25</f>
        <v>45</v>
      </c>
      <c r="K225" s="99">
        <f>50+0.4*50-25</f>
        <v>45</v>
      </c>
      <c r="L225" s="99">
        <f>50+0.4*50-25</f>
        <v>45</v>
      </c>
      <c r="M225" s="113">
        <f>(M224)+(0.4*50)</f>
        <v>70</v>
      </c>
      <c r="N225" s="113">
        <f>(N224)+(0.4*50)</f>
        <v>70</v>
      </c>
    </row>
    <row r="226" spans="1:14" x14ac:dyDescent="0.25">
      <c r="A226" s="68" t="s">
        <v>19</v>
      </c>
      <c r="B226" s="99" t="s">
        <v>320</v>
      </c>
      <c r="C226" s="99" t="s">
        <v>321</v>
      </c>
      <c r="D226" s="99" t="s">
        <v>321</v>
      </c>
      <c r="E226" s="99" t="s">
        <v>321</v>
      </c>
      <c r="F226" s="99" t="s">
        <v>322</v>
      </c>
      <c r="G226" s="99" t="s">
        <v>322</v>
      </c>
      <c r="H226" s="99" t="s">
        <v>322</v>
      </c>
      <c r="I226" s="99" t="s">
        <v>322</v>
      </c>
      <c r="J226" s="99" t="s">
        <v>322</v>
      </c>
      <c r="K226" s="99" t="s">
        <v>1107</v>
      </c>
      <c r="L226" s="99" t="s">
        <v>1107</v>
      </c>
      <c r="M226" s="114" t="s">
        <v>1143</v>
      </c>
      <c r="N226" s="114" t="s">
        <v>1143</v>
      </c>
    </row>
    <row r="227" spans="1:14" x14ac:dyDescent="0.25">
      <c r="A227" s="68" t="s">
        <v>20</v>
      </c>
      <c r="B227" s="99">
        <v>0</v>
      </c>
      <c r="C227" s="99">
        <v>0</v>
      </c>
      <c r="D227" s="99">
        <v>0</v>
      </c>
      <c r="E227" s="99">
        <v>0</v>
      </c>
      <c r="F227" s="99">
        <v>0</v>
      </c>
      <c r="G227" s="99">
        <v>0</v>
      </c>
      <c r="H227" s="99">
        <v>0</v>
      </c>
      <c r="I227" s="99">
        <v>0</v>
      </c>
      <c r="J227" s="99">
        <v>0</v>
      </c>
      <c r="K227" s="99">
        <v>0</v>
      </c>
      <c r="L227" s="99">
        <v>0</v>
      </c>
      <c r="M227" s="115"/>
      <c r="N227" s="113"/>
    </row>
    <row r="228" spans="1:14" x14ac:dyDescent="0.25">
      <c r="A228" s="68" t="s">
        <v>21</v>
      </c>
      <c r="B228" s="99">
        <f t="shared" ref="B228:I228" si="11">B225</f>
        <v>75</v>
      </c>
      <c r="C228" s="99">
        <f t="shared" si="11"/>
        <v>50</v>
      </c>
      <c r="D228" s="99">
        <f t="shared" si="11"/>
        <v>50</v>
      </c>
      <c r="E228" s="99">
        <f t="shared" si="11"/>
        <v>50</v>
      </c>
      <c r="F228" s="99">
        <f t="shared" si="11"/>
        <v>45</v>
      </c>
      <c r="G228" s="99">
        <f t="shared" si="11"/>
        <v>45</v>
      </c>
      <c r="H228" s="99">
        <f t="shared" si="11"/>
        <v>45</v>
      </c>
      <c r="I228" s="99">
        <f t="shared" si="11"/>
        <v>45</v>
      </c>
      <c r="J228" s="99">
        <f>J225-J227</f>
        <v>45</v>
      </c>
      <c r="K228" s="99">
        <f>K225-K227</f>
        <v>45</v>
      </c>
      <c r="L228" s="99">
        <f>L225-L227</f>
        <v>45</v>
      </c>
      <c r="M228" s="115"/>
      <c r="N228" s="113"/>
    </row>
    <row r="229" spans="1:14" x14ac:dyDescent="0.25">
      <c r="A229" s="92" t="s">
        <v>22</v>
      </c>
      <c r="B229" s="591">
        <v>2016</v>
      </c>
      <c r="C229" s="591">
        <v>2017</v>
      </c>
      <c r="D229" s="591">
        <v>2018</v>
      </c>
      <c r="E229" s="591">
        <v>2019</v>
      </c>
      <c r="F229" s="591">
        <v>2020</v>
      </c>
      <c r="G229" s="591">
        <v>2021</v>
      </c>
      <c r="H229" s="591">
        <v>2022</v>
      </c>
      <c r="I229" s="591">
        <v>2023</v>
      </c>
      <c r="J229" s="591">
        <v>2024</v>
      </c>
      <c r="K229" s="591">
        <v>2025</v>
      </c>
      <c r="L229" s="591">
        <v>2026</v>
      </c>
      <c r="M229" s="592"/>
      <c r="N229" s="592"/>
    </row>
    <row r="230" spans="1:14" x14ac:dyDescent="0.25">
      <c r="A230" s="720" t="s">
        <v>792</v>
      </c>
      <c r="B230" s="721"/>
      <c r="C230" s="721"/>
      <c r="D230" s="721"/>
      <c r="E230" s="721"/>
      <c r="F230" s="721"/>
      <c r="G230" s="721"/>
      <c r="H230" s="19"/>
      <c r="I230" s="19"/>
      <c r="J230" s="19"/>
      <c r="K230" s="19"/>
      <c r="L230" s="19"/>
      <c r="M230" s="19"/>
      <c r="N230" s="63"/>
    </row>
    <row r="231" spans="1:14" x14ac:dyDescent="0.25">
      <c r="A231" s="109" t="s">
        <v>1104</v>
      </c>
      <c r="B231" s="80"/>
      <c r="C231" s="80"/>
      <c r="D231" s="80"/>
      <c r="E231" s="80"/>
      <c r="F231" s="80"/>
      <c r="G231" s="80"/>
      <c r="N231" s="64"/>
    </row>
    <row r="232" spans="1:14" x14ac:dyDescent="0.25">
      <c r="A232" s="722" t="s">
        <v>1105</v>
      </c>
      <c r="B232" s="723"/>
      <c r="C232" s="723"/>
      <c r="D232" s="723"/>
      <c r="E232" s="723"/>
      <c r="F232" s="723"/>
      <c r="G232" s="723"/>
      <c r="N232" s="64"/>
    </row>
    <row r="233" spans="1:14" x14ac:dyDescent="0.25">
      <c r="A233" s="84" t="s">
        <v>1106</v>
      </c>
      <c r="B233" s="116"/>
      <c r="C233" s="116"/>
      <c r="D233" s="116"/>
      <c r="E233" s="116"/>
      <c r="F233" s="116"/>
      <c r="G233" s="116"/>
      <c r="H233" s="34"/>
      <c r="I233" s="34"/>
      <c r="J233" s="34"/>
      <c r="K233" s="34"/>
      <c r="L233" s="34"/>
      <c r="M233" s="34"/>
      <c r="N233" s="48"/>
    </row>
    <row r="235" spans="1:14" x14ac:dyDescent="0.25">
      <c r="A235" s="98" t="s">
        <v>14</v>
      </c>
      <c r="B235" s="66" t="s">
        <v>641</v>
      </c>
      <c r="C235" s="67" t="s">
        <v>15</v>
      </c>
      <c r="D235" s="8"/>
      <c r="E235" s="8"/>
      <c r="F235" s="8"/>
      <c r="G235" s="8"/>
    </row>
    <row r="236" spans="1:14" x14ac:dyDescent="0.25">
      <c r="A236" s="68" t="s">
        <v>16</v>
      </c>
      <c r="B236" s="67">
        <v>2014</v>
      </c>
      <c r="C236" s="67">
        <v>2015</v>
      </c>
      <c r="D236" s="70">
        <v>2016</v>
      </c>
      <c r="E236" s="67">
        <v>2017</v>
      </c>
      <c r="F236" s="66">
        <v>2018</v>
      </c>
      <c r="G236" s="66">
        <v>2019</v>
      </c>
      <c r="H236" s="66">
        <v>2020</v>
      </c>
      <c r="I236" s="66">
        <v>2021</v>
      </c>
      <c r="J236" s="66">
        <v>2022</v>
      </c>
      <c r="K236" s="66">
        <v>2023</v>
      </c>
      <c r="L236" s="66">
        <v>2024</v>
      </c>
      <c r="M236" s="66">
        <v>2025</v>
      </c>
      <c r="N236" s="66">
        <v>2026</v>
      </c>
    </row>
    <row r="237" spans="1:14" x14ac:dyDescent="0.25">
      <c r="A237" s="68" t="s">
        <v>17</v>
      </c>
      <c r="B237" s="106">
        <v>3940</v>
      </c>
      <c r="C237" s="106">
        <v>3940</v>
      </c>
      <c r="D237" s="106">
        <v>3940</v>
      </c>
      <c r="E237" s="106">
        <v>3940</v>
      </c>
      <c r="F237" s="106">
        <v>3940</v>
      </c>
      <c r="G237" s="106">
        <v>3940</v>
      </c>
      <c r="H237" s="106">
        <v>3940</v>
      </c>
      <c r="I237" s="106">
        <v>3940</v>
      </c>
      <c r="J237" s="106">
        <v>3940</v>
      </c>
      <c r="K237" s="106">
        <v>3940</v>
      </c>
      <c r="L237" s="106">
        <v>3940</v>
      </c>
      <c r="M237" s="106">
        <v>3940</v>
      </c>
      <c r="N237" s="106">
        <v>3940</v>
      </c>
    </row>
    <row r="238" spans="1:14" x14ac:dyDescent="0.25">
      <c r="A238" s="68" t="s">
        <v>18</v>
      </c>
      <c r="B238" s="106">
        <f>B237*1.3-50</f>
        <v>5072</v>
      </c>
      <c r="C238" s="106">
        <f>C237*1.3-50</f>
        <v>5072</v>
      </c>
      <c r="D238" s="106">
        <f>D237*1.3-50</f>
        <v>5072</v>
      </c>
      <c r="E238" s="106">
        <f>E237*1.3-50</f>
        <v>5072</v>
      </c>
      <c r="F238" s="106">
        <f>F237*1.2-50</f>
        <v>4678</v>
      </c>
      <c r="G238" s="106">
        <f>G237*1.2-50</f>
        <v>4678</v>
      </c>
      <c r="H238" s="106">
        <f>H237*1.2-50</f>
        <v>4678</v>
      </c>
      <c r="I238" s="106">
        <f>I237*1.2-50</f>
        <v>4678</v>
      </c>
      <c r="J238" s="106">
        <f>J237*1.2-50</f>
        <v>4678</v>
      </c>
      <c r="K238" s="106">
        <f>K237*1.1-50</f>
        <v>4284</v>
      </c>
      <c r="L238" s="106">
        <f>L237*1.1-50</f>
        <v>4284</v>
      </c>
      <c r="M238" s="106">
        <f>M237*1.1-50</f>
        <v>4284</v>
      </c>
      <c r="N238" s="106">
        <f>N237*1.1-50</f>
        <v>4284</v>
      </c>
    </row>
    <row r="239" spans="1:14" x14ac:dyDescent="0.25">
      <c r="A239" s="68" t="s">
        <v>19</v>
      </c>
      <c r="B239" s="106" t="s">
        <v>324</v>
      </c>
      <c r="C239" s="106" t="s">
        <v>324</v>
      </c>
      <c r="D239" s="106" t="s">
        <v>324</v>
      </c>
      <c r="E239" s="106" t="s">
        <v>324</v>
      </c>
      <c r="F239" s="106" t="s">
        <v>325</v>
      </c>
      <c r="G239" s="106" t="s">
        <v>325</v>
      </c>
      <c r="H239" s="106" t="s">
        <v>325</v>
      </c>
      <c r="I239" s="106" t="s">
        <v>325</v>
      </c>
      <c r="J239" s="106" t="s">
        <v>325</v>
      </c>
      <c r="K239" s="106" t="s">
        <v>1108</v>
      </c>
      <c r="L239" s="106" t="s">
        <v>1108</v>
      </c>
      <c r="M239" s="106" t="s">
        <v>1108</v>
      </c>
      <c r="N239" s="106" t="s">
        <v>1108</v>
      </c>
    </row>
    <row r="240" spans="1:14" x14ac:dyDescent="0.25">
      <c r="A240" s="68" t="s">
        <v>20</v>
      </c>
      <c r="B240" s="106">
        <v>2892.02</v>
      </c>
      <c r="C240" s="106">
        <v>2599.0703200000003</v>
      </c>
      <c r="D240" s="106">
        <v>2934.78017</v>
      </c>
      <c r="E240" s="106">
        <v>2406.0276984999996</v>
      </c>
      <c r="F240" s="106">
        <v>2798</v>
      </c>
      <c r="G240" s="106">
        <v>2858.8298242939013</v>
      </c>
      <c r="H240" s="106">
        <v>2105</v>
      </c>
      <c r="I240" s="106">
        <v>2823</v>
      </c>
      <c r="J240" s="106">
        <v>2197</v>
      </c>
      <c r="K240" s="106">
        <v>1984</v>
      </c>
      <c r="L240" s="106">
        <v>2377.3000000000002</v>
      </c>
      <c r="M240" s="106"/>
      <c r="N240" s="106"/>
    </row>
    <row r="241" spans="1:14" x14ac:dyDescent="0.25">
      <c r="A241" s="68" t="s">
        <v>21</v>
      </c>
      <c r="B241" s="106">
        <f t="shared" ref="B241:L241" si="12">B238-B240</f>
        <v>2179.98</v>
      </c>
      <c r="C241" s="106">
        <f t="shared" si="12"/>
        <v>2472.9296799999997</v>
      </c>
      <c r="D241" s="106">
        <f t="shared" si="12"/>
        <v>2137.21983</v>
      </c>
      <c r="E241" s="106">
        <f t="shared" si="12"/>
        <v>2665.9723015000004</v>
      </c>
      <c r="F241" s="106">
        <f t="shared" si="12"/>
        <v>1880</v>
      </c>
      <c r="G241" s="106">
        <f t="shared" si="12"/>
        <v>1819.1701757060987</v>
      </c>
      <c r="H241" s="106">
        <f t="shared" si="12"/>
        <v>2573</v>
      </c>
      <c r="I241" s="106">
        <f t="shared" si="12"/>
        <v>1855</v>
      </c>
      <c r="J241" s="106">
        <f t="shared" si="12"/>
        <v>2481</v>
      </c>
      <c r="K241" s="106">
        <f t="shared" si="12"/>
        <v>2300</v>
      </c>
      <c r="L241" s="106">
        <f t="shared" si="12"/>
        <v>1906.6999999999998</v>
      </c>
      <c r="M241" s="106"/>
      <c r="N241" s="106"/>
    </row>
    <row r="242" spans="1:14" x14ac:dyDescent="0.25">
      <c r="A242" s="73" t="s">
        <v>22</v>
      </c>
      <c r="B242" s="74">
        <v>2015</v>
      </c>
      <c r="C242" s="74">
        <v>2016</v>
      </c>
      <c r="D242" s="75">
        <v>2017</v>
      </c>
      <c r="E242" s="74">
        <v>2018</v>
      </c>
      <c r="F242" s="117">
        <v>2019</v>
      </c>
      <c r="G242" s="117">
        <v>2020</v>
      </c>
      <c r="H242" s="117">
        <v>2021</v>
      </c>
      <c r="I242" s="117">
        <v>2022</v>
      </c>
      <c r="J242" s="117">
        <v>2023</v>
      </c>
      <c r="K242" s="117">
        <v>2024</v>
      </c>
      <c r="L242" s="117">
        <v>2025</v>
      </c>
      <c r="M242" s="117">
        <v>2026</v>
      </c>
      <c r="N242" s="117">
        <v>2027</v>
      </c>
    </row>
    <row r="243" spans="1:14" x14ac:dyDescent="0.25">
      <c r="A243" s="710" t="s">
        <v>1028</v>
      </c>
      <c r="B243" s="711"/>
      <c r="C243" s="711"/>
      <c r="D243" s="711"/>
      <c r="E243" s="711"/>
      <c r="F243" s="711"/>
      <c r="G243" s="711"/>
      <c r="H243" s="46"/>
      <c r="I243" s="46"/>
      <c r="J243" s="46"/>
      <c r="K243" s="46"/>
      <c r="L243" s="46"/>
      <c r="M243" s="46"/>
      <c r="N243" s="47"/>
    </row>
    <row r="244" spans="1:14" x14ac:dyDescent="0.25">
      <c r="A244" s="110" t="s">
        <v>1029</v>
      </c>
      <c r="B244" s="111"/>
      <c r="C244" s="111"/>
      <c r="D244" s="111"/>
      <c r="E244" s="111"/>
      <c r="F244" s="111"/>
      <c r="G244" s="111"/>
      <c r="H244" s="34"/>
      <c r="I244" s="34"/>
      <c r="J244" s="34"/>
      <c r="K244" s="34"/>
      <c r="L244" s="34"/>
      <c r="M244" s="34"/>
      <c r="N244" s="48"/>
    </row>
    <row r="246" spans="1:14" x14ac:dyDescent="0.25">
      <c r="A246" s="98" t="s">
        <v>14</v>
      </c>
      <c r="B246" s="66" t="s">
        <v>66</v>
      </c>
      <c r="C246" s="67" t="s">
        <v>15</v>
      </c>
      <c r="D246" s="8"/>
      <c r="E246" s="8"/>
      <c r="F246" s="8"/>
    </row>
    <row r="247" spans="1:14" x14ac:dyDescent="0.25">
      <c r="A247" s="68" t="s">
        <v>16</v>
      </c>
      <c r="B247" s="69"/>
      <c r="C247" s="9">
        <v>2020</v>
      </c>
      <c r="D247" s="9">
        <v>2021</v>
      </c>
      <c r="E247" s="9">
        <v>2022</v>
      </c>
      <c r="F247" s="9">
        <v>2023</v>
      </c>
      <c r="G247" s="9">
        <v>2024</v>
      </c>
      <c r="H247" s="9">
        <v>2025</v>
      </c>
      <c r="I247" s="9">
        <v>2026</v>
      </c>
      <c r="J247" s="9">
        <v>2027</v>
      </c>
      <c r="K247" s="9">
        <v>2028</v>
      </c>
      <c r="L247" s="9"/>
    </row>
    <row r="248" spans="1:14" x14ac:dyDescent="0.25">
      <c r="A248" s="68" t="s">
        <v>17</v>
      </c>
      <c r="B248" s="72"/>
      <c r="C248" s="12">
        <v>6043</v>
      </c>
      <c r="D248" s="12">
        <v>5946.3120000000008</v>
      </c>
      <c r="E248" s="12">
        <v>5994.6559999999999</v>
      </c>
      <c r="F248" s="12">
        <v>5994.6559999999999</v>
      </c>
      <c r="G248" s="12">
        <v>5994.6559999999999</v>
      </c>
      <c r="H248" s="26">
        <v>6825.37</v>
      </c>
      <c r="I248" s="26">
        <v>6825.37</v>
      </c>
      <c r="J248" s="26">
        <v>6825.37</v>
      </c>
      <c r="K248" s="26">
        <v>6825.37</v>
      </c>
      <c r="L248" s="12"/>
    </row>
    <row r="249" spans="1:14" x14ac:dyDescent="0.25">
      <c r="A249" s="68" t="s">
        <v>18</v>
      </c>
      <c r="B249" s="72"/>
      <c r="C249" s="12"/>
      <c r="D249" s="12"/>
      <c r="E249" s="12">
        <f>E248+C252</f>
        <v>5753.6559999999999</v>
      </c>
      <c r="F249" s="12">
        <f>F248+D252</f>
        <v>5441.9680000000008</v>
      </c>
      <c r="G249" s="12">
        <f>G248-355.34</f>
        <v>5639.3159999999998</v>
      </c>
      <c r="H249" s="26">
        <f>H248-538.5</f>
        <v>6286.87</v>
      </c>
      <c r="I249" s="26">
        <f>I248-538.5</f>
        <v>6286.87</v>
      </c>
      <c r="J249" s="26">
        <f>J248-538.5</f>
        <v>6286.87</v>
      </c>
      <c r="K249" s="26">
        <f t="shared" ref="K249" si="13">K248-538.5</f>
        <v>6286.87</v>
      </c>
      <c r="L249" s="12"/>
    </row>
    <row r="250" spans="1:14" x14ac:dyDescent="0.25">
      <c r="A250" s="68" t="s">
        <v>19</v>
      </c>
      <c r="B250" s="72"/>
      <c r="C250" s="12"/>
      <c r="D250" s="12"/>
      <c r="E250" s="12" t="s">
        <v>714</v>
      </c>
      <c r="F250" s="12" t="s">
        <v>715</v>
      </c>
      <c r="G250" s="26" t="s">
        <v>934</v>
      </c>
      <c r="H250" s="683" t="s">
        <v>1269</v>
      </c>
      <c r="I250" s="26" t="s">
        <v>1270</v>
      </c>
      <c r="J250" s="26" t="s">
        <v>1271</v>
      </c>
      <c r="K250" s="26" t="s">
        <v>1272</v>
      </c>
      <c r="L250" s="12"/>
      <c r="M250" s="267"/>
    </row>
    <row r="251" spans="1:14" x14ac:dyDescent="0.25">
      <c r="A251" s="68" t="s">
        <v>20</v>
      </c>
      <c r="B251" s="72"/>
      <c r="C251" s="12">
        <v>6284</v>
      </c>
      <c r="D251" s="12">
        <v>6499</v>
      </c>
      <c r="E251" s="12">
        <v>7341</v>
      </c>
      <c r="F251" s="12">
        <v>6364</v>
      </c>
      <c r="G251" s="12">
        <v>3647.55</v>
      </c>
      <c r="H251" s="12"/>
      <c r="I251" s="12"/>
      <c r="J251" s="12"/>
      <c r="K251" s="12"/>
      <c r="L251" s="12"/>
    </row>
    <row r="252" spans="1:14" x14ac:dyDescent="0.25">
      <c r="A252" s="68" t="s">
        <v>21</v>
      </c>
      <c r="B252" s="101"/>
      <c r="C252" s="12">
        <f>C248-C251</f>
        <v>-241</v>
      </c>
      <c r="D252" s="12">
        <f>D248-D251</f>
        <v>-552.68799999999919</v>
      </c>
      <c r="E252" s="12">
        <f>E249-E251</f>
        <v>-1587.3440000000001</v>
      </c>
      <c r="F252" s="12">
        <f>F249-F251</f>
        <v>-922.03199999999924</v>
      </c>
      <c r="G252" s="12">
        <f>G249-G251</f>
        <v>1991.7659999999996</v>
      </c>
      <c r="H252" s="12"/>
      <c r="I252" s="12"/>
      <c r="J252" s="12"/>
      <c r="K252" s="12"/>
      <c r="L252" s="12"/>
    </row>
    <row r="253" spans="1:14" x14ac:dyDescent="0.25">
      <c r="A253" s="73" t="s">
        <v>22</v>
      </c>
      <c r="B253" s="102"/>
      <c r="C253" s="17">
        <v>2022</v>
      </c>
      <c r="D253" s="17">
        <v>2023</v>
      </c>
      <c r="E253" s="17">
        <v>2024</v>
      </c>
      <c r="F253" s="17">
        <v>2025</v>
      </c>
      <c r="G253" s="17">
        <v>2026</v>
      </c>
      <c r="H253" s="17">
        <v>2027</v>
      </c>
      <c r="I253" s="17">
        <v>2028</v>
      </c>
      <c r="J253" s="17">
        <v>2029</v>
      </c>
      <c r="K253" s="17">
        <v>2030</v>
      </c>
      <c r="L253" s="17"/>
    </row>
    <row r="254" spans="1:14" ht="12.75" customHeight="1" x14ac:dyDescent="0.25">
      <c r="A254" s="593" t="s">
        <v>23</v>
      </c>
      <c r="B254" s="594"/>
      <c r="C254" s="594"/>
      <c r="D254" s="594"/>
      <c r="E254" s="594"/>
      <c r="F254" s="594"/>
      <c r="G254" s="594"/>
      <c r="H254" s="594"/>
      <c r="I254" s="594"/>
      <c r="J254" s="594"/>
      <c r="K254" s="595"/>
      <c r="L254" s="595"/>
    </row>
    <row r="255" spans="1:14" ht="12.75" customHeight="1" x14ac:dyDescent="0.25">
      <c r="A255" s="597" t="s">
        <v>654</v>
      </c>
      <c r="B255" s="594"/>
      <c r="C255" s="594"/>
      <c r="D255" s="594"/>
      <c r="E255" s="594"/>
      <c r="F255" s="594"/>
      <c r="G255" s="256"/>
      <c r="H255" s="256"/>
      <c r="I255" s="19"/>
      <c r="J255" s="19"/>
      <c r="K255" s="19"/>
      <c r="L255" s="63"/>
    </row>
    <row r="256" spans="1:14" ht="12.75" customHeight="1" x14ac:dyDescent="0.25">
      <c r="A256" s="684" t="s">
        <v>1278</v>
      </c>
      <c r="B256" s="596"/>
      <c r="C256" s="596"/>
      <c r="D256" s="596"/>
      <c r="E256" s="596"/>
      <c r="F256" s="596"/>
      <c r="G256" s="118"/>
      <c r="H256" s="118"/>
      <c r="L256" s="64"/>
    </row>
    <row r="257" spans="1:12" ht="12.75" customHeight="1" x14ac:dyDescent="0.25">
      <c r="A257" s="684" t="s">
        <v>1279</v>
      </c>
      <c r="B257" s="596"/>
      <c r="C257" s="596"/>
      <c r="D257" s="596"/>
      <c r="E257" s="596"/>
      <c r="F257" s="596"/>
      <c r="G257" s="118"/>
      <c r="H257" s="118"/>
      <c r="L257" s="64"/>
    </row>
    <row r="258" spans="1:12" ht="12.75" customHeight="1" x14ac:dyDescent="0.25">
      <c r="A258" s="684" t="s">
        <v>1273</v>
      </c>
      <c r="B258" s="596"/>
      <c r="C258" s="596"/>
      <c r="D258" s="596"/>
      <c r="E258" s="596"/>
      <c r="F258" s="596"/>
      <c r="G258" s="118"/>
      <c r="H258" s="118"/>
      <c r="L258" s="64"/>
    </row>
    <row r="259" spans="1:12" ht="12.75" customHeight="1" x14ac:dyDescent="0.25">
      <c r="A259" s="684" t="s">
        <v>1274</v>
      </c>
      <c r="B259" s="596"/>
      <c r="C259" s="596"/>
      <c r="D259" s="596"/>
      <c r="E259" s="596"/>
      <c r="F259" s="596"/>
      <c r="G259" s="118"/>
      <c r="H259" s="118"/>
      <c r="L259" s="64"/>
    </row>
    <row r="260" spans="1:12" ht="12.75" customHeight="1" x14ac:dyDescent="0.25">
      <c r="A260" s="684" t="s">
        <v>1275</v>
      </c>
      <c r="B260" s="596"/>
      <c r="C260" s="596"/>
      <c r="D260" s="596"/>
      <c r="E260" s="596"/>
      <c r="F260" s="596"/>
      <c r="G260" s="118"/>
      <c r="H260" s="118"/>
      <c r="L260" s="64"/>
    </row>
    <row r="261" spans="1:12" ht="12.75" customHeight="1" x14ac:dyDescent="0.25">
      <c r="A261" s="684" t="s">
        <v>1276</v>
      </c>
      <c r="B261" s="596"/>
      <c r="C261" s="596"/>
      <c r="D261" s="596"/>
      <c r="E261" s="596"/>
      <c r="F261" s="596"/>
      <c r="G261" s="118"/>
      <c r="H261" s="118"/>
      <c r="L261" s="64"/>
    </row>
    <row r="262" spans="1:12" ht="12.75" customHeight="1" x14ac:dyDescent="0.25">
      <c r="A262" s="685" t="s">
        <v>1277</v>
      </c>
      <c r="B262" s="119"/>
      <c r="C262" s="119"/>
      <c r="D262" s="119"/>
      <c r="E262" s="119"/>
      <c r="F262" s="120"/>
      <c r="G262" s="120"/>
      <c r="H262" s="120"/>
      <c r="I262" s="34"/>
      <c r="J262" s="34"/>
      <c r="K262" s="34"/>
      <c r="L262" s="48"/>
    </row>
    <row r="263" spans="1:12" x14ac:dyDescent="0.25">
      <c r="C263" s="121"/>
    </row>
    <row r="264" spans="1:12" x14ac:dyDescent="0.25">
      <c r="A264" s="98" t="s">
        <v>14</v>
      </c>
      <c r="B264" s="66" t="s">
        <v>74</v>
      </c>
      <c r="C264" s="67" t="s">
        <v>15</v>
      </c>
      <c r="D264" s="8"/>
      <c r="E264" s="8"/>
      <c r="F264" s="8"/>
    </row>
    <row r="265" spans="1:12" x14ac:dyDescent="0.25">
      <c r="A265" s="92" t="s">
        <v>16</v>
      </c>
      <c r="B265" s="122">
        <v>2014</v>
      </c>
      <c r="C265" s="122">
        <v>2015</v>
      </c>
      <c r="D265" s="123">
        <v>2016</v>
      </c>
      <c r="E265" s="122">
        <v>2017</v>
      </c>
      <c r="F265" s="124">
        <v>2018</v>
      </c>
      <c r="G265" s="125">
        <v>2019</v>
      </c>
      <c r="H265" s="125">
        <v>2020</v>
      </c>
      <c r="I265" s="125">
        <v>2021</v>
      </c>
      <c r="J265" s="125">
        <v>2022</v>
      </c>
      <c r="K265" s="126">
        <v>2023</v>
      </c>
      <c r="L265" s="126">
        <v>2024</v>
      </c>
    </row>
    <row r="266" spans="1:12" x14ac:dyDescent="0.25">
      <c r="A266" s="127" t="s">
        <v>17</v>
      </c>
      <c r="B266" s="128">
        <v>190</v>
      </c>
      <c r="C266" s="128">
        <v>190</v>
      </c>
      <c r="D266" s="128">
        <v>190</v>
      </c>
      <c r="E266" s="128">
        <v>190</v>
      </c>
      <c r="F266" s="128">
        <v>190</v>
      </c>
      <c r="G266" s="129">
        <v>190</v>
      </c>
      <c r="H266" s="129">
        <v>159.80000000000001</v>
      </c>
      <c r="I266" s="129">
        <v>159.80000000000001</v>
      </c>
    </row>
    <row r="267" spans="1:12" x14ac:dyDescent="0.25">
      <c r="A267" s="127" t="s">
        <v>18</v>
      </c>
      <c r="B267" s="128"/>
      <c r="C267" s="128"/>
      <c r="D267" s="128"/>
      <c r="E267" s="128"/>
      <c r="F267" s="128"/>
      <c r="G267" s="129"/>
      <c r="H267" s="129"/>
      <c r="I267" s="129"/>
      <c r="J267" s="129">
        <v>159.80000000000001</v>
      </c>
      <c r="K267" s="90">
        <v>159.80000000000001</v>
      </c>
      <c r="L267" s="90">
        <v>159.80000000000001</v>
      </c>
    </row>
    <row r="268" spans="1:12" x14ac:dyDescent="0.25">
      <c r="A268" s="127" t="s">
        <v>19</v>
      </c>
      <c r="B268" s="128"/>
      <c r="C268" s="128"/>
      <c r="D268" s="128"/>
      <c r="E268" s="128"/>
      <c r="F268" s="128"/>
      <c r="G268" s="129"/>
      <c r="H268" s="129"/>
      <c r="I268" s="129"/>
      <c r="J268" s="129"/>
      <c r="K268" s="90"/>
      <c r="L268" s="90"/>
    </row>
    <row r="269" spans="1:12" x14ac:dyDescent="0.25">
      <c r="A269" s="127" t="s">
        <v>20</v>
      </c>
      <c r="B269" s="128">
        <v>104.95522</v>
      </c>
      <c r="C269" s="128">
        <v>89.182190000000006</v>
      </c>
      <c r="D269" s="128">
        <v>79.192750000000004</v>
      </c>
      <c r="E269" s="130">
        <v>64.003107999999997</v>
      </c>
      <c r="F269" s="128">
        <v>37</v>
      </c>
      <c r="G269" s="129">
        <v>19.91</v>
      </c>
      <c r="H269" s="129">
        <v>13</v>
      </c>
      <c r="I269" s="129">
        <v>2</v>
      </c>
      <c r="J269" s="129">
        <v>3</v>
      </c>
      <c r="K269" s="90">
        <v>5</v>
      </c>
      <c r="L269" s="90">
        <v>3.04</v>
      </c>
    </row>
    <row r="270" spans="1:12" x14ac:dyDescent="0.25">
      <c r="A270" s="127" t="s">
        <v>21</v>
      </c>
      <c r="B270" s="131"/>
      <c r="C270" s="131"/>
      <c r="D270" s="131"/>
      <c r="E270" s="131"/>
      <c r="F270" s="131"/>
      <c r="G270" s="90"/>
      <c r="H270" s="90"/>
      <c r="I270" s="90"/>
      <c r="J270" s="129">
        <f>J268-J269</f>
        <v>-3</v>
      </c>
      <c r="K270" s="129">
        <f>K268-K269</f>
        <v>-5</v>
      </c>
      <c r="L270" s="129">
        <f>L268-L269</f>
        <v>-3.04</v>
      </c>
    </row>
    <row r="271" spans="1:12" x14ac:dyDescent="0.25">
      <c r="A271" s="127" t="s">
        <v>22</v>
      </c>
      <c r="B271" s="132"/>
      <c r="C271" s="132"/>
      <c r="D271" s="132"/>
      <c r="E271" s="132"/>
      <c r="F271" s="132"/>
      <c r="G271" s="90"/>
      <c r="H271" s="90"/>
      <c r="I271" s="90"/>
      <c r="J271" s="90"/>
      <c r="K271" s="90"/>
      <c r="L271" s="90"/>
    </row>
    <row r="272" spans="1:12" ht="36" customHeight="1" x14ac:dyDescent="0.25">
      <c r="A272" s="725" t="s">
        <v>323</v>
      </c>
      <c r="B272" s="726"/>
      <c r="C272" s="726"/>
      <c r="D272" s="726"/>
      <c r="E272" s="726"/>
      <c r="F272" s="726"/>
      <c r="G272" s="726"/>
      <c r="H272" s="726"/>
      <c r="I272" s="726"/>
      <c r="J272" s="726"/>
      <c r="K272" s="726"/>
      <c r="L272" s="727"/>
    </row>
    <row r="273" spans="1:12" x14ac:dyDescent="0.25">
      <c r="C273" s="121"/>
    </row>
    <row r="274" spans="1:12" x14ac:dyDescent="0.25">
      <c r="A274" s="98" t="s">
        <v>14</v>
      </c>
      <c r="B274" s="66" t="s">
        <v>79</v>
      </c>
      <c r="C274" s="67" t="s">
        <v>15</v>
      </c>
      <c r="D274" s="8"/>
      <c r="E274" s="8"/>
      <c r="F274" s="8"/>
    </row>
    <row r="275" spans="1:12" x14ac:dyDescent="0.25">
      <c r="A275" s="68" t="s">
        <v>16</v>
      </c>
      <c r="B275" s="67">
        <v>2014</v>
      </c>
      <c r="C275" s="67">
        <v>2015</v>
      </c>
      <c r="D275" s="70">
        <v>2016</v>
      </c>
      <c r="E275" s="67">
        <v>2017</v>
      </c>
      <c r="F275" s="66">
        <v>2018</v>
      </c>
      <c r="G275" s="9">
        <v>2019</v>
      </c>
      <c r="H275" s="9">
        <v>2020</v>
      </c>
      <c r="I275" s="9">
        <v>2021</v>
      </c>
      <c r="J275" s="9">
        <v>2022</v>
      </c>
      <c r="K275" s="126">
        <v>2023</v>
      </c>
      <c r="L275" s="126">
        <v>2024</v>
      </c>
    </row>
    <row r="276" spans="1:12" x14ac:dyDescent="0.25">
      <c r="A276" s="68" t="s">
        <v>17</v>
      </c>
      <c r="B276" s="101">
        <v>50</v>
      </c>
      <c r="C276" s="101">
        <v>50</v>
      </c>
      <c r="D276" s="101">
        <v>50</v>
      </c>
      <c r="E276" s="101">
        <v>50</v>
      </c>
      <c r="F276" s="133">
        <v>50</v>
      </c>
      <c r="G276" s="12">
        <v>50</v>
      </c>
      <c r="H276" s="12">
        <v>50</v>
      </c>
      <c r="I276" s="12">
        <v>50</v>
      </c>
      <c r="J276" s="12">
        <v>50</v>
      </c>
      <c r="K276" s="90">
        <v>50</v>
      </c>
      <c r="L276" s="90">
        <v>50</v>
      </c>
    </row>
    <row r="277" spans="1:12" x14ac:dyDescent="0.25">
      <c r="A277" s="68" t="s">
        <v>18</v>
      </c>
      <c r="B277" s="101"/>
      <c r="C277" s="101"/>
      <c r="D277" s="101"/>
      <c r="E277" s="101"/>
      <c r="F277" s="133"/>
      <c r="G277" s="11"/>
      <c r="H277" s="12"/>
      <c r="I277" s="12"/>
      <c r="J277" s="12"/>
      <c r="K277" s="90"/>
      <c r="L277" s="90"/>
    </row>
    <row r="278" spans="1:12" x14ac:dyDescent="0.25">
      <c r="A278" s="68" t="s">
        <v>19</v>
      </c>
      <c r="B278" s="101"/>
      <c r="C278" s="101"/>
      <c r="D278" s="101"/>
      <c r="E278" s="101"/>
      <c r="F278" s="133"/>
      <c r="G278" s="11"/>
      <c r="H278" s="12"/>
      <c r="I278" s="12"/>
      <c r="J278" s="12"/>
      <c r="K278" s="90"/>
      <c r="L278" s="90"/>
    </row>
    <row r="279" spans="1:12" x14ac:dyDescent="0.25">
      <c r="A279" s="68" t="s">
        <v>20</v>
      </c>
      <c r="B279" s="101">
        <v>102.32362999999999</v>
      </c>
      <c r="C279" s="101">
        <v>121.20529999999999</v>
      </c>
      <c r="D279" s="101">
        <v>66.934179999999998</v>
      </c>
      <c r="E279" s="101">
        <v>46.581100000000006</v>
      </c>
      <c r="F279" s="101">
        <v>62</v>
      </c>
      <c r="G279" s="11">
        <v>76.31</v>
      </c>
      <c r="H279" s="12">
        <v>46</v>
      </c>
      <c r="I279" s="12">
        <v>0</v>
      </c>
      <c r="J279" s="12">
        <v>0</v>
      </c>
      <c r="K279" s="90">
        <v>17</v>
      </c>
      <c r="L279" s="90">
        <v>1.36</v>
      </c>
    </row>
    <row r="280" spans="1:12" x14ac:dyDescent="0.25">
      <c r="A280" s="68" t="s">
        <v>21</v>
      </c>
      <c r="B280" s="101"/>
      <c r="C280" s="101"/>
      <c r="D280" s="101"/>
      <c r="E280" s="101"/>
      <c r="F280" s="133"/>
      <c r="G280" s="11"/>
      <c r="H280" s="12"/>
      <c r="I280" s="12"/>
      <c r="J280" s="12"/>
      <c r="K280" s="90">
        <v>33</v>
      </c>
      <c r="L280" s="90">
        <v>48.64</v>
      </c>
    </row>
    <row r="281" spans="1:12" x14ac:dyDescent="0.25">
      <c r="A281" s="68" t="s">
        <v>22</v>
      </c>
      <c r="B281" s="69"/>
      <c r="C281" s="69"/>
      <c r="D281" s="134"/>
      <c r="E281" s="69"/>
      <c r="F281" s="135"/>
      <c r="G281" s="11"/>
      <c r="H281" s="12"/>
      <c r="I281" s="12"/>
      <c r="J281" s="12"/>
      <c r="K281" s="90"/>
      <c r="L281" s="90"/>
    </row>
    <row r="282" spans="1:12" x14ac:dyDescent="0.25">
      <c r="A282" s="709" t="s">
        <v>23</v>
      </c>
      <c r="B282" s="709"/>
      <c r="C282" s="709"/>
      <c r="D282" s="709"/>
      <c r="E282" s="709"/>
      <c r="F282" s="709"/>
      <c r="G282" s="11"/>
      <c r="H282" s="12"/>
      <c r="I282" s="12"/>
      <c r="J282" s="12"/>
      <c r="K282" s="90"/>
      <c r="L282" s="90"/>
    </row>
    <row r="283" spans="1:12" ht="38.25" customHeight="1" x14ac:dyDescent="0.25">
      <c r="A283" s="725" t="s">
        <v>323</v>
      </c>
      <c r="B283" s="726"/>
      <c r="C283" s="726"/>
      <c r="D283" s="726"/>
      <c r="E283" s="726"/>
      <c r="F283" s="726"/>
      <c r="G283" s="726"/>
      <c r="H283" s="726"/>
      <c r="I283" s="726"/>
      <c r="J283" s="726"/>
      <c r="K283" s="726"/>
      <c r="L283" s="727"/>
    </row>
    <row r="284" spans="1:12" ht="38.25" customHeight="1" x14ac:dyDescent="0.25">
      <c r="A284" s="136"/>
      <c r="B284" s="136"/>
      <c r="C284" s="136"/>
      <c r="D284" s="136"/>
      <c r="E284" s="136"/>
      <c r="F284" s="136"/>
      <c r="G284" s="136"/>
      <c r="H284" s="136"/>
      <c r="I284" s="136"/>
      <c r="J284" s="136"/>
      <c r="K284" s="136"/>
      <c r="L284" s="136"/>
    </row>
    <row r="285" spans="1:12" ht="16.2" customHeight="1" x14ac:dyDescent="0.25">
      <c r="A285" s="98" t="s">
        <v>14</v>
      </c>
      <c r="B285" s="66" t="s">
        <v>1280</v>
      </c>
      <c r="C285" s="67" t="s">
        <v>15</v>
      </c>
      <c r="D285" s="8"/>
      <c r="E285" s="136"/>
      <c r="F285" s="136"/>
      <c r="G285" s="136"/>
      <c r="H285" s="136"/>
      <c r="I285" s="136"/>
      <c r="J285" s="136"/>
      <c r="K285" s="136"/>
      <c r="L285" s="136"/>
    </row>
    <row r="286" spans="1:12" ht="16.2" customHeight="1" x14ac:dyDescent="0.25">
      <c r="A286" s="68" t="s">
        <v>16</v>
      </c>
      <c r="B286" s="67">
        <v>2024</v>
      </c>
      <c r="C286" s="67">
        <v>2025</v>
      </c>
      <c r="D286" s="598">
        <v>2026</v>
      </c>
      <c r="E286" s="136"/>
      <c r="F286" s="136"/>
      <c r="G286" s="136"/>
      <c r="H286" s="136"/>
      <c r="I286" s="136"/>
      <c r="J286" s="136"/>
      <c r="K286" s="136"/>
      <c r="L286" s="136"/>
    </row>
    <row r="287" spans="1:12" ht="16.2" customHeight="1" x14ac:dyDescent="0.25">
      <c r="A287" s="686" t="s">
        <v>17</v>
      </c>
      <c r="B287" s="690">
        <v>3481</v>
      </c>
      <c r="C287" s="690">
        <v>3481</v>
      </c>
      <c r="D287" s="690">
        <v>3481</v>
      </c>
      <c r="E287" s="136"/>
      <c r="F287" s="136"/>
      <c r="G287" s="136"/>
      <c r="H287" s="136"/>
      <c r="I287" s="136"/>
      <c r="J287" s="136"/>
      <c r="K287" s="136"/>
      <c r="L287" s="136"/>
    </row>
    <row r="288" spans="1:12" ht="16.2" customHeight="1" x14ac:dyDescent="0.25">
      <c r="A288" s="686" t="s">
        <v>18</v>
      </c>
      <c r="B288" s="690"/>
      <c r="C288" s="690"/>
      <c r="D288" s="690"/>
      <c r="E288" s="136"/>
      <c r="F288" s="136"/>
      <c r="G288" s="136"/>
      <c r="H288" s="136"/>
      <c r="I288" s="136"/>
      <c r="J288" s="136"/>
      <c r="K288" s="136"/>
      <c r="L288" s="136"/>
    </row>
    <row r="289" spans="1:12" ht="16.2" customHeight="1" x14ac:dyDescent="0.25">
      <c r="A289" s="686" t="s">
        <v>19</v>
      </c>
      <c r="B289" s="690"/>
      <c r="C289" s="690"/>
      <c r="D289" s="690"/>
      <c r="E289" s="136"/>
      <c r="F289" s="136"/>
      <c r="G289" s="136"/>
      <c r="H289" s="136"/>
      <c r="I289" s="136"/>
      <c r="J289" s="136"/>
      <c r="K289" s="136"/>
      <c r="L289" s="136"/>
    </row>
    <row r="290" spans="1:12" ht="16.2" customHeight="1" x14ac:dyDescent="0.25">
      <c r="A290" s="686" t="s">
        <v>20</v>
      </c>
      <c r="B290" s="690">
        <v>2585.9656100000029</v>
      </c>
      <c r="C290" s="690"/>
      <c r="D290" s="690"/>
      <c r="E290" s="136"/>
      <c r="F290" s="136"/>
      <c r="G290" s="136"/>
      <c r="H290" s="136"/>
      <c r="I290" s="136"/>
      <c r="J290" s="136"/>
      <c r="K290" s="136"/>
      <c r="L290" s="136"/>
    </row>
    <row r="291" spans="1:12" ht="16.2" customHeight="1" x14ac:dyDescent="0.25">
      <c r="A291" s="686" t="s">
        <v>21</v>
      </c>
      <c r="B291" s="690">
        <v>895.03438999999707</v>
      </c>
      <c r="C291" s="690"/>
      <c r="D291" s="690"/>
      <c r="E291" s="136"/>
      <c r="F291" s="136"/>
      <c r="G291" s="136"/>
      <c r="H291" s="136"/>
      <c r="I291" s="136"/>
      <c r="J291" s="136"/>
      <c r="K291" s="136"/>
      <c r="L291" s="136"/>
    </row>
    <row r="292" spans="1:12" ht="16.2" customHeight="1" x14ac:dyDescent="0.25">
      <c r="A292" s="686" t="s">
        <v>22</v>
      </c>
      <c r="B292" s="691">
        <v>2025</v>
      </c>
      <c r="C292" s="691">
        <v>2026</v>
      </c>
      <c r="D292" s="691">
        <v>2027</v>
      </c>
      <c r="E292" s="136"/>
      <c r="F292" s="136"/>
      <c r="G292" s="136"/>
      <c r="H292" s="136"/>
      <c r="I292" s="136"/>
      <c r="J292" s="136"/>
      <c r="K292" s="136"/>
      <c r="L292" s="136"/>
    </row>
    <row r="293" spans="1:12" ht="16.2" customHeight="1" x14ac:dyDescent="0.25">
      <c r="A293" s="434" t="s">
        <v>23</v>
      </c>
      <c r="B293" s="435"/>
      <c r="C293" s="435"/>
      <c r="D293" s="687"/>
      <c r="E293" s="80"/>
      <c r="F293" s="80"/>
      <c r="G293" s="80"/>
      <c r="H293" s="80"/>
      <c r="I293" s="80"/>
      <c r="J293" s="80"/>
      <c r="K293" s="80"/>
      <c r="L293" s="80"/>
    </row>
    <row r="294" spans="1:12" ht="16.2" customHeight="1" x14ac:dyDescent="0.25">
      <c r="A294" s="689" t="s">
        <v>1281</v>
      </c>
      <c r="B294" s="688"/>
      <c r="C294" s="435"/>
      <c r="D294" s="687"/>
      <c r="E294" s="80"/>
      <c r="F294" s="80"/>
      <c r="G294" s="80"/>
      <c r="H294" s="80"/>
      <c r="I294" s="80"/>
      <c r="J294" s="80"/>
      <c r="K294" s="80"/>
      <c r="L294" s="80"/>
    </row>
    <row r="295" spans="1:12" ht="16.2" customHeight="1" x14ac:dyDescent="0.25">
      <c r="A295" s="136"/>
      <c r="B295" s="136"/>
      <c r="C295" s="136"/>
      <c r="D295" s="136"/>
      <c r="E295" s="136"/>
      <c r="F295" s="136"/>
      <c r="G295" s="136"/>
      <c r="H295" s="136"/>
      <c r="I295" s="136"/>
      <c r="J295" s="136"/>
      <c r="K295" s="136"/>
      <c r="L295" s="136"/>
    </row>
    <row r="296" spans="1:12" ht="16.2" customHeight="1" x14ac:dyDescent="0.25">
      <c r="A296" s="98" t="s">
        <v>14</v>
      </c>
      <c r="B296" s="66" t="s">
        <v>1144</v>
      </c>
      <c r="C296" s="67" t="s">
        <v>15</v>
      </c>
      <c r="D296" s="8"/>
      <c r="E296" s="8"/>
      <c r="F296" s="8"/>
      <c r="G296" s="136"/>
      <c r="H296" s="136"/>
      <c r="I296" s="136"/>
      <c r="J296" s="136"/>
      <c r="K296" s="136"/>
      <c r="L296" s="136"/>
    </row>
    <row r="297" spans="1:12" ht="16.2" customHeight="1" x14ac:dyDescent="0.25">
      <c r="A297" s="68" t="s">
        <v>16</v>
      </c>
      <c r="B297" s="67">
        <v>2023</v>
      </c>
      <c r="C297" s="67">
        <v>2024</v>
      </c>
      <c r="D297" s="598">
        <v>2025</v>
      </c>
      <c r="E297" s="136"/>
      <c r="F297" s="136"/>
      <c r="G297" s="136"/>
      <c r="H297" s="136"/>
      <c r="I297" s="136"/>
      <c r="J297" s="136"/>
    </row>
    <row r="298" spans="1:12" ht="16.2" customHeight="1" x14ac:dyDescent="0.25">
      <c r="A298" s="68" t="s">
        <v>17</v>
      </c>
      <c r="B298" s="101">
        <v>208</v>
      </c>
      <c r="C298" s="101">
        <v>208</v>
      </c>
      <c r="D298" s="101">
        <v>208</v>
      </c>
      <c r="E298" s="136"/>
      <c r="F298" s="136"/>
      <c r="G298" s="136"/>
      <c r="H298" s="136"/>
      <c r="I298" s="136"/>
      <c r="J298" s="136"/>
    </row>
    <row r="299" spans="1:12" ht="16.2" customHeight="1" x14ac:dyDescent="0.25">
      <c r="A299" s="68" t="s">
        <v>18</v>
      </c>
      <c r="B299" s="101"/>
      <c r="C299" s="101">
        <v>208</v>
      </c>
      <c r="D299" s="101">
        <v>208</v>
      </c>
      <c r="E299" s="136"/>
      <c r="F299" s="136"/>
      <c r="G299" s="136"/>
      <c r="H299" s="136"/>
      <c r="I299" s="136"/>
      <c r="J299" s="136"/>
    </row>
    <row r="300" spans="1:12" ht="16.2" customHeight="1" x14ac:dyDescent="0.25">
      <c r="A300" s="68" t="s">
        <v>19</v>
      </c>
      <c r="B300" s="101"/>
      <c r="C300" s="101"/>
      <c r="D300" s="101"/>
      <c r="E300" s="136"/>
      <c r="F300" s="136"/>
      <c r="G300" s="136"/>
      <c r="H300" s="136"/>
      <c r="I300" s="136"/>
      <c r="J300" s="136"/>
    </row>
    <row r="301" spans="1:12" ht="16.2" customHeight="1" x14ac:dyDescent="0.25">
      <c r="A301" s="68" t="s">
        <v>20</v>
      </c>
      <c r="B301" s="101">
        <v>121</v>
      </c>
      <c r="C301" s="101">
        <v>30.579499999999999</v>
      </c>
      <c r="D301" s="101"/>
      <c r="E301" s="136"/>
      <c r="F301" s="136"/>
      <c r="G301" s="136"/>
      <c r="H301" s="136"/>
      <c r="I301" s="136"/>
      <c r="J301" s="136"/>
    </row>
    <row r="302" spans="1:12" ht="16.2" customHeight="1" x14ac:dyDescent="0.25">
      <c r="A302" s="68" t="s">
        <v>21</v>
      </c>
      <c r="B302" s="101">
        <v>87</v>
      </c>
      <c r="C302" s="644">
        <f>C299-C301</f>
        <v>177.4205</v>
      </c>
      <c r="D302" s="101"/>
      <c r="E302" s="136"/>
      <c r="F302" s="136"/>
      <c r="G302" s="136"/>
      <c r="H302" s="136"/>
      <c r="I302" s="136"/>
      <c r="J302" s="136"/>
    </row>
    <row r="303" spans="1:12" ht="16.2" customHeight="1" x14ac:dyDescent="0.25">
      <c r="A303" s="92" t="s">
        <v>22</v>
      </c>
      <c r="B303" s="270">
        <v>2025</v>
      </c>
      <c r="C303" s="270">
        <v>2026</v>
      </c>
      <c r="D303" s="270">
        <v>2027</v>
      </c>
      <c r="E303" s="136"/>
      <c r="F303" s="136"/>
      <c r="G303" s="136"/>
      <c r="H303" s="136"/>
      <c r="I303" s="136"/>
      <c r="J303" s="136"/>
    </row>
    <row r="304" spans="1:12" x14ac:dyDescent="0.25">
      <c r="A304" s="599" t="s">
        <v>23</v>
      </c>
      <c r="B304" s="480"/>
      <c r="C304" s="480"/>
      <c r="D304" s="600"/>
      <c r="E304" s="8"/>
      <c r="F304" s="8"/>
    </row>
    <row r="305" spans="1:14" x14ac:dyDescent="0.25">
      <c r="A305" s="8"/>
      <c r="B305" s="8"/>
      <c r="C305" s="8"/>
      <c r="D305" s="8"/>
      <c r="E305" s="8"/>
      <c r="F305" s="8"/>
    </row>
    <row r="306" spans="1:14" x14ac:dyDescent="0.25">
      <c r="A306" s="10" t="s">
        <v>12</v>
      </c>
      <c r="B306" s="7" t="s">
        <v>171</v>
      </c>
    </row>
    <row r="307" spans="1:14" x14ac:dyDescent="0.25">
      <c r="A307" s="41" t="s">
        <v>14</v>
      </c>
      <c r="B307" s="24" t="s">
        <v>623</v>
      </c>
      <c r="C307" s="9" t="s">
        <v>15</v>
      </c>
    </row>
    <row r="308" spans="1:14" x14ac:dyDescent="0.25">
      <c r="A308" s="9" t="s">
        <v>16</v>
      </c>
      <c r="B308" s="9"/>
      <c r="C308" s="9">
        <v>2016</v>
      </c>
      <c r="D308" s="9">
        <v>2017</v>
      </c>
      <c r="E308" s="9">
        <v>2018</v>
      </c>
      <c r="F308" s="9">
        <v>2019</v>
      </c>
      <c r="G308" s="9">
        <v>2020</v>
      </c>
      <c r="H308" s="9">
        <v>2021</v>
      </c>
      <c r="I308" s="9">
        <v>2022</v>
      </c>
      <c r="J308" s="9">
        <v>2023</v>
      </c>
      <c r="K308" s="9">
        <v>2024</v>
      </c>
      <c r="L308" s="9">
        <v>2025</v>
      </c>
    </row>
    <row r="309" spans="1:14" x14ac:dyDescent="0.25">
      <c r="A309" s="11" t="s">
        <v>17</v>
      </c>
      <c r="B309" s="11"/>
      <c r="C309" s="12">
        <v>1348</v>
      </c>
      <c r="D309" s="12">
        <v>1348</v>
      </c>
      <c r="E309" s="12">
        <v>1348</v>
      </c>
      <c r="F309" s="12">
        <v>1348</v>
      </c>
      <c r="G309" s="12">
        <v>1348</v>
      </c>
      <c r="H309" s="12">
        <v>1348</v>
      </c>
      <c r="I309" s="12">
        <v>1348</v>
      </c>
      <c r="J309" s="12">
        <v>1348</v>
      </c>
      <c r="K309" s="12">
        <v>1348</v>
      </c>
      <c r="L309" s="90">
        <v>558.65</v>
      </c>
    </row>
    <row r="310" spans="1:14" x14ac:dyDescent="0.25">
      <c r="A310" s="11" t="s">
        <v>18</v>
      </c>
      <c r="B310" s="11"/>
      <c r="C310" s="12">
        <v>2040.2</v>
      </c>
      <c r="D310" s="12">
        <v>2070.1999999999998</v>
      </c>
      <c r="E310" s="12">
        <v>2070.1999999999998</v>
      </c>
      <c r="F310" s="12">
        <v>2045.1999999999998</v>
      </c>
      <c r="G310" s="12">
        <f>G309*1.15+125+35+35+100</f>
        <v>1845.1999999999998</v>
      </c>
      <c r="H310" s="12">
        <f>H309+0.15*F309+150+35+35+200</f>
        <v>1970.2</v>
      </c>
      <c r="I310" s="12">
        <f>I309+150+35+35+250+202.2</f>
        <v>2020.2</v>
      </c>
      <c r="J310" s="12">
        <f>J309+125+35+35+327+202.2</f>
        <v>2072.1999999999998</v>
      </c>
      <c r="K310" s="12">
        <f>K309+125+35+35+280+202.2</f>
        <v>2025.2</v>
      </c>
      <c r="L310" s="90">
        <v>608.46400499999982</v>
      </c>
    </row>
    <row r="311" spans="1:14" x14ac:dyDescent="0.25">
      <c r="A311" s="11" t="s">
        <v>19</v>
      </c>
      <c r="B311" s="11"/>
      <c r="C311" s="12"/>
      <c r="D311" s="12"/>
      <c r="E311" s="12"/>
      <c r="F311" s="12"/>
      <c r="G311" s="12"/>
      <c r="H311" s="12"/>
      <c r="I311" s="12"/>
      <c r="J311" s="12"/>
      <c r="K311" s="12"/>
      <c r="L311" s="90"/>
    </row>
    <row r="312" spans="1:14" x14ac:dyDescent="0.25">
      <c r="A312" s="11" t="s">
        <v>20</v>
      </c>
      <c r="B312" s="11"/>
      <c r="C312" s="12">
        <v>1558.88</v>
      </c>
      <c r="D312" s="12">
        <v>1209.21</v>
      </c>
      <c r="E312" s="12">
        <v>786.81</v>
      </c>
      <c r="F312" s="12">
        <v>997.23400000000004</v>
      </c>
      <c r="G312" s="12">
        <v>1335.83</v>
      </c>
      <c r="H312" s="12">
        <v>1380.2959000000001</v>
      </c>
      <c r="I312" s="12">
        <v>1343.9679999999998</v>
      </c>
      <c r="J312" s="12">
        <v>1925.9659999999999</v>
      </c>
      <c r="K312" s="12">
        <v>1687.3495874040746</v>
      </c>
      <c r="L312" s="90"/>
    </row>
    <row r="313" spans="1:14" x14ac:dyDescent="0.25">
      <c r="A313" s="11" t="s">
        <v>21</v>
      </c>
      <c r="B313" s="11"/>
      <c r="C313" s="12">
        <v>481.32</v>
      </c>
      <c r="D313" s="12">
        <v>860.99</v>
      </c>
      <c r="E313" s="12">
        <v>1283.3900000000001</v>
      </c>
      <c r="F313" s="12">
        <v>1047.9659999999999</v>
      </c>
      <c r="G313" s="12">
        <f>G310-G312</f>
        <v>509.36999999999989</v>
      </c>
      <c r="H313" s="12">
        <f>H310-H312</f>
        <v>589.90409999999997</v>
      </c>
      <c r="I313" s="12">
        <f>I310-I312</f>
        <v>676.2320000000002</v>
      </c>
      <c r="J313" s="12">
        <f>J310-J312</f>
        <v>146.23399999999992</v>
      </c>
      <c r="K313" s="12">
        <f>K310-K312</f>
        <v>337.85041259592549</v>
      </c>
      <c r="L313" s="90"/>
    </row>
    <row r="314" spans="1:14" x14ac:dyDescent="0.25">
      <c r="A314" s="17" t="s">
        <v>22</v>
      </c>
      <c r="B314" s="17"/>
      <c r="C314" s="17">
        <v>2018</v>
      </c>
      <c r="D314" s="17">
        <v>2019</v>
      </c>
      <c r="E314" s="17">
        <v>2020</v>
      </c>
      <c r="F314" s="17">
        <v>2021</v>
      </c>
      <c r="G314" s="17">
        <v>2022</v>
      </c>
      <c r="H314" s="17">
        <v>2023</v>
      </c>
      <c r="I314" s="17">
        <v>2024</v>
      </c>
      <c r="J314" s="17">
        <v>2025</v>
      </c>
      <c r="K314" s="17">
        <v>2026</v>
      </c>
      <c r="L314" s="90">
        <v>2027</v>
      </c>
    </row>
    <row r="315" spans="1:14" x14ac:dyDescent="0.25">
      <c r="A315" s="137" t="s">
        <v>168</v>
      </c>
      <c r="B315" s="61"/>
      <c r="C315" s="61"/>
      <c r="D315" s="61"/>
      <c r="E315" s="61"/>
      <c r="F315" s="61"/>
      <c r="G315" s="61"/>
      <c r="H315" s="61"/>
      <c r="I315" s="61"/>
      <c r="J315" s="61"/>
      <c r="K315" s="53"/>
      <c r="L315" s="138"/>
      <c r="M315" s="49"/>
      <c r="N315" s="49"/>
    </row>
    <row r="316" spans="1:14" x14ac:dyDescent="0.25">
      <c r="A316" s="56" t="s">
        <v>169</v>
      </c>
      <c r="B316" s="49"/>
      <c r="C316" s="49"/>
      <c r="D316" s="49"/>
      <c r="E316" s="49"/>
      <c r="F316" s="49"/>
      <c r="G316" s="49"/>
      <c r="H316" s="49"/>
      <c r="I316" s="49"/>
      <c r="J316" s="49"/>
      <c r="K316" s="49"/>
      <c r="L316" s="138"/>
      <c r="M316" s="49"/>
      <c r="N316" s="49"/>
    </row>
    <row r="317" spans="1:14" x14ac:dyDescent="0.25">
      <c r="A317" s="56" t="s">
        <v>170</v>
      </c>
      <c r="B317" s="49"/>
      <c r="C317" s="49"/>
      <c r="D317" s="49"/>
      <c r="E317" s="49"/>
      <c r="F317" s="49"/>
      <c r="G317" s="49"/>
      <c r="H317" s="49"/>
      <c r="I317" s="49"/>
      <c r="J317" s="49"/>
      <c r="K317" s="49"/>
      <c r="L317" s="138"/>
      <c r="M317" s="49"/>
      <c r="N317" s="49"/>
    </row>
    <row r="318" spans="1:14" x14ac:dyDescent="0.25">
      <c r="A318" s="56" t="s">
        <v>390</v>
      </c>
      <c r="L318" s="64"/>
    </row>
    <row r="319" spans="1:14" x14ac:dyDescent="0.25">
      <c r="A319" s="56" t="s">
        <v>511</v>
      </c>
      <c r="L319" s="64"/>
    </row>
    <row r="320" spans="1:14" x14ac:dyDescent="0.25">
      <c r="A320" s="56" t="s">
        <v>512</v>
      </c>
      <c r="L320" s="64"/>
    </row>
    <row r="321" spans="1:13" x14ac:dyDescent="0.25">
      <c r="A321" s="56" t="s">
        <v>606</v>
      </c>
      <c r="L321" s="64"/>
    </row>
    <row r="322" spans="1:13" x14ac:dyDescent="0.25">
      <c r="A322" s="56" t="s">
        <v>768</v>
      </c>
      <c r="L322" s="64"/>
    </row>
    <row r="323" spans="1:13" x14ac:dyDescent="0.25">
      <c r="A323" s="49" t="s">
        <v>975</v>
      </c>
      <c r="L323" s="64"/>
    </row>
    <row r="324" spans="1:13" s="34" customFormat="1" x14ac:dyDescent="0.25">
      <c r="A324" s="139"/>
      <c r="L324" s="48"/>
    </row>
    <row r="326" spans="1:13" x14ac:dyDescent="0.25">
      <c r="A326" s="6" t="s">
        <v>14</v>
      </c>
      <c r="B326" s="140" t="s">
        <v>645</v>
      </c>
      <c r="C326" s="9" t="s">
        <v>15</v>
      </c>
      <c r="E326" s="141"/>
    </row>
    <row r="327" spans="1:13" x14ac:dyDescent="0.25">
      <c r="A327" s="10" t="s">
        <v>16</v>
      </c>
      <c r="B327" s="10"/>
      <c r="C327" s="142">
        <v>2015</v>
      </c>
      <c r="D327" s="142">
        <v>2016</v>
      </c>
      <c r="E327" s="142">
        <v>2017</v>
      </c>
      <c r="F327" s="142">
        <v>2018</v>
      </c>
      <c r="G327" s="142">
        <v>2019</v>
      </c>
      <c r="H327" s="142">
        <v>2020</v>
      </c>
      <c r="I327" s="142">
        <v>2021</v>
      </c>
      <c r="J327" s="142">
        <v>2022</v>
      </c>
      <c r="K327" s="142">
        <v>2023</v>
      </c>
      <c r="L327" s="142">
        <v>2024</v>
      </c>
      <c r="M327" s="90">
        <v>2025</v>
      </c>
    </row>
    <row r="328" spans="1:13" x14ac:dyDescent="0.25">
      <c r="A328" s="10" t="s">
        <v>17</v>
      </c>
      <c r="B328" s="10"/>
      <c r="C328" s="143">
        <v>452.47</v>
      </c>
      <c r="D328" s="143">
        <v>452.47</v>
      </c>
      <c r="E328" s="143">
        <v>452.47</v>
      </c>
      <c r="F328" s="143">
        <v>530.59</v>
      </c>
      <c r="G328" s="143">
        <v>530.59</v>
      </c>
      <c r="H328" s="143">
        <v>530.59</v>
      </c>
      <c r="I328" s="143">
        <v>530.59</v>
      </c>
      <c r="J328" s="143">
        <v>558.65</v>
      </c>
      <c r="K328" s="143">
        <v>558.65</v>
      </c>
      <c r="L328" s="143">
        <v>558.65</v>
      </c>
      <c r="M328" s="90">
        <v>558.65</v>
      </c>
    </row>
    <row r="329" spans="1:13" x14ac:dyDescent="0.25">
      <c r="A329" s="10" t="s">
        <v>18</v>
      </c>
      <c r="B329" s="10"/>
      <c r="C329" s="143">
        <f>C328+24.4+86.5</f>
        <v>563.37</v>
      </c>
      <c r="D329" s="143">
        <f>D328+C332+51.98</f>
        <v>534.48</v>
      </c>
      <c r="E329" s="143">
        <f>E328+0.1*D328+55.98</f>
        <v>553.697</v>
      </c>
      <c r="F329" s="143">
        <f>F328+0.1*E328+73.98</f>
        <v>649.81700000000001</v>
      </c>
      <c r="G329" s="143">
        <f>G328+0.1*F328+9.62+60.44</f>
        <v>653.70900000000006</v>
      </c>
      <c r="H329" s="143">
        <f>H328+G332+79.44+4.78</f>
        <v>635.64900000000011</v>
      </c>
      <c r="I329" s="143">
        <f>I328+H332+100.44+4.78</f>
        <v>679.85600000000022</v>
      </c>
      <c r="J329" s="143">
        <f>J328+I332+60+4.78</f>
        <v>674.75400000000013</v>
      </c>
      <c r="K329" s="143">
        <f>K328+J332+5.18+60</f>
        <v>663.4140000000001</v>
      </c>
      <c r="L329" s="143">
        <f>L328+60+K332</f>
        <v>671.75000000000011</v>
      </c>
      <c r="M329" s="129">
        <f>M328+L332+60</f>
        <v>668.50300500000003</v>
      </c>
    </row>
    <row r="330" spans="1:13" x14ac:dyDescent="0.25">
      <c r="A330" s="10" t="s">
        <v>19</v>
      </c>
      <c r="B330" s="10"/>
      <c r="C330" s="144"/>
      <c r="D330" s="144"/>
      <c r="E330" s="144"/>
      <c r="F330" s="12"/>
      <c r="G330" s="12"/>
      <c r="H330" s="12"/>
      <c r="I330" s="12"/>
      <c r="J330" s="12"/>
      <c r="K330" s="12"/>
      <c r="L330" s="12"/>
      <c r="M330" s="90"/>
    </row>
    <row r="331" spans="1:13" x14ac:dyDescent="0.25">
      <c r="A331" s="10" t="s">
        <v>20</v>
      </c>
      <c r="B331" s="10"/>
      <c r="C331" s="143">
        <v>533.34</v>
      </c>
      <c r="D331" s="143">
        <v>473.69</v>
      </c>
      <c r="E331" s="144">
        <v>473.03</v>
      </c>
      <c r="F331" s="12">
        <v>553.98</v>
      </c>
      <c r="G331" s="12">
        <v>632.86999999999989</v>
      </c>
      <c r="H331" s="12">
        <v>591.60299999999995</v>
      </c>
      <c r="I331" s="12">
        <v>628.53200000000004</v>
      </c>
      <c r="J331" s="12">
        <v>635.16999999999996</v>
      </c>
      <c r="K331" s="12">
        <v>610.31399999999996</v>
      </c>
      <c r="L331" s="12">
        <v>621.89699500000006</v>
      </c>
      <c r="M331" s="90"/>
    </row>
    <row r="332" spans="1:13" x14ac:dyDescent="0.25">
      <c r="A332" s="10" t="s">
        <v>21</v>
      </c>
      <c r="B332" s="10"/>
      <c r="C332" s="12">
        <f>C329-C331</f>
        <v>30.029999999999973</v>
      </c>
      <c r="D332" s="12">
        <f t="shared" ref="D332:K332" si="14">D329-D331</f>
        <v>60.79000000000002</v>
      </c>
      <c r="E332" s="12">
        <f t="shared" si="14"/>
        <v>80.66700000000003</v>
      </c>
      <c r="F332" s="12">
        <f t="shared" si="14"/>
        <v>95.836999999999989</v>
      </c>
      <c r="G332" s="12">
        <f t="shared" si="14"/>
        <v>20.839000000000169</v>
      </c>
      <c r="H332" s="12">
        <f t="shared" si="14"/>
        <v>44.046000000000163</v>
      </c>
      <c r="I332" s="12">
        <f>I329-I331</f>
        <v>51.324000000000183</v>
      </c>
      <c r="J332" s="12">
        <f t="shared" si="14"/>
        <v>39.584000000000174</v>
      </c>
      <c r="K332" s="12">
        <f t="shared" si="14"/>
        <v>53.100000000000136</v>
      </c>
      <c r="L332" s="12">
        <f>L329-L331</f>
        <v>49.853005000000053</v>
      </c>
      <c r="M332" s="90"/>
    </row>
    <row r="333" spans="1:13" x14ac:dyDescent="0.25">
      <c r="A333" s="16" t="s">
        <v>22</v>
      </c>
      <c r="B333" s="16"/>
      <c r="C333" s="145">
        <v>2016</v>
      </c>
      <c r="D333" s="145">
        <v>2017</v>
      </c>
      <c r="E333" s="146">
        <v>2018</v>
      </c>
      <c r="F333" s="17">
        <v>2019</v>
      </c>
      <c r="G333" s="17">
        <v>2020</v>
      </c>
      <c r="H333" s="17">
        <v>2021</v>
      </c>
      <c r="I333" s="17">
        <v>2022</v>
      </c>
      <c r="J333" s="17">
        <v>2023</v>
      </c>
      <c r="K333" s="17">
        <v>2024</v>
      </c>
      <c r="L333" s="17">
        <v>2025</v>
      </c>
      <c r="M333" s="90">
        <v>2026</v>
      </c>
    </row>
    <row r="334" spans="1:13" x14ac:dyDescent="0.25">
      <c r="A334" s="16" t="s">
        <v>960</v>
      </c>
      <c r="B334" s="46"/>
      <c r="C334" s="147"/>
      <c r="D334" s="147"/>
      <c r="E334" s="61"/>
      <c r="F334" s="46"/>
      <c r="G334" s="46"/>
      <c r="H334" s="46"/>
      <c r="I334" s="46"/>
      <c r="J334" s="46"/>
      <c r="K334" s="46"/>
      <c r="L334" s="19"/>
      <c r="M334" s="64"/>
    </row>
    <row r="335" spans="1:13" x14ac:dyDescent="0.25">
      <c r="A335" s="56" t="s">
        <v>961</v>
      </c>
      <c r="B335" s="49"/>
      <c r="C335" s="49"/>
      <c r="D335" s="49"/>
      <c r="E335" s="49"/>
      <c r="F335" s="49"/>
      <c r="G335" s="49"/>
      <c r="M335" s="64"/>
    </row>
    <row r="336" spans="1:13" x14ac:dyDescent="0.25">
      <c r="A336" s="56" t="s">
        <v>962</v>
      </c>
      <c r="B336" s="49"/>
      <c r="C336" s="49"/>
      <c r="D336" s="49"/>
      <c r="E336" s="49"/>
      <c r="F336" s="49"/>
      <c r="G336" s="49"/>
      <c r="M336" s="64"/>
    </row>
    <row r="337" spans="1:17" x14ac:dyDescent="0.25">
      <c r="A337" s="56" t="s">
        <v>728</v>
      </c>
      <c r="B337" s="49"/>
      <c r="C337" s="49"/>
      <c r="D337" s="49"/>
      <c r="E337" s="49"/>
      <c r="F337" s="49"/>
      <c r="G337" s="49"/>
      <c r="M337" s="64"/>
    </row>
    <row r="338" spans="1:17" x14ac:dyDescent="0.25">
      <c r="A338" s="39" t="s">
        <v>729</v>
      </c>
      <c r="M338" s="64"/>
    </row>
    <row r="339" spans="1:17" x14ac:dyDescent="0.25">
      <c r="A339" s="39" t="s">
        <v>730</v>
      </c>
      <c r="M339" s="64"/>
    </row>
    <row r="340" spans="1:17" x14ac:dyDescent="0.25">
      <c r="A340" s="39" t="s">
        <v>731</v>
      </c>
      <c r="M340" s="64"/>
    </row>
    <row r="341" spans="1:17" x14ac:dyDescent="0.25">
      <c r="A341" s="39" t="s">
        <v>769</v>
      </c>
      <c r="M341" s="64"/>
    </row>
    <row r="342" spans="1:17" x14ac:dyDescent="0.25">
      <c r="A342" s="39" t="s">
        <v>884</v>
      </c>
      <c r="M342" s="64"/>
    </row>
    <row r="343" spans="1:17" x14ac:dyDescent="0.25">
      <c r="A343" s="39" t="s">
        <v>974</v>
      </c>
      <c r="M343" s="64"/>
    </row>
    <row r="344" spans="1:17" x14ac:dyDescent="0.25">
      <c r="A344" s="148" t="s">
        <v>1261</v>
      </c>
      <c r="M344" s="64"/>
    </row>
    <row r="345" spans="1:17" x14ac:dyDescent="0.25">
      <c r="A345" s="41" t="s">
        <v>607</v>
      </c>
      <c r="B345" s="34"/>
      <c r="C345" s="34"/>
      <c r="D345" s="34"/>
      <c r="E345" s="34"/>
      <c r="F345" s="34"/>
      <c r="G345" s="34"/>
      <c r="H345" s="34"/>
      <c r="I345" s="34"/>
      <c r="J345" s="34"/>
      <c r="K345" s="34"/>
      <c r="L345" s="34"/>
      <c r="M345" s="48"/>
    </row>
    <row r="348" spans="1:17" x14ac:dyDescent="0.25">
      <c r="A348" s="6" t="s">
        <v>12</v>
      </c>
      <c r="B348" s="7" t="s">
        <v>153</v>
      </c>
      <c r="N348" s="3">
        <f>242*0.25</f>
        <v>60.5</v>
      </c>
    </row>
    <row r="349" spans="1:17" x14ac:dyDescent="0.25">
      <c r="A349" s="149" t="s">
        <v>14</v>
      </c>
      <c r="B349" s="7" t="s">
        <v>624</v>
      </c>
      <c r="C349" s="9" t="s">
        <v>15</v>
      </c>
    </row>
    <row r="350" spans="1:17" x14ac:dyDescent="0.25">
      <c r="A350" s="150" t="s">
        <v>16</v>
      </c>
      <c r="B350" s="151">
        <v>2010</v>
      </c>
      <c r="C350" s="151">
        <v>2011</v>
      </c>
      <c r="D350" s="151">
        <v>2012</v>
      </c>
      <c r="E350" s="151">
        <v>2013</v>
      </c>
      <c r="F350" s="151">
        <v>2014</v>
      </c>
      <c r="G350" s="151">
        <v>2015</v>
      </c>
      <c r="H350" s="151">
        <v>2016</v>
      </c>
      <c r="I350" s="151">
        <v>2017</v>
      </c>
      <c r="J350" s="151">
        <v>2018</v>
      </c>
      <c r="K350" s="151">
        <v>2019</v>
      </c>
      <c r="L350" s="152">
        <v>2020</v>
      </c>
      <c r="M350" s="152">
        <v>2021</v>
      </c>
      <c r="N350" s="152">
        <v>2022</v>
      </c>
      <c r="O350" s="152">
        <v>2023</v>
      </c>
      <c r="P350" s="152">
        <v>2024</v>
      </c>
      <c r="Q350" s="152">
        <v>2025</v>
      </c>
    </row>
    <row r="351" spans="1:17" x14ac:dyDescent="0.25">
      <c r="A351" s="150" t="s">
        <v>17</v>
      </c>
      <c r="B351" s="153">
        <v>200</v>
      </c>
      <c r="C351" s="153">
        <v>200</v>
      </c>
      <c r="D351" s="153">
        <v>200</v>
      </c>
      <c r="E351" s="153">
        <v>200</v>
      </c>
      <c r="F351" s="153">
        <v>200</v>
      </c>
      <c r="G351" s="153">
        <v>200</v>
      </c>
      <c r="H351" s="154">
        <v>200</v>
      </c>
      <c r="I351" s="153">
        <v>200</v>
      </c>
      <c r="J351" s="153">
        <v>200</v>
      </c>
      <c r="K351" s="153">
        <v>215</v>
      </c>
      <c r="L351" s="12">
        <v>215</v>
      </c>
      <c r="M351" s="12">
        <v>242</v>
      </c>
      <c r="N351" s="12">
        <v>242</v>
      </c>
      <c r="O351" s="12">
        <v>242</v>
      </c>
      <c r="P351" s="12">
        <v>302</v>
      </c>
      <c r="Q351" s="12">
        <v>302</v>
      </c>
    </row>
    <row r="352" spans="1:17" x14ac:dyDescent="0.25">
      <c r="A352" s="150" t="s">
        <v>18</v>
      </c>
      <c r="B352" s="153">
        <v>250</v>
      </c>
      <c r="C352" s="153">
        <v>250</v>
      </c>
      <c r="D352" s="153">
        <v>250</v>
      </c>
      <c r="E352" s="153">
        <v>250</v>
      </c>
      <c r="F352" s="153">
        <v>200</v>
      </c>
      <c r="G352" s="153">
        <v>250</v>
      </c>
      <c r="H352" s="154">
        <v>250</v>
      </c>
      <c r="I352" s="153">
        <v>250</v>
      </c>
      <c r="J352" s="153">
        <v>250</v>
      </c>
      <c r="K352" s="153">
        <v>265</v>
      </c>
      <c r="L352" s="153">
        <v>265</v>
      </c>
      <c r="M352" s="153">
        <f>M351+0.25*K351</f>
        <v>295.75</v>
      </c>
      <c r="N352" s="153">
        <f>N351+0.25*L351</f>
        <v>295.75</v>
      </c>
      <c r="O352" s="153">
        <f>O351+M355</f>
        <v>246.43</v>
      </c>
      <c r="P352" s="153">
        <f>P351+N355</f>
        <v>357.88</v>
      </c>
      <c r="Q352" s="153">
        <f>Q351+O355</f>
        <v>357.93</v>
      </c>
    </row>
    <row r="353" spans="1:18" x14ac:dyDescent="0.25">
      <c r="A353" s="150" t="s">
        <v>19</v>
      </c>
      <c r="B353" s="153"/>
      <c r="C353" s="153"/>
      <c r="D353" s="153"/>
      <c r="E353" s="153"/>
      <c r="F353" s="153"/>
      <c r="G353" s="153"/>
      <c r="H353" s="154"/>
      <c r="I353" s="154"/>
      <c r="J353" s="154"/>
      <c r="K353" s="154"/>
      <c r="L353" s="154"/>
      <c r="M353" s="12"/>
      <c r="N353" s="12"/>
      <c r="O353" s="12"/>
      <c r="P353" s="12"/>
      <c r="Q353" s="12"/>
    </row>
    <row r="354" spans="1:18" x14ac:dyDescent="0.25">
      <c r="A354" s="150" t="s">
        <v>20</v>
      </c>
      <c r="B354" s="153">
        <v>150</v>
      </c>
      <c r="C354" s="153">
        <v>101</v>
      </c>
      <c r="D354" s="153">
        <v>21</v>
      </c>
      <c r="E354" s="153">
        <v>81.085999999999999</v>
      </c>
      <c r="F354" s="153">
        <v>34.866999999999997</v>
      </c>
      <c r="G354" s="153">
        <v>20.963999999999999</v>
      </c>
      <c r="H354" s="154">
        <v>103.196</v>
      </c>
      <c r="I354" s="154">
        <v>123.654</v>
      </c>
      <c r="J354" s="154">
        <v>123.839</v>
      </c>
      <c r="K354" s="154">
        <v>129.16</v>
      </c>
      <c r="L354" s="154">
        <v>207.66</v>
      </c>
      <c r="M354" s="12">
        <v>291.32</v>
      </c>
      <c r="N354" s="12">
        <v>239.87</v>
      </c>
      <c r="O354" s="12">
        <v>190.5</v>
      </c>
      <c r="P354" s="129">
        <v>279.01</v>
      </c>
      <c r="Q354" s="12"/>
    </row>
    <row r="355" spans="1:18" x14ac:dyDescent="0.25">
      <c r="A355" s="150" t="s">
        <v>21</v>
      </c>
      <c r="B355" s="153">
        <v>100</v>
      </c>
      <c r="C355" s="153">
        <v>149</v>
      </c>
      <c r="D355" s="153">
        <v>229</v>
      </c>
      <c r="E355" s="153">
        <v>168.91399999999999</v>
      </c>
      <c r="F355" s="153">
        <v>165.13300000000001</v>
      </c>
      <c r="G355" s="153">
        <v>229.036</v>
      </c>
      <c r="H355" s="154">
        <v>146.804</v>
      </c>
      <c r="I355" s="154">
        <v>126.364</v>
      </c>
      <c r="J355" s="154">
        <v>126.161</v>
      </c>
      <c r="K355" s="154">
        <v>135.84</v>
      </c>
      <c r="L355" s="154">
        <f>L352-L354</f>
        <v>57.34</v>
      </c>
      <c r="M355" s="154">
        <f>M352-M354</f>
        <v>4.4300000000000068</v>
      </c>
      <c r="N355" s="154">
        <f>N352-N354</f>
        <v>55.879999999999995</v>
      </c>
      <c r="O355" s="154">
        <f>O352-O354</f>
        <v>55.930000000000007</v>
      </c>
      <c r="P355" s="154">
        <f>P352-P354</f>
        <v>78.87</v>
      </c>
      <c r="Q355" s="12">
        <v>357.93</v>
      </c>
    </row>
    <row r="356" spans="1:18" x14ac:dyDescent="0.25">
      <c r="A356" s="155" t="s">
        <v>22</v>
      </c>
      <c r="B356" s="156">
        <v>2012</v>
      </c>
      <c r="C356" s="156">
        <v>2013</v>
      </c>
      <c r="D356" s="156">
        <v>2014</v>
      </c>
      <c r="E356" s="156">
        <v>2015</v>
      </c>
      <c r="F356" s="156">
        <v>2016</v>
      </c>
      <c r="G356" s="156">
        <v>2017</v>
      </c>
      <c r="H356" s="157">
        <v>2018</v>
      </c>
      <c r="I356" s="157">
        <v>2019</v>
      </c>
      <c r="J356" s="157">
        <v>2020</v>
      </c>
      <c r="K356" s="157">
        <v>2021</v>
      </c>
      <c r="L356" s="157">
        <v>2022</v>
      </c>
      <c r="M356" s="157">
        <v>2023</v>
      </c>
      <c r="N356" s="157">
        <v>2024</v>
      </c>
      <c r="O356" s="157">
        <v>2025</v>
      </c>
      <c r="P356" s="157">
        <v>2026</v>
      </c>
      <c r="Q356" s="157">
        <v>2027</v>
      </c>
    </row>
    <row r="357" spans="1:18" x14ac:dyDescent="0.25">
      <c r="A357" s="730" t="s">
        <v>154</v>
      </c>
      <c r="B357" s="731"/>
      <c r="C357" s="731"/>
      <c r="D357" s="731"/>
      <c r="E357" s="731"/>
      <c r="F357" s="731"/>
      <c r="G357" s="731"/>
      <c r="H357" s="731"/>
      <c r="I357" s="731"/>
      <c r="J357" s="731"/>
      <c r="K357" s="731"/>
      <c r="L357" s="731"/>
      <c r="M357" s="731"/>
      <c r="N357" s="731"/>
      <c r="O357" s="731"/>
      <c r="P357" s="88"/>
      <c r="Q357" s="88"/>
    </row>
    <row r="358" spans="1:18" x14ac:dyDescent="0.25">
      <c r="A358" s="158" t="s">
        <v>328</v>
      </c>
      <c r="B358" s="19"/>
      <c r="C358" s="19"/>
      <c r="D358" s="19"/>
      <c r="E358" s="19"/>
      <c r="F358" s="19"/>
      <c r="G358" s="19"/>
      <c r="H358" s="19"/>
      <c r="I358" s="19"/>
      <c r="J358" s="19"/>
      <c r="K358" s="19"/>
      <c r="L358" s="19"/>
      <c r="M358" s="19"/>
      <c r="N358" s="19"/>
      <c r="O358" s="19"/>
      <c r="P358" s="19"/>
      <c r="Q358" s="63"/>
    </row>
    <row r="359" spans="1:18" x14ac:dyDescent="0.25">
      <c r="A359" s="159" t="s">
        <v>372</v>
      </c>
      <c r="Q359" s="64"/>
    </row>
    <row r="360" spans="1:18" x14ac:dyDescent="0.25">
      <c r="A360" s="159" t="s">
        <v>373</v>
      </c>
      <c r="Q360" s="64"/>
    </row>
    <row r="361" spans="1:18" x14ac:dyDescent="0.25">
      <c r="A361" s="159" t="s">
        <v>431</v>
      </c>
      <c r="Q361" s="64"/>
    </row>
    <row r="362" spans="1:18" x14ac:dyDescent="0.25">
      <c r="A362" s="159" t="s">
        <v>608</v>
      </c>
      <c r="Q362" s="64"/>
    </row>
    <row r="363" spans="1:18" x14ac:dyDescent="0.25">
      <c r="A363" s="159" t="s">
        <v>770</v>
      </c>
      <c r="Q363" s="64"/>
    </row>
    <row r="364" spans="1:18" x14ac:dyDescent="0.25">
      <c r="A364" s="159" t="s">
        <v>991</v>
      </c>
      <c r="Q364" s="64"/>
    </row>
    <row r="365" spans="1:18" s="34" customFormat="1" x14ac:dyDescent="0.25">
      <c r="A365" s="160" t="s">
        <v>1115</v>
      </c>
      <c r="Q365" s="48"/>
    </row>
    <row r="367" spans="1:18" x14ac:dyDescent="0.25">
      <c r="A367" s="9" t="s">
        <v>14</v>
      </c>
      <c r="B367" s="9" t="s">
        <v>638</v>
      </c>
      <c r="C367" s="9" t="s">
        <v>15</v>
      </c>
    </row>
    <row r="368" spans="1:18" x14ac:dyDescent="0.25">
      <c r="A368" s="150" t="s">
        <v>16</v>
      </c>
      <c r="B368" s="151">
        <v>2010</v>
      </c>
      <c r="C368" s="151">
        <v>2011</v>
      </c>
      <c r="D368" s="151">
        <v>2012</v>
      </c>
      <c r="E368" s="151">
        <v>2013</v>
      </c>
      <c r="F368" s="151">
        <v>2014</v>
      </c>
      <c r="G368" s="151">
        <v>2015</v>
      </c>
      <c r="H368" s="151">
        <v>2016</v>
      </c>
      <c r="I368" s="151">
        <v>2017</v>
      </c>
      <c r="J368" s="151">
        <v>2018</v>
      </c>
      <c r="K368" s="151">
        <v>2019</v>
      </c>
      <c r="L368" s="151">
        <v>2020</v>
      </c>
      <c r="M368" s="152">
        <v>2021</v>
      </c>
      <c r="N368" s="152">
        <v>2022</v>
      </c>
      <c r="O368" s="152">
        <v>2023</v>
      </c>
      <c r="P368" s="152">
        <v>2024</v>
      </c>
      <c r="Q368" s="152">
        <v>2025</v>
      </c>
      <c r="R368" s="152">
        <v>2026</v>
      </c>
    </row>
    <row r="369" spans="1:18" x14ac:dyDescent="0.25">
      <c r="A369" s="150" t="s">
        <v>17</v>
      </c>
      <c r="B369" s="153">
        <v>100</v>
      </c>
      <c r="C369" s="153">
        <v>100</v>
      </c>
      <c r="D369" s="153">
        <v>100</v>
      </c>
      <c r="E369" s="153">
        <v>100</v>
      </c>
      <c r="F369" s="153">
        <v>100</v>
      </c>
      <c r="G369" s="153">
        <v>100</v>
      </c>
      <c r="H369" s="154">
        <v>100</v>
      </c>
      <c r="I369" s="153">
        <v>200</v>
      </c>
      <c r="J369" s="154">
        <v>200</v>
      </c>
      <c r="K369" s="153">
        <v>200</v>
      </c>
      <c r="L369" s="153">
        <v>200</v>
      </c>
      <c r="M369" s="154">
        <v>200</v>
      </c>
      <c r="N369" s="154">
        <v>200</v>
      </c>
      <c r="O369" s="154">
        <v>240</v>
      </c>
      <c r="P369" s="154">
        <v>240</v>
      </c>
      <c r="Q369" s="154">
        <v>240</v>
      </c>
      <c r="R369" s="154">
        <v>240</v>
      </c>
    </row>
    <row r="370" spans="1:18" x14ac:dyDescent="0.25">
      <c r="A370" s="150" t="s">
        <v>18</v>
      </c>
      <c r="B370" s="153">
        <v>100</v>
      </c>
      <c r="C370" s="153">
        <v>100</v>
      </c>
      <c r="D370" s="153">
        <v>100</v>
      </c>
      <c r="E370" s="153">
        <v>100</v>
      </c>
      <c r="F370" s="153">
        <v>100</v>
      </c>
      <c r="G370" s="153">
        <v>125</v>
      </c>
      <c r="H370" s="154">
        <v>125</v>
      </c>
      <c r="I370" s="153">
        <f>200+G373</f>
        <v>204.595</v>
      </c>
      <c r="J370" s="153">
        <v>250</v>
      </c>
      <c r="K370" s="153">
        <f>K369+I373</f>
        <v>220.04499999999999</v>
      </c>
      <c r="L370" s="153">
        <v>250</v>
      </c>
      <c r="M370" s="154">
        <f>M369*1.25</f>
        <v>250</v>
      </c>
      <c r="N370" s="154">
        <f>N369*1.25</f>
        <v>250</v>
      </c>
      <c r="O370" s="154">
        <f>O369+0.25*M369</f>
        <v>290</v>
      </c>
      <c r="P370" s="154">
        <f>P369+2.98</f>
        <v>242.98</v>
      </c>
      <c r="Q370" s="154">
        <f>Q369+O369*0.25</f>
        <v>300</v>
      </c>
      <c r="R370" s="154">
        <f>R369+P369*0.25</f>
        <v>300</v>
      </c>
    </row>
    <row r="371" spans="1:18" x14ac:dyDescent="0.25">
      <c r="A371" s="150" t="s">
        <v>19</v>
      </c>
      <c r="B371" s="161"/>
      <c r="C371" s="161"/>
      <c r="D371" s="161"/>
      <c r="E371" s="161"/>
      <c r="F371" s="161"/>
      <c r="G371" s="161"/>
      <c r="H371" s="12"/>
      <c r="I371" s="12"/>
      <c r="J371" s="12"/>
      <c r="K371" s="12"/>
      <c r="L371" s="12"/>
      <c r="M371" s="12"/>
      <c r="N371" s="12"/>
      <c r="O371" s="12"/>
      <c r="P371" s="12"/>
      <c r="Q371" s="12"/>
      <c r="R371" s="12"/>
    </row>
    <row r="372" spans="1:18" x14ac:dyDescent="0.25">
      <c r="A372" s="150" t="s">
        <v>20</v>
      </c>
      <c r="B372" s="153">
        <v>100</v>
      </c>
      <c r="C372" s="153">
        <v>80.05</v>
      </c>
      <c r="D372" s="153">
        <v>61.02</v>
      </c>
      <c r="E372" s="153">
        <v>65.126999999999995</v>
      </c>
      <c r="F372" s="153">
        <v>33.822000000000003</v>
      </c>
      <c r="G372" s="153">
        <v>120.405</v>
      </c>
      <c r="H372" s="154">
        <v>94.369</v>
      </c>
      <c r="I372" s="154">
        <v>184.55</v>
      </c>
      <c r="J372" s="154">
        <v>116.455</v>
      </c>
      <c r="K372" s="154">
        <v>132.07</v>
      </c>
      <c r="L372" s="154">
        <v>183.94</v>
      </c>
      <c r="M372" s="154">
        <v>9.66</v>
      </c>
      <c r="N372" s="154">
        <v>31.19</v>
      </c>
      <c r="O372" s="154">
        <v>91.44</v>
      </c>
      <c r="P372" s="154">
        <v>116.16</v>
      </c>
      <c r="Q372" s="154"/>
      <c r="R372" s="154"/>
    </row>
    <row r="373" spans="1:18" x14ac:dyDescent="0.25">
      <c r="A373" s="150" t="s">
        <v>21</v>
      </c>
      <c r="B373" s="153">
        <f>B370-B372</f>
        <v>0</v>
      </c>
      <c r="C373" s="153">
        <f t="shared" ref="C373:P373" si="15">C370-C372</f>
        <v>19.950000000000003</v>
      </c>
      <c r="D373" s="153">
        <f t="shared" si="15"/>
        <v>38.979999999999997</v>
      </c>
      <c r="E373" s="153">
        <f t="shared" si="15"/>
        <v>34.873000000000005</v>
      </c>
      <c r="F373" s="153">
        <f t="shared" si="15"/>
        <v>66.177999999999997</v>
      </c>
      <c r="G373" s="153">
        <f t="shared" si="15"/>
        <v>4.5949999999999989</v>
      </c>
      <c r="H373" s="153">
        <f t="shared" si="15"/>
        <v>30.631</v>
      </c>
      <c r="I373" s="153">
        <f t="shared" si="15"/>
        <v>20.044999999999987</v>
      </c>
      <c r="J373" s="153">
        <f t="shared" si="15"/>
        <v>133.54500000000002</v>
      </c>
      <c r="K373" s="153">
        <f t="shared" si="15"/>
        <v>87.974999999999994</v>
      </c>
      <c r="L373" s="153">
        <f t="shared" si="15"/>
        <v>66.06</v>
      </c>
      <c r="M373" s="153">
        <f t="shared" si="15"/>
        <v>240.34</v>
      </c>
      <c r="N373" s="153">
        <f t="shared" si="15"/>
        <v>218.81</v>
      </c>
      <c r="O373" s="153">
        <f t="shared" si="15"/>
        <v>198.56</v>
      </c>
      <c r="P373" s="153">
        <f t="shared" si="15"/>
        <v>126.82</v>
      </c>
      <c r="Q373" s="154"/>
      <c r="R373" s="154"/>
    </row>
    <row r="374" spans="1:18" x14ac:dyDescent="0.25">
      <c r="A374" s="155" t="s">
        <v>22</v>
      </c>
      <c r="B374" s="156">
        <v>2012</v>
      </c>
      <c r="C374" s="156">
        <v>2013</v>
      </c>
      <c r="D374" s="156">
        <v>2014</v>
      </c>
      <c r="E374" s="156">
        <v>2015</v>
      </c>
      <c r="F374" s="156">
        <v>2016</v>
      </c>
      <c r="G374" s="156">
        <v>2017</v>
      </c>
      <c r="H374" s="157">
        <v>2018</v>
      </c>
      <c r="I374" s="157">
        <v>2019</v>
      </c>
      <c r="J374" s="157">
        <v>2020</v>
      </c>
      <c r="K374" s="157">
        <v>2021</v>
      </c>
      <c r="L374" s="157">
        <v>2022</v>
      </c>
      <c r="M374" s="157">
        <v>2023</v>
      </c>
      <c r="N374" s="157">
        <v>2024</v>
      </c>
      <c r="O374" s="157">
        <v>2025</v>
      </c>
      <c r="P374" s="157">
        <v>2026</v>
      </c>
      <c r="Q374" s="157">
        <v>2027</v>
      </c>
      <c r="R374" s="157">
        <v>2028</v>
      </c>
    </row>
    <row r="375" spans="1:18" x14ac:dyDescent="0.25">
      <c r="A375" s="29" t="s">
        <v>154</v>
      </c>
      <c r="B375" s="30"/>
      <c r="C375" s="30"/>
      <c r="D375" s="30"/>
      <c r="E375" s="30"/>
      <c r="F375" s="30"/>
      <c r="G375" s="30"/>
      <c r="H375" s="30"/>
      <c r="I375" s="30"/>
      <c r="J375" s="30"/>
      <c r="K375" s="30"/>
      <c r="L375" s="30"/>
      <c r="M375" s="30"/>
      <c r="N375" s="30"/>
      <c r="O375" s="30"/>
      <c r="P375" s="88"/>
      <c r="Q375" s="88"/>
      <c r="R375" s="88"/>
    </row>
    <row r="376" spans="1:18" x14ac:dyDescent="0.25">
      <c r="A376" s="158" t="s">
        <v>155</v>
      </c>
      <c r="B376" s="19"/>
      <c r="C376" s="19"/>
      <c r="D376" s="19"/>
      <c r="E376" s="19"/>
      <c r="F376" s="19"/>
      <c r="G376" s="19"/>
      <c r="H376" s="19"/>
      <c r="I376" s="19"/>
      <c r="J376" s="19"/>
      <c r="K376" s="19"/>
      <c r="L376" s="19"/>
      <c r="M376" s="19"/>
      <c r="N376" s="19"/>
      <c r="O376" s="19"/>
      <c r="P376" s="19"/>
      <c r="Q376" s="19"/>
      <c r="R376" s="63"/>
    </row>
    <row r="377" spans="1:18" x14ac:dyDescent="0.25">
      <c r="A377" s="159" t="s">
        <v>336</v>
      </c>
      <c r="R377" s="64"/>
    </row>
    <row r="378" spans="1:18" x14ac:dyDescent="0.25">
      <c r="A378" s="159" t="s">
        <v>156</v>
      </c>
      <c r="R378" s="64"/>
    </row>
    <row r="379" spans="1:18" x14ac:dyDescent="0.25">
      <c r="A379" s="159" t="s">
        <v>337</v>
      </c>
      <c r="R379" s="64"/>
    </row>
    <row r="380" spans="1:18" x14ac:dyDescent="0.25">
      <c r="A380" s="159" t="s">
        <v>432</v>
      </c>
      <c r="R380" s="64"/>
    </row>
    <row r="381" spans="1:18" x14ac:dyDescent="0.25">
      <c r="A381" s="159" t="s">
        <v>578</v>
      </c>
      <c r="R381" s="64"/>
    </row>
    <row r="382" spans="1:18" x14ac:dyDescent="0.25">
      <c r="A382" s="159" t="s">
        <v>771</v>
      </c>
      <c r="R382" s="64"/>
    </row>
    <row r="383" spans="1:18" x14ac:dyDescent="0.25">
      <c r="A383" s="159" t="s">
        <v>922</v>
      </c>
      <c r="R383" s="64"/>
    </row>
    <row r="384" spans="1:18" x14ac:dyDescent="0.25">
      <c r="A384" s="194" t="s">
        <v>1109</v>
      </c>
      <c r="R384" s="64"/>
    </row>
    <row r="385" spans="1:18" x14ac:dyDescent="0.25">
      <c r="A385" s="160" t="s">
        <v>1257</v>
      </c>
      <c r="B385" s="34"/>
      <c r="C385" s="34"/>
      <c r="D385" s="34"/>
      <c r="E385" s="34"/>
      <c r="F385" s="34"/>
      <c r="G385" s="34"/>
      <c r="H385" s="34"/>
      <c r="I385" s="34"/>
      <c r="J385" s="34"/>
      <c r="K385" s="34"/>
      <c r="L385" s="34"/>
      <c r="M385" s="34"/>
      <c r="N385" s="34"/>
      <c r="O385" s="34"/>
      <c r="P385" s="34"/>
      <c r="Q385" s="34"/>
      <c r="R385" s="48"/>
    </row>
    <row r="387" spans="1:18" x14ac:dyDescent="0.25">
      <c r="A387" s="6" t="s">
        <v>14</v>
      </c>
      <c r="B387" s="7" t="s">
        <v>623</v>
      </c>
      <c r="C387" s="7" t="s">
        <v>15</v>
      </c>
    </row>
    <row r="388" spans="1:18" x14ac:dyDescent="0.25">
      <c r="A388" s="162" t="s">
        <v>16</v>
      </c>
      <c r="B388" s="163">
        <v>2010</v>
      </c>
      <c r="C388" s="151">
        <v>2011</v>
      </c>
      <c r="D388" s="151">
        <v>2012</v>
      </c>
      <c r="E388" s="151">
        <v>2013</v>
      </c>
      <c r="F388" s="151">
        <v>2014</v>
      </c>
      <c r="G388" s="151">
        <v>2015</v>
      </c>
      <c r="H388" s="151">
        <v>2016</v>
      </c>
      <c r="I388" s="151">
        <v>2017</v>
      </c>
      <c r="J388" s="151">
        <v>2018</v>
      </c>
      <c r="K388" s="151">
        <v>2019</v>
      </c>
      <c r="L388" s="151">
        <v>2020</v>
      </c>
      <c r="M388" s="152">
        <v>2021</v>
      </c>
      <c r="N388" s="152">
        <v>2022</v>
      </c>
      <c r="O388" s="152">
        <v>2023</v>
      </c>
      <c r="P388" s="152">
        <v>2024</v>
      </c>
      <c r="Q388" s="90">
        <v>2025</v>
      </c>
    </row>
    <row r="389" spans="1:18" x14ac:dyDescent="0.25">
      <c r="A389" s="150" t="s">
        <v>17</v>
      </c>
      <c r="B389" s="153">
        <v>75</v>
      </c>
      <c r="C389" s="153">
        <v>75</v>
      </c>
      <c r="D389" s="153">
        <v>75</v>
      </c>
      <c r="E389" s="153">
        <v>75</v>
      </c>
      <c r="F389" s="153">
        <v>75</v>
      </c>
      <c r="G389" s="153">
        <v>75</v>
      </c>
      <c r="H389" s="153">
        <v>75</v>
      </c>
      <c r="I389" s="153">
        <v>75</v>
      </c>
      <c r="J389" s="154">
        <v>100</v>
      </c>
      <c r="K389" s="153">
        <v>100</v>
      </c>
      <c r="L389" s="153">
        <v>100</v>
      </c>
      <c r="M389" s="154">
        <v>100</v>
      </c>
      <c r="N389" s="154">
        <v>100</v>
      </c>
      <c r="O389" s="154">
        <v>100</v>
      </c>
      <c r="P389" s="154">
        <v>100</v>
      </c>
      <c r="Q389" s="90">
        <v>111</v>
      </c>
    </row>
    <row r="390" spans="1:18" x14ac:dyDescent="0.25">
      <c r="A390" s="150" t="s">
        <v>18</v>
      </c>
      <c r="B390" s="153">
        <v>79</v>
      </c>
      <c r="C390" s="153">
        <v>80</v>
      </c>
      <c r="D390" s="153">
        <v>105.3</v>
      </c>
      <c r="E390" s="153">
        <v>100</v>
      </c>
      <c r="F390" s="153">
        <v>100</v>
      </c>
      <c r="G390" s="154">
        <v>104.054</v>
      </c>
      <c r="H390" s="153">
        <v>137.5</v>
      </c>
      <c r="I390" s="153">
        <v>88</v>
      </c>
      <c r="J390" s="154">
        <v>90.442999999999998</v>
      </c>
      <c r="K390" s="153">
        <f>K389-12.726+6.69</f>
        <v>93.963999999999999</v>
      </c>
      <c r="L390" s="153">
        <v>103.95</v>
      </c>
      <c r="M390" s="154">
        <f>M389+K393</f>
        <v>102.404</v>
      </c>
      <c r="N390" s="154">
        <f>N389+L393</f>
        <v>107.78</v>
      </c>
      <c r="O390" s="154">
        <f>O389+0.15*M389</f>
        <v>115</v>
      </c>
      <c r="P390" s="154">
        <f>P389+0.15*N389</f>
        <v>115</v>
      </c>
      <c r="Q390" s="90">
        <v>121</v>
      </c>
    </row>
    <row r="391" spans="1:18" x14ac:dyDescent="0.25">
      <c r="A391" s="150" t="s">
        <v>19</v>
      </c>
      <c r="B391" s="153"/>
      <c r="C391" s="153"/>
      <c r="D391" s="153"/>
      <c r="E391" s="153"/>
      <c r="F391" s="153"/>
      <c r="G391" s="154"/>
      <c r="H391" s="154"/>
      <c r="I391" s="154"/>
      <c r="J391" s="164"/>
      <c r="K391" s="154"/>
      <c r="L391" s="154"/>
      <c r="M391" s="154"/>
      <c r="N391" s="154"/>
      <c r="O391" s="154"/>
      <c r="P391" s="154"/>
      <c r="Q391" s="90"/>
    </row>
    <row r="392" spans="1:18" x14ac:dyDescent="0.25">
      <c r="A392" s="150" t="s">
        <v>20</v>
      </c>
      <c r="B392" s="153">
        <v>74</v>
      </c>
      <c r="C392" s="153">
        <v>74.7</v>
      </c>
      <c r="D392" s="153">
        <v>59</v>
      </c>
      <c r="E392" s="153">
        <v>95.945999999999998</v>
      </c>
      <c r="F392" s="153">
        <v>60.292999999999999</v>
      </c>
      <c r="G392" s="154">
        <v>140.78</v>
      </c>
      <c r="H392" s="154">
        <v>135.05699999999999</v>
      </c>
      <c r="I392" s="154">
        <v>81.31</v>
      </c>
      <c r="J392" s="154">
        <v>86.498000000000005</v>
      </c>
      <c r="K392" s="154">
        <v>91.56</v>
      </c>
      <c r="L392" s="154">
        <v>96.17</v>
      </c>
      <c r="M392" s="154">
        <v>58.583999999999996</v>
      </c>
      <c r="N392" s="154">
        <v>37.61</v>
      </c>
      <c r="O392" s="154">
        <v>105</v>
      </c>
      <c r="P392" s="154">
        <v>103.21</v>
      </c>
      <c r="Q392" s="90"/>
    </row>
    <row r="393" spans="1:18" x14ac:dyDescent="0.25">
      <c r="A393" s="150" t="s">
        <v>21</v>
      </c>
      <c r="B393" s="153">
        <v>5</v>
      </c>
      <c r="C393" s="153">
        <v>5.3</v>
      </c>
      <c r="D393" s="153">
        <v>46.3</v>
      </c>
      <c r="E393" s="153">
        <v>4.0540000000000003</v>
      </c>
      <c r="F393" s="153">
        <v>39.707000000000001</v>
      </c>
      <c r="G393" s="154">
        <v>-36.725999999999999</v>
      </c>
      <c r="H393" s="154">
        <v>2.4430000000000001</v>
      </c>
      <c r="I393" s="154">
        <v>6.6899999999999977</v>
      </c>
      <c r="J393" s="154">
        <v>3.9449999999999998</v>
      </c>
      <c r="K393" s="154">
        <f t="shared" ref="K393:P393" si="16">K390-K392</f>
        <v>2.4039999999999964</v>
      </c>
      <c r="L393" s="154">
        <f t="shared" si="16"/>
        <v>7.7800000000000011</v>
      </c>
      <c r="M393" s="154">
        <f t="shared" si="16"/>
        <v>43.82</v>
      </c>
      <c r="N393" s="154">
        <f t="shared" si="16"/>
        <v>70.17</v>
      </c>
      <c r="O393" s="154">
        <f t="shared" si="16"/>
        <v>10</v>
      </c>
      <c r="P393" s="154">
        <f t="shared" si="16"/>
        <v>11.790000000000006</v>
      </c>
      <c r="Q393" s="90"/>
    </row>
    <row r="394" spans="1:18" x14ac:dyDescent="0.25">
      <c r="A394" s="155" t="s">
        <v>22</v>
      </c>
      <c r="B394" s="156">
        <v>2011</v>
      </c>
      <c r="C394" s="156">
        <v>2012</v>
      </c>
      <c r="D394" s="156">
        <v>2014</v>
      </c>
      <c r="E394" s="156">
        <v>2015</v>
      </c>
      <c r="F394" s="156">
        <v>2016</v>
      </c>
      <c r="G394" s="157">
        <v>2017</v>
      </c>
      <c r="H394" s="157">
        <v>2018</v>
      </c>
      <c r="I394" s="157">
        <v>2019</v>
      </c>
      <c r="J394" s="157">
        <v>2020</v>
      </c>
      <c r="K394" s="157">
        <v>2021</v>
      </c>
      <c r="L394" s="157">
        <v>2022</v>
      </c>
      <c r="M394" s="17">
        <v>2023</v>
      </c>
      <c r="N394" s="17">
        <v>2024</v>
      </c>
      <c r="O394" s="17">
        <v>2025</v>
      </c>
      <c r="P394" s="17">
        <v>2026</v>
      </c>
      <c r="Q394" s="90">
        <v>2027</v>
      </c>
    </row>
    <row r="395" spans="1:18" x14ac:dyDescent="0.25">
      <c r="A395" s="16" t="s">
        <v>154</v>
      </c>
      <c r="B395" s="46"/>
      <c r="C395" s="46"/>
      <c r="D395" s="46"/>
      <c r="E395" s="46"/>
      <c r="F395" s="46"/>
      <c r="G395" s="46"/>
      <c r="H395" s="46"/>
      <c r="I395" s="46"/>
      <c r="J395" s="46"/>
      <c r="K395" s="46"/>
      <c r="L395" s="46"/>
      <c r="M395" s="46"/>
      <c r="N395" s="46"/>
      <c r="O395" s="47"/>
      <c r="P395" s="47"/>
      <c r="Q395" s="90"/>
    </row>
    <row r="396" spans="1:18" x14ac:dyDescent="0.25">
      <c r="A396" s="738" t="s">
        <v>433</v>
      </c>
      <c r="B396" s="739"/>
      <c r="C396" s="739"/>
      <c r="D396" s="739"/>
      <c r="E396" s="739"/>
      <c r="F396" s="739"/>
      <c r="G396" s="739"/>
      <c r="H396" s="739"/>
      <c r="I396" s="739"/>
      <c r="J396" s="739"/>
      <c r="K396" s="739"/>
      <c r="L396" s="739"/>
      <c r="M396" s="739"/>
      <c r="N396" s="36"/>
      <c r="O396" s="36"/>
      <c r="P396" s="30"/>
      <c r="Q396" s="88"/>
    </row>
    <row r="397" spans="1:18" x14ac:dyDescent="0.25">
      <c r="A397" s="158" t="s">
        <v>338</v>
      </c>
      <c r="B397" s="19"/>
      <c r="C397" s="19"/>
      <c r="D397" s="19"/>
      <c r="E397" s="19"/>
      <c r="F397" s="19"/>
      <c r="G397" s="19"/>
      <c r="H397" s="19"/>
      <c r="I397" s="19"/>
      <c r="J397" s="19"/>
      <c r="K397" s="19"/>
      <c r="L397" s="19"/>
      <c r="M397" s="19"/>
      <c r="N397" s="19"/>
      <c r="O397" s="19"/>
      <c r="P397" s="19"/>
      <c r="Q397" s="63"/>
    </row>
    <row r="398" spans="1:18" x14ac:dyDescent="0.25">
      <c r="A398" s="39" t="s">
        <v>157</v>
      </c>
      <c r="Q398" s="64"/>
    </row>
    <row r="399" spans="1:18" x14ac:dyDescent="0.25">
      <c r="A399" s="39" t="s">
        <v>434</v>
      </c>
      <c r="Q399" s="64"/>
    </row>
    <row r="400" spans="1:18" x14ac:dyDescent="0.25">
      <c r="A400" s="39" t="s">
        <v>435</v>
      </c>
      <c r="Q400" s="64"/>
    </row>
    <row r="401" spans="1:17" x14ac:dyDescent="0.25">
      <c r="A401" s="39" t="s">
        <v>609</v>
      </c>
      <c r="Q401" s="64"/>
    </row>
    <row r="402" spans="1:17" x14ac:dyDescent="0.25">
      <c r="A402" s="39" t="s">
        <v>772</v>
      </c>
      <c r="Q402" s="64"/>
    </row>
    <row r="403" spans="1:17" x14ac:dyDescent="0.25">
      <c r="A403" s="39" t="s">
        <v>992</v>
      </c>
      <c r="Q403" s="64"/>
    </row>
    <row r="404" spans="1:17" s="34" customFormat="1" x14ac:dyDescent="0.25">
      <c r="A404" s="42" t="s">
        <v>1145</v>
      </c>
      <c r="Q404" s="48"/>
    </row>
    <row r="406" spans="1:17" x14ac:dyDescent="0.25">
      <c r="A406" s="6" t="s">
        <v>14</v>
      </c>
      <c r="B406" s="7" t="s">
        <v>641</v>
      </c>
      <c r="C406" s="7" t="s">
        <v>15</v>
      </c>
    </row>
    <row r="407" spans="1:17" x14ac:dyDescent="0.25">
      <c r="A407" s="150" t="s">
        <v>16</v>
      </c>
      <c r="B407" s="151">
        <v>2010</v>
      </c>
      <c r="C407" s="151">
        <v>2011</v>
      </c>
      <c r="D407" s="151">
        <v>2012</v>
      </c>
      <c r="E407" s="151">
        <v>2013</v>
      </c>
      <c r="F407" s="151">
        <v>2014</v>
      </c>
      <c r="G407" s="151">
        <v>2015</v>
      </c>
      <c r="H407" s="151">
        <v>2016</v>
      </c>
      <c r="I407" s="151">
        <v>2017</v>
      </c>
      <c r="J407" s="152">
        <v>2018</v>
      </c>
      <c r="K407" s="151">
        <v>2019</v>
      </c>
      <c r="L407" s="151">
        <v>2020</v>
      </c>
      <c r="M407" s="152">
        <v>2021</v>
      </c>
      <c r="N407" s="152">
        <v>2022</v>
      </c>
      <c r="O407" s="152">
        <v>2023</v>
      </c>
      <c r="P407" s="152">
        <v>2024</v>
      </c>
      <c r="Q407" s="152">
        <v>2025</v>
      </c>
    </row>
    <row r="408" spans="1:17" x14ac:dyDescent="0.25">
      <c r="A408" s="150" t="s">
        <v>17</v>
      </c>
      <c r="B408" s="153">
        <v>263</v>
      </c>
      <c r="C408" s="153">
        <v>263</v>
      </c>
      <c r="D408" s="153">
        <v>263</v>
      </c>
      <c r="E408" s="153">
        <v>263</v>
      </c>
      <c r="F408" s="153">
        <v>263</v>
      </c>
      <c r="G408" s="153">
        <v>263</v>
      </c>
      <c r="H408" s="153">
        <v>263</v>
      </c>
      <c r="I408" s="153">
        <v>313</v>
      </c>
      <c r="J408" s="154">
        <v>313</v>
      </c>
      <c r="K408" s="153">
        <v>313</v>
      </c>
      <c r="L408" s="153">
        <v>313</v>
      </c>
      <c r="M408" s="153">
        <v>313</v>
      </c>
      <c r="N408" s="153">
        <v>313</v>
      </c>
      <c r="O408" s="153">
        <v>313</v>
      </c>
      <c r="P408" s="153">
        <v>313</v>
      </c>
      <c r="Q408" s="90">
        <v>313</v>
      </c>
    </row>
    <row r="409" spans="1:17" x14ac:dyDescent="0.25">
      <c r="A409" s="150" t="s">
        <v>18</v>
      </c>
      <c r="B409" s="153">
        <v>393</v>
      </c>
      <c r="C409" s="153">
        <v>362</v>
      </c>
      <c r="D409" s="153">
        <v>377.49</v>
      </c>
      <c r="E409" s="153">
        <v>263</v>
      </c>
      <c r="F409" s="153">
        <v>324.99</v>
      </c>
      <c r="G409" s="154">
        <v>330.03800000000001</v>
      </c>
      <c r="H409" s="153">
        <v>341.9</v>
      </c>
      <c r="I409" s="153">
        <v>315.34399999999999</v>
      </c>
      <c r="J409" s="154">
        <v>391.9</v>
      </c>
      <c r="K409" s="153">
        <v>326.76</v>
      </c>
      <c r="L409" s="153">
        <v>350.05</v>
      </c>
      <c r="M409" s="12">
        <f>M408+0.2*K408</f>
        <v>375.6</v>
      </c>
      <c r="N409" s="12">
        <f>N408+0.2*L408</f>
        <v>375.6</v>
      </c>
      <c r="O409" s="12">
        <f>O408+0.1*M408</f>
        <v>344.3</v>
      </c>
      <c r="P409" s="12">
        <f>P408+0.1*N408</f>
        <v>344.3</v>
      </c>
      <c r="Q409" s="129">
        <f>Q408+0.1*O408</f>
        <v>344.3</v>
      </c>
    </row>
    <row r="410" spans="1:17" x14ac:dyDescent="0.25">
      <c r="A410" s="150" t="s">
        <v>19</v>
      </c>
      <c r="B410" s="153"/>
      <c r="C410" s="153"/>
      <c r="D410" s="153"/>
      <c r="E410" s="153"/>
      <c r="F410" s="153"/>
      <c r="G410" s="154"/>
      <c r="H410" s="154"/>
      <c r="I410" s="154"/>
      <c r="J410" s="154"/>
      <c r="K410" s="154"/>
      <c r="L410" s="154"/>
      <c r="M410" s="11"/>
      <c r="N410" s="11"/>
      <c r="O410" s="11"/>
      <c r="P410" s="11"/>
      <c r="Q410" s="90"/>
    </row>
    <row r="411" spans="1:17" x14ac:dyDescent="0.25">
      <c r="A411" s="150" t="s">
        <v>20</v>
      </c>
      <c r="B411" s="153">
        <v>294</v>
      </c>
      <c r="C411" s="153">
        <v>247.51</v>
      </c>
      <c r="D411" s="153">
        <v>315.5</v>
      </c>
      <c r="E411" s="153">
        <v>195.96199999999999</v>
      </c>
      <c r="F411" s="153">
        <v>205.89400000000001</v>
      </c>
      <c r="G411" s="154">
        <v>327.69600000000003</v>
      </c>
      <c r="H411" s="154">
        <v>222.22</v>
      </c>
      <c r="I411" s="154">
        <v>301.58</v>
      </c>
      <c r="J411" s="154">
        <v>354.85</v>
      </c>
      <c r="K411" s="154">
        <v>210.91</v>
      </c>
      <c r="L411" s="154">
        <v>88.54</v>
      </c>
      <c r="M411" s="11">
        <v>36.729999999999997</v>
      </c>
      <c r="N411" s="11">
        <v>187.61</v>
      </c>
      <c r="O411" s="11">
        <v>109.44</v>
      </c>
      <c r="P411" s="11">
        <v>127.83</v>
      </c>
      <c r="Q411" s="90"/>
    </row>
    <row r="412" spans="1:17" x14ac:dyDescent="0.25">
      <c r="A412" s="150" t="s">
        <v>21</v>
      </c>
      <c r="B412" s="153">
        <v>99</v>
      </c>
      <c r="C412" s="153">
        <v>114.49</v>
      </c>
      <c r="D412" s="153">
        <v>61.99</v>
      </c>
      <c r="E412" s="153">
        <v>67.037999999999997</v>
      </c>
      <c r="F412" s="153">
        <v>119.096</v>
      </c>
      <c r="G412" s="154">
        <v>2.3439999999999999</v>
      </c>
      <c r="H412" s="154">
        <v>119.68</v>
      </c>
      <c r="I412" s="154">
        <v>13.759999999999991</v>
      </c>
      <c r="J412" s="154">
        <v>37.049999999999997</v>
      </c>
      <c r="K412" s="154">
        <f t="shared" ref="K412:P412" si="17">K409-K411</f>
        <v>115.85</v>
      </c>
      <c r="L412" s="154">
        <f t="shared" si="17"/>
        <v>261.51</v>
      </c>
      <c r="M412" s="154">
        <f t="shared" si="17"/>
        <v>338.87</v>
      </c>
      <c r="N412" s="154">
        <f t="shared" si="17"/>
        <v>187.99</v>
      </c>
      <c r="O412" s="154">
        <f t="shared" si="17"/>
        <v>234.86</v>
      </c>
      <c r="P412" s="154">
        <f t="shared" si="17"/>
        <v>216.47000000000003</v>
      </c>
      <c r="Q412" s="90"/>
    </row>
    <row r="413" spans="1:17" x14ac:dyDescent="0.25">
      <c r="A413" s="165" t="s">
        <v>22</v>
      </c>
      <c r="B413" s="166">
        <v>2011</v>
      </c>
      <c r="C413" s="166">
        <v>2012</v>
      </c>
      <c r="D413" s="166">
        <v>2014</v>
      </c>
      <c r="E413" s="166">
        <v>2015</v>
      </c>
      <c r="F413" s="166">
        <v>2016</v>
      </c>
      <c r="G413" s="167">
        <v>2017</v>
      </c>
      <c r="H413" s="167">
        <v>2018</v>
      </c>
      <c r="I413" s="167">
        <v>2019</v>
      </c>
      <c r="J413" s="167">
        <v>2020</v>
      </c>
      <c r="K413" s="167">
        <v>2021</v>
      </c>
      <c r="L413" s="167">
        <v>2022</v>
      </c>
      <c r="M413" s="125">
        <v>2023</v>
      </c>
      <c r="N413" s="125">
        <v>2024</v>
      </c>
      <c r="O413" s="125">
        <v>2025</v>
      </c>
      <c r="P413" s="125">
        <v>2026</v>
      </c>
      <c r="Q413" s="125">
        <v>2027</v>
      </c>
    </row>
    <row r="414" spans="1:17" x14ac:dyDescent="0.25">
      <c r="A414" s="29" t="s">
        <v>154</v>
      </c>
      <c r="B414" s="30"/>
      <c r="C414" s="30"/>
      <c r="D414" s="30"/>
      <c r="E414" s="30"/>
      <c r="F414" s="30"/>
      <c r="G414" s="30"/>
      <c r="H414" s="30"/>
      <c r="I414" s="30"/>
      <c r="J414" s="30"/>
      <c r="K414" s="30"/>
      <c r="L414" s="30"/>
      <c r="M414" s="30"/>
      <c r="N414" s="30"/>
      <c r="O414" s="30"/>
      <c r="P414" s="30"/>
      <c r="Q414" s="63"/>
    </row>
    <row r="415" spans="1:17" x14ac:dyDescent="0.25">
      <c r="A415" s="159" t="s">
        <v>158</v>
      </c>
      <c r="Q415" s="63"/>
    </row>
    <row r="416" spans="1:17" x14ac:dyDescent="0.25">
      <c r="A416" s="159" t="s">
        <v>339</v>
      </c>
      <c r="Q416" s="64"/>
    </row>
    <row r="417" spans="1:17" x14ac:dyDescent="0.25">
      <c r="A417" s="159" t="s">
        <v>340</v>
      </c>
      <c r="Q417" s="64"/>
    </row>
    <row r="418" spans="1:17" x14ac:dyDescent="0.25">
      <c r="A418" s="159" t="s">
        <v>436</v>
      </c>
      <c r="Q418" s="64"/>
    </row>
    <row r="419" spans="1:17" x14ac:dyDescent="0.25">
      <c r="A419" s="159" t="s">
        <v>610</v>
      </c>
      <c r="Q419" s="64"/>
    </row>
    <row r="420" spans="1:17" x14ac:dyDescent="0.25">
      <c r="A420" s="159" t="s">
        <v>773</v>
      </c>
      <c r="Q420" s="64"/>
    </row>
    <row r="421" spans="1:17" x14ac:dyDescent="0.25">
      <c r="A421" s="3" t="s">
        <v>993</v>
      </c>
      <c r="Q421" s="64"/>
    </row>
    <row r="422" spans="1:17" x14ac:dyDescent="0.25">
      <c r="A422" s="43" t="s">
        <v>1146</v>
      </c>
      <c r="B422" s="34"/>
      <c r="C422" s="34"/>
      <c r="D422" s="34"/>
      <c r="E422" s="34"/>
      <c r="F422" s="34"/>
      <c r="G422" s="34"/>
      <c r="H422" s="34"/>
      <c r="I422" s="34"/>
      <c r="J422" s="34"/>
      <c r="K422" s="34"/>
      <c r="L422" s="34"/>
      <c r="M422" s="34"/>
      <c r="N422" s="34"/>
      <c r="O422" s="34"/>
      <c r="P422" s="34"/>
      <c r="Q422" s="48"/>
    </row>
    <row r="424" spans="1:17" x14ac:dyDescent="0.25">
      <c r="A424" s="6" t="s">
        <v>14</v>
      </c>
      <c r="B424" s="7" t="s">
        <v>66</v>
      </c>
      <c r="C424" s="7" t="s">
        <v>15</v>
      </c>
    </row>
    <row r="425" spans="1:17" x14ac:dyDescent="0.25">
      <c r="A425" s="162" t="s">
        <v>16</v>
      </c>
      <c r="B425" s="163">
        <v>2010</v>
      </c>
      <c r="C425" s="151">
        <v>2011</v>
      </c>
      <c r="D425" s="151">
        <v>2012</v>
      </c>
      <c r="E425" s="151">
        <v>2013</v>
      </c>
      <c r="F425" s="151">
        <v>2014</v>
      </c>
      <c r="G425" s="151">
        <v>2015</v>
      </c>
      <c r="H425" s="151">
        <v>2016</v>
      </c>
      <c r="I425" s="151">
        <v>2017</v>
      </c>
      <c r="J425" s="151">
        <v>2018</v>
      </c>
      <c r="K425" s="152">
        <v>2019</v>
      </c>
      <c r="L425" s="152">
        <v>2020</v>
      </c>
      <c r="M425" s="152">
        <v>2021</v>
      </c>
      <c r="N425" s="152">
        <v>2022</v>
      </c>
      <c r="O425" s="152">
        <v>2023</v>
      </c>
      <c r="P425" s="152">
        <v>2024</v>
      </c>
      <c r="Q425" s="152">
        <v>2025</v>
      </c>
    </row>
    <row r="426" spans="1:17" x14ac:dyDescent="0.25">
      <c r="A426" s="150" t="s">
        <v>17</v>
      </c>
      <c r="B426" s="153">
        <v>5900</v>
      </c>
      <c r="C426" s="153">
        <v>5572</v>
      </c>
      <c r="D426" s="153">
        <v>5572</v>
      </c>
      <c r="E426" s="153">
        <v>5572</v>
      </c>
      <c r="F426" s="153">
        <v>5572</v>
      </c>
      <c r="G426" s="153">
        <v>5572</v>
      </c>
      <c r="H426" s="153">
        <v>5376</v>
      </c>
      <c r="I426" s="153">
        <v>5376</v>
      </c>
      <c r="J426" s="154">
        <v>5376</v>
      </c>
      <c r="K426" s="154">
        <v>5376</v>
      </c>
      <c r="L426" s="154">
        <v>4462.08</v>
      </c>
      <c r="M426" s="154">
        <v>4390.6867200000006</v>
      </c>
      <c r="N426" s="154">
        <v>4426.38</v>
      </c>
      <c r="O426" s="154">
        <v>4426.38</v>
      </c>
      <c r="P426" s="154">
        <v>4426.38</v>
      </c>
      <c r="Q426" s="90">
        <v>4624.07</v>
      </c>
    </row>
    <row r="427" spans="1:17" x14ac:dyDescent="0.25">
      <c r="A427" s="150" t="s">
        <v>18</v>
      </c>
      <c r="B427" s="153">
        <v>9670</v>
      </c>
      <c r="C427" s="153">
        <v>8572</v>
      </c>
      <c r="D427" s="153">
        <v>10173</v>
      </c>
      <c r="E427" s="153">
        <v>8502</v>
      </c>
      <c r="F427" s="153">
        <v>10173.6</v>
      </c>
      <c r="G427" s="153">
        <v>10173.6</v>
      </c>
      <c r="H427" s="153">
        <v>7182.4</v>
      </c>
      <c r="I427" s="153">
        <v>7182.4</v>
      </c>
      <c r="J427" s="153">
        <v>7182.4</v>
      </c>
      <c r="K427" s="154">
        <v>7182.4</v>
      </c>
      <c r="L427" s="154">
        <f>L426+0.15*J426+600</f>
        <v>5868.48</v>
      </c>
      <c r="M427" s="154">
        <f>M426+0.1*K426+600</f>
        <v>5528.286720000001</v>
      </c>
      <c r="N427" s="154">
        <f>N426+0.1*L426+600</f>
        <v>5472.5879999999997</v>
      </c>
      <c r="O427" s="154">
        <f>O426+0.1*M426+600</f>
        <v>5465.4486720000004</v>
      </c>
      <c r="P427" s="154">
        <f>P426+0.1*N426+600</f>
        <v>5469.018</v>
      </c>
      <c r="Q427" s="90">
        <v>5024.22</v>
      </c>
    </row>
    <row r="428" spans="1:17" x14ac:dyDescent="0.25">
      <c r="A428" s="150" t="s">
        <v>19</v>
      </c>
      <c r="B428" s="150"/>
      <c r="C428" s="150"/>
      <c r="D428" s="150"/>
      <c r="E428" s="150"/>
      <c r="F428" s="150"/>
      <c r="G428" s="11"/>
      <c r="H428" s="11"/>
      <c r="I428" s="11"/>
      <c r="J428" s="168"/>
      <c r="K428" s="11"/>
      <c r="L428" s="11"/>
      <c r="M428" s="11"/>
      <c r="N428" s="11"/>
      <c r="O428" s="11"/>
      <c r="P428" s="11"/>
      <c r="Q428" s="90"/>
    </row>
    <row r="429" spans="1:17" x14ac:dyDescent="0.25">
      <c r="A429" s="150" t="s">
        <v>20</v>
      </c>
      <c r="B429" s="153">
        <v>5489</v>
      </c>
      <c r="C429" s="153">
        <v>3720.78</v>
      </c>
      <c r="D429" s="153">
        <v>3231</v>
      </c>
      <c r="E429" s="153">
        <v>2371.0340000000001</v>
      </c>
      <c r="F429" s="153">
        <v>2231.75</v>
      </c>
      <c r="G429" s="154">
        <v>4941.848</v>
      </c>
      <c r="H429" s="154">
        <v>5852.39</v>
      </c>
      <c r="I429" s="154">
        <v>5514.3580000000002</v>
      </c>
      <c r="J429" s="154">
        <v>4823.0860000000002</v>
      </c>
      <c r="K429" s="154">
        <v>5718.49</v>
      </c>
      <c r="L429" s="154">
        <v>3613.58</v>
      </c>
      <c r="M429" s="154">
        <v>1638.49</v>
      </c>
      <c r="N429" s="154">
        <v>3248.94</v>
      </c>
      <c r="O429" s="154">
        <v>5415.3</v>
      </c>
      <c r="P429" s="154">
        <v>5132.71</v>
      </c>
      <c r="Q429" s="90"/>
    </row>
    <row r="430" spans="1:17" x14ac:dyDescent="0.25">
      <c r="A430" s="150" t="s">
        <v>21</v>
      </c>
      <c r="B430" s="153">
        <v>4181</v>
      </c>
      <c r="C430" s="153">
        <v>4581.22</v>
      </c>
      <c r="D430" s="153">
        <v>6942</v>
      </c>
      <c r="E430" s="153">
        <v>6130.6959999999999</v>
      </c>
      <c r="F430" s="153">
        <v>7941.85</v>
      </c>
      <c r="G430" s="154">
        <v>5232.116</v>
      </c>
      <c r="H430" s="154">
        <v>1330.01</v>
      </c>
      <c r="I430" s="154">
        <v>1449.932</v>
      </c>
      <c r="J430" s="154">
        <v>2359.3139999999999</v>
      </c>
      <c r="K430" s="154">
        <f t="shared" ref="K430:P430" si="18">K427-K429</f>
        <v>1463.9099999999999</v>
      </c>
      <c r="L430" s="154">
        <f t="shared" si="18"/>
        <v>2254.8999999999996</v>
      </c>
      <c r="M430" s="154">
        <f t="shared" si="18"/>
        <v>3889.7967200000012</v>
      </c>
      <c r="N430" s="154">
        <f t="shared" si="18"/>
        <v>2223.6479999999997</v>
      </c>
      <c r="O430" s="154">
        <f t="shared" si="18"/>
        <v>50.148672000000261</v>
      </c>
      <c r="P430" s="154">
        <f t="shared" si="18"/>
        <v>336.30799999999999</v>
      </c>
      <c r="Q430" s="90"/>
    </row>
    <row r="431" spans="1:17" x14ac:dyDescent="0.25">
      <c r="A431" s="155" t="s">
        <v>22</v>
      </c>
      <c r="B431" s="155">
        <v>2012</v>
      </c>
      <c r="C431" s="155">
        <v>2013</v>
      </c>
      <c r="D431" s="155">
        <v>2014</v>
      </c>
      <c r="E431" s="155">
        <v>2015</v>
      </c>
      <c r="F431" s="155">
        <v>2016</v>
      </c>
      <c r="G431" s="17">
        <v>2017</v>
      </c>
      <c r="H431" s="17">
        <v>2018</v>
      </c>
      <c r="I431" s="17">
        <v>2019</v>
      </c>
      <c r="J431" s="17">
        <v>2020</v>
      </c>
      <c r="K431" s="17">
        <v>2021</v>
      </c>
      <c r="L431" s="17">
        <v>2022</v>
      </c>
      <c r="M431" s="17">
        <v>2023</v>
      </c>
      <c r="N431" s="17">
        <v>2024</v>
      </c>
      <c r="O431" s="17">
        <v>2025</v>
      </c>
      <c r="P431" s="17">
        <v>2026</v>
      </c>
      <c r="Q431" s="62"/>
    </row>
    <row r="432" spans="1:17" x14ac:dyDescent="0.25">
      <c r="A432" s="10" t="s">
        <v>154</v>
      </c>
      <c r="B432" s="36"/>
      <c r="C432" s="36"/>
      <c r="D432" s="36"/>
      <c r="E432" s="36"/>
      <c r="F432" s="36"/>
      <c r="G432" s="36"/>
      <c r="H432" s="36"/>
      <c r="I432" s="36"/>
      <c r="J432" s="36"/>
      <c r="K432" s="36"/>
      <c r="L432" s="36"/>
      <c r="M432" s="36"/>
      <c r="N432" s="36"/>
      <c r="O432" s="36"/>
      <c r="P432" s="30"/>
      <c r="Q432" s="88"/>
    </row>
    <row r="433" spans="1:17" x14ac:dyDescent="0.25">
      <c r="A433" s="159" t="s">
        <v>159</v>
      </c>
      <c r="Q433" s="63"/>
    </row>
    <row r="434" spans="1:17" x14ac:dyDescent="0.25">
      <c r="A434" s="159" t="s">
        <v>160</v>
      </c>
      <c r="Q434" s="64"/>
    </row>
    <row r="435" spans="1:17" x14ac:dyDescent="0.25">
      <c r="A435" s="159" t="s">
        <v>437</v>
      </c>
      <c r="Q435" s="64"/>
    </row>
    <row r="436" spans="1:17" x14ac:dyDescent="0.25">
      <c r="A436" s="159" t="s">
        <v>590</v>
      </c>
      <c r="Q436" s="64"/>
    </row>
    <row r="437" spans="1:17" x14ac:dyDescent="0.25">
      <c r="A437" s="159" t="s">
        <v>611</v>
      </c>
      <c r="Q437" s="64"/>
    </row>
    <row r="438" spans="1:17" x14ac:dyDescent="0.25">
      <c r="A438" s="159" t="s">
        <v>774</v>
      </c>
      <c r="Q438" s="64"/>
    </row>
    <row r="439" spans="1:17" x14ac:dyDescent="0.25">
      <c r="A439" s="121" t="s">
        <v>994</v>
      </c>
      <c r="Q439" s="64"/>
    </row>
    <row r="440" spans="1:17" x14ac:dyDescent="0.25">
      <c r="A440" s="169" t="s">
        <v>1147</v>
      </c>
      <c r="B440" s="34"/>
      <c r="C440" s="34"/>
      <c r="D440" s="34"/>
      <c r="E440" s="34"/>
      <c r="F440" s="34"/>
      <c r="G440" s="34"/>
      <c r="H440" s="34"/>
      <c r="I440" s="34"/>
      <c r="J440" s="34"/>
      <c r="K440" s="34"/>
      <c r="L440" s="34"/>
      <c r="M440" s="34"/>
      <c r="N440" s="34"/>
      <c r="O440" s="34"/>
      <c r="P440" s="34"/>
      <c r="Q440" s="48"/>
    </row>
    <row r="442" spans="1:17" x14ac:dyDescent="0.25">
      <c r="A442" s="6" t="s">
        <v>14</v>
      </c>
      <c r="B442" s="7" t="s">
        <v>74</v>
      </c>
      <c r="C442" s="7" t="s">
        <v>15</v>
      </c>
    </row>
    <row r="443" spans="1:17" x14ac:dyDescent="0.25">
      <c r="A443" s="162" t="s">
        <v>16</v>
      </c>
      <c r="B443" s="163">
        <v>2010</v>
      </c>
      <c r="C443" s="151">
        <v>2011</v>
      </c>
      <c r="D443" s="151">
        <v>2012</v>
      </c>
      <c r="E443" s="151">
        <v>2013</v>
      </c>
      <c r="F443" s="151">
        <v>2014</v>
      </c>
      <c r="G443" s="151">
        <v>2015</v>
      </c>
      <c r="H443" s="151">
        <v>2016</v>
      </c>
      <c r="I443" s="151">
        <v>2017</v>
      </c>
      <c r="J443" s="151">
        <v>2018</v>
      </c>
      <c r="K443" s="152">
        <v>2019</v>
      </c>
      <c r="L443" s="152">
        <v>2020</v>
      </c>
      <c r="M443" s="152">
        <v>2021</v>
      </c>
      <c r="N443" s="152">
        <v>2022</v>
      </c>
      <c r="O443" s="152">
        <v>2023</v>
      </c>
      <c r="P443" s="152">
        <v>2024</v>
      </c>
      <c r="Q443" s="152">
        <v>2025</v>
      </c>
    </row>
    <row r="444" spans="1:17" x14ac:dyDescent="0.25">
      <c r="A444" s="150" t="s">
        <v>17</v>
      </c>
      <c r="B444" s="153">
        <v>100.5</v>
      </c>
      <c r="C444" s="153">
        <v>100.5</v>
      </c>
      <c r="D444" s="153">
        <v>100.5</v>
      </c>
      <c r="E444" s="153">
        <v>45</v>
      </c>
      <c r="F444" s="153">
        <v>45</v>
      </c>
      <c r="G444" s="153">
        <v>45</v>
      </c>
      <c r="H444" s="153">
        <v>45</v>
      </c>
      <c r="I444" s="153">
        <v>45</v>
      </c>
      <c r="J444" s="154">
        <v>45</v>
      </c>
      <c r="K444" s="154">
        <v>45</v>
      </c>
      <c r="L444" s="154">
        <v>37.9</v>
      </c>
      <c r="M444" s="154">
        <v>37.9</v>
      </c>
      <c r="N444" s="154">
        <v>37.9</v>
      </c>
      <c r="O444" s="154">
        <v>37.9</v>
      </c>
      <c r="P444" s="154">
        <v>37.9</v>
      </c>
      <c r="Q444" s="154">
        <v>37.9</v>
      </c>
    </row>
    <row r="445" spans="1:17" x14ac:dyDescent="0.25">
      <c r="A445" s="150" t="s">
        <v>18</v>
      </c>
      <c r="B445" s="153">
        <v>100.5</v>
      </c>
      <c r="C445" s="153">
        <v>100.5</v>
      </c>
      <c r="D445" s="153">
        <v>100.5</v>
      </c>
      <c r="E445" s="153">
        <v>45</v>
      </c>
      <c r="F445" s="153">
        <v>45</v>
      </c>
      <c r="G445" s="153">
        <v>45</v>
      </c>
      <c r="H445" s="153">
        <v>50.34</v>
      </c>
      <c r="I445" s="153">
        <v>45.585000000000001</v>
      </c>
      <c r="J445" s="153">
        <v>45.628999999999998</v>
      </c>
      <c r="K445" s="154">
        <v>50.27</v>
      </c>
      <c r="L445" s="154">
        <f>L444+J448</f>
        <v>41.338000000000001</v>
      </c>
      <c r="M445" s="154">
        <f>M444+K448</f>
        <v>41.77</v>
      </c>
      <c r="N445" s="154"/>
      <c r="O445" s="154"/>
      <c r="P445" s="154"/>
      <c r="Q445" s="154"/>
    </row>
    <row r="446" spans="1:17" x14ac:dyDescent="0.25">
      <c r="A446" s="150" t="s">
        <v>19</v>
      </c>
      <c r="B446" s="150"/>
      <c r="C446" s="150"/>
      <c r="D446" s="150"/>
      <c r="E446" s="150"/>
      <c r="F446" s="150"/>
      <c r="G446" s="11"/>
      <c r="H446" s="11"/>
      <c r="I446" s="11"/>
      <c r="J446" s="11"/>
      <c r="K446" s="11"/>
      <c r="L446" s="11"/>
      <c r="M446" s="11"/>
      <c r="N446" s="11"/>
      <c r="O446" s="11"/>
      <c r="P446" s="11"/>
      <c r="Q446" s="11"/>
    </row>
    <row r="447" spans="1:17" x14ac:dyDescent="0.25">
      <c r="A447" s="150" t="s">
        <v>20</v>
      </c>
      <c r="B447" s="153">
        <v>77</v>
      </c>
      <c r="C447" s="153">
        <v>99.5</v>
      </c>
      <c r="D447" s="153">
        <v>35</v>
      </c>
      <c r="E447" s="153">
        <v>44.86</v>
      </c>
      <c r="F447" s="153">
        <v>39.659999999999997</v>
      </c>
      <c r="G447" s="154">
        <v>44.414999999999999</v>
      </c>
      <c r="H447" s="154">
        <v>49.710999999999999</v>
      </c>
      <c r="I447" s="154">
        <v>40.31</v>
      </c>
      <c r="J447" s="154">
        <v>42.191000000000003</v>
      </c>
      <c r="K447" s="154">
        <v>46.4</v>
      </c>
      <c r="L447" s="154">
        <v>37.24</v>
      </c>
      <c r="M447" s="154">
        <v>4.03</v>
      </c>
      <c r="N447" s="154">
        <v>10.41</v>
      </c>
      <c r="O447" s="154">
        <v>35.4</v>
      </c>
      <c r="P447" s="154">
        <v>37.36</v>
      </c>
      <c r="Q447" s="154"/>
    </row>
    <row r="448" spans="1:17" x14ac:dyDescent="0.25">
      <c r="A448" s="150" t="s">
        <v>21</v>
      </c>
      <c r="B448" s="153">
        <v>23.5</v>
      </c>
      <c r="C448" s="153">
        <v>1</v>
      </c>
      <c r="D448" s="153">
        <v>65.5</v>
      </c>
      <c r="E448" s="153">
        <v>0.14199999999999999</v>
      </c>
      <c r="F448" s="153">
        <v>5.34</v>
      </c>
      <c r="G448" s="154">
        <v>0.58499999999999996</v>
      </c>
      <c r="H448" s="154">
        <v>0.629</v>
      </c>
      <c r="I448" s="154">
        <v>5.269999999999996</v>
      </c>
      <c r="J448" s="154">
        <v>3.4380000000000002</v>
      </c>
      <c r="K448" s="154">
        <f>K445-K447</f>
        <v>3.8700000000000045</v>
      </c>
      <c r="L448" s="154">
        <f>L445-L447</f>
        <v>4.097999999999999</v>
      </c>
      <c r="M448" s="154">
        <f>M445-M447</f>
        <v>37.74</v>
      </c>
      <c r="N448" s="154">
        <f>N444-N447</f>
        <v>27.49</v>
      </c>
      <c r="O448" s="154">
        <f>O444-O447</f>
        <v>2.5</v>
      </c>
      <c r="P448" s="154">
        <f>P444-P447</f>
        <v>0.53999999999999915</v>
      </c>
      <c r="Q448" s="154"/>
    </row>
    <row r="449" spans="1:17" x14ac:dyDescent="0.25">
      <c r="A449" s="155" t="s">
        <v>22</v>
      </c>
      <c r="B449" s="156" t="s">
        <v>161</v>
      </c>
      <c r="C449" s="156" t="s">
        <v>161</v>
      </c>
      <c r="D449" s="156" t="s">
        <v>161</v>
      </c>
      <c r="E449" s="156">
        <v>2015</v>
      </c>
      <c r="F449" s="156">
        <v>2016</v>
      </c>
      <c r="G449" s="157">
        <v>2017</v>
      </c>
      <c r="H449" s="157">
        <v>2018</v>
      </c>
      <c r="I449" s="157">
        <v>2019</v>
      </c>
      <c r="J449" s="157">
        <v>2020</v>
      </c>
      <c r="K449" s="157">
        <v>2021</v>
      </c>
      <c r="L449" s="156"/>
      <c r="M449" s="156"/>
      <c r="N449" s="156"/>
      <c r="O449" s="156"/>
      <c r="P449" s="156"/>
      <c r="Q449" s="156"/>
    </row>
    <row r="450" spans="1:17" x14ac:dyDescent="0.25">
      <c r="A450" s="90" t="s">
        <v>154</v>
      </c>
      <c r="B450" s="90"/>
      <c r="C450" s="90"/>
      <c r="D450" s="90"/>
      <c r="E450" s="90"/>
      <c r="F450" s="90"/>
      <c r="G450" s="90"/>
      <c r="H450" s="90"/>
      <c r="I450" s="90"/>
      <c r="J450" s="90"/>
      <c r="K450" s="90"/>
      <c r="L450" s="90"/>
      <c r="M450" s="90"/>
      <c r="N450" s="90"/>
      <c r="O450" s="90"/>
      <c r="P450" s="90"/>
      <c r="Q450" s="90"/>
    </row>
    <row r="451" spans="1:17" x14ac:dyDescent="0.25">
      <c r="A451" s="29" t="s">
        <v>612</v>
      </c>
      <c r="B451" s="30"/>
      <c r="C451" s="30"/>
      <c r="D451" s="30"/>
      <c r="E451" s="30"/>
      <c r="F451" s="30"/>
      <c r="G451" s="30"/>
      <c r="H451" s="30"/>
      <c r="I451" s="30"/>
      <c r="J451" s="30"/>
      <c r="K451" s="30"/>
      <c r="L451" s="30"/>
      <c r="M451" s="30"/>
      <c r="N451" s="30"/>
      <c r="O451" s="30"/>
      <c r="P451" s="88"/>
      <c r="Q451" s="88"/>
    </row>
    <row r="452" spans="1:17" x14ac:dyDescent="0.25">
      <c r="A452" s="158" t="s">
        <v>162</v>
      </c>
      <c r="B452" s="19"/>
      <c r="C452" s="19"/>
      <c r="D452" s="19"/>
      <c r="E452" s="19"/>
      <c r="F452" s="19"/>
      <c r="G452" s="19"/>
      <c r="H452" s="19"/>
      <c r="I452" s="19"/>
      <c r="J452" s="19"/>
      <c r="K452" s="19"/>
      <c r="L452" s="19"/>
      <c r="M452" s="19"/>
      <c r="N452" s="19"/>
      <c r="O452" s="19"/>
      <c r="P452" s="19"/>
      <c r="Q452" s="63"/>
    </row>
    <row r="453" spans="1:17" x14ac:dyDescent="0.25">
      <c r="A453" s="159" t="s">
        <v>341</v>
      </c>
      <c r="Q453" s="64"/>
    </row>
    <row r="454" spans="1:17" x14ac:dyDescent="0.25">
      <c r="A454" s="39" t="s">
        <v>342</v>
      </c>
      <c r="Q454" s="64"/>
    </row>
    <row r="455" spans="1:17" x14ac:dyDescent="0.25">
      <c r="A455" s="39" t="s">
        <v>438</v>
      </c>
      <c r="Q455" s="64"/>
    </row>
    <row r="456" spans="1:17" x14ac:dyDescent="0.25">
      <c r="A456" s="41" t="s">
        <v>775</v>
      </c>
      <c r="B456" s="34"/>
      <c r="C456" s="34"/>
      <c r="D456" s="34"/>
      <c r="E456" s="34"/>
      <c r="F456" s="34"/>
      <c r="G456" s="34"/>
      <c r="H456" s="34"/>
      <c r="I456" s="34"/>
      <c r="J456" s="34"/>
      <c r="K456" s="34"/>
      <c r="L456" s="34"/>
      <c r="M456" s="34"/>
      <c r="N456" s="34"/>
      <c r="O456" s="34"/>
      <c r="P456" s="34"/>
      <c r="Q456" s="48"/>
    </row>
    <row r="458" spans="1:17" x14ac:dyDescent="0.25">
      <c r="A458" s="6" t="s">
        <v>14</v>
      </c>
      <c r="B458" s="7" t="s">
        <v>79</v>
      </c>
      <c r="C458" s="7" t="s">
        <v>15</v>
      </c>
    </row>
    <row r="459" spans="1:17" x14ac:dyDescent="0.25">
      <c r="A459" s="162" t="s">
        <v>16</v>
      </c>
      <c r="B459" s="163">
        <v>2010</v>
      </c>
      <c r="C459" s="151">
        <v>2011</v>
      </c>
      <c r="D459" s="151">
        <v>2012</v>
      </c>
      <c r="E459" s="151">
        <v>2013</v>
      </c>
      <c r="F459" s="151">
        <v>2014</v>
      </c>
      <c r="G459" s="151">
        <v>2015</v>
      </c>
      <c r="H459" s="151">
        <v>2016</v>
      </c>
      <c r="I459" s="151">
        <v>2017</v>
      </c>
      <c r="J459" s="151">
        <v>2018</v>
      </c>
      <c r="K459" s="152">
        <v>2019</v>
      </c>
      <c r="L459" s="152">
        <v>2020</v>
      </c>
      <c r="M459" s="152">
        <v>2021</v>
      </c>
      <c r="N459" s="152">
        <v>2022</v>
      </c>
      <c r="O459" s="152">
        <v>2023</v>
      </c>
      <c r="P459" s="152">
        <v>2024</v>
      </c>
      <c r="Q459" s="152">
        <v>2025</v>
      </c>
    </row>
    <row r="460" spans="1:17" x14ac:dyDescent="0.25">
      <c r="A460" s="150" t="s">
        <v>17</v>
      </c>
      <c r="B460" s="153">
        <v>9.9</v>
      </c>
      <c r="C460" s="153">
        <v>9.9</v>
      </c>
      <c r="D460" s="153">
        <v>9.9</v>
      </c>
      <c r="E460" s="153">
        <v>10</v>
      </c>
      <c r="F460" s="153">
        <v>10</v>
      </c>
      <c r="G460" s="153">
        <v>10</v>
      </c>
      <c r="H460" s="154">
        <v>10</v>
      </c>
      <c r="I460" s="154">
        <v>10</v>
      </c>
      <c r="J460" s="154">
        <v>10</v>
      </c>
      <c r="K460" s="154">
        <v>10</v>
      </c>
      <c r="L460" s="154">
        <v>10</v>
      </c>
      <c r="M460" s="154">
        <v>10</v>
      </c>
      <c r="N460" s="154">
        <v>10</v>
      </c>
      <c r="O460" s="154">
        <v>10</v>
      </c>
      <c r="P460" s="154">
        <v>10</v>
      </c>
      <c r="Q460" s="154">
        <v>10</v>
      </c>
    </row>
    <row r="461" spans="1:17" x14ac:dyDescent="0.25">
      <c r="A461" s="150" t="s">
        <v>18</v>
      </c>
      <c r="B461" s="153">
        <v>9.9</v>
      </c>
      <c r="C461" s="153">
        <v>9.9</v>
      </c>
      <c r="D461" s="153">
        <v>9.9</v>
      </c>
      <c r="E461" s="153">
        <v>10</v>
      </c>
      <c r="F461" s="153">
        <v>10</v>
      </c>
      <c r="G461" s="153">
        <v>12</v>
      </c>
      <c r="H461" s="154">
        <v>12</v>
      </c>
      <c r="I461" s="154">
        <v>12</v>
      </c>
      <c r="J461" s="153">
        <v>12</v>
      </c>
      <c r="K461" s="154">
        <v>12</v>
      </c>
      <c r="L461" s="154">
        <f>L460*1.2</f>
        <v>12</v>
      </c>
      <c r="M461" s="154">
        <f>M460*1.2</f>
        <v>12</v>
      </c>
      <c r="N461" s="154"/>
      <c r="O461" s="154"/>
      <c r="P461" s="154"/>
      <c r="Q461" s="154"/>
    </row>
    <row r="462" spans="1:17" x14ac:dyDescent="0.25">
      <c r="A462" s="150" t="s">
        <v>19</v>
      </c>
      <c r="B462" s="150"/>
      <c r="C462" s="150"/>
      <c r="D462" s="150"/>
      <c r="E462" s="150"/>
      <c r="F462" s="150"/>
      <c r="G462" s="11"/>
      <c r="H462" s="11"/>
      <c r="I462" s="11"/>
      <c r="J462" s="11"/>
      <c r="K462" s="11"/>
      <c r="L462" s="11"/>
      <c r="M462" s="11"/>
      <c r="N462" s="11"/>
      <c r="O462" s="11"/>
      <c r="P462" s="11"/>
      <c r="Q462" s="11"/>
    </row>
    <row r="463" spans="1:17" x14ac:dyDescent="0.25">
      <c r="A463" s="150" t="s">
        <v>20</v>
      </c>
      <c r="B463" s="153">
        <v>8</v>
      </c>
      <c r="C463" s="153">
        <v>0.73</v>
      </c>
      <c r="D463" s="153">
        <v>0.21</v>
      </c>
      <c r="E463" s="153">
        <v>2.1179999999999999</v>
      </c>
      <c r="F463" s="153">
        <v>0</v>
      </c>
      <c r="G463" s="154">
        <v>0.34799999999999998</v>
      </c>
      <c r="H463" s="154">
        <v>0.26300000000000001</v>
      </c>
      <c r="I463" s="154">
        <v>2.5299999999999998</v>
      </c>
      <c r="J463" s="154">
        <v>3.23</v>
      </c>
      <c r="K463" s="154">
        <v>2.88</v>
      </c>
      <c r="L463" s="154">
        <v>1.81</v>
      </c>
      <c r="M463" s="154">
        <v>1.57</v>
      </c>
      <c r="N463" s="154">
        <v>2.13</v>
      </c>
      <c r="O463" s="154">
        <v>1.5</v>
      </c>
      <c r="P463" s="154">
        <v>1.92</v>
      </c>
      <c r="Q463" s="154"/>
    </row>
    <row r="464" spans="1:17" x14ac:dyDescent="0.25">
      <c r="A464" s="150" t="s">
        <v>21</v>
      </c>
      <c r="B464" s="153">
        <v>1.9</v>
      </c>
      <c r="C464" s="153">
        <v>9.17</v>
      </c>
      <c r="D464" s="153">
        <v>9.69</v>
      </c>
      <c r="E464" s="153">
        <v>7.8819999999999997</v>
      </c>
      <c r="F464" s="153">
        <v>10</v>
      </c>
      <c r="G464" s="154">
        <v>11.651999999999999</v>
      </c>
      <c r="H464" s="154">
        <v>11.737</v>
      </c>
      <c r="I464" s="154">
        <v>9.4700000000000006</v>
      </c>
      <c r="J464" s="154">
        <v>8.77</v>
      </c>
      <c r="K464" s="154">
        <f>K461-K463</f>
        <v>9.120000000000001</v>
      </c>
      <c r="L464" s="154">
        <f>L461-L463</f>
        <v>10.19</v>
      </c>
      <c r="M464" s="154">
        <f>M461-M463</f>
        <v>10.43</v>
      </c>
      <c r="N464" s="154">
        <f>N460-N463</f>
        <v>7.87</v>
      </c>
      <c r="O464" s="154">
        <f>O460-O463</f>
        <v>8.5</v>
      </c>
      <c r="P464" s="154">
        <f>P460-P463</f>
        <v>8.08</v>
      </c>
      <c r="Q464" s="154"/>
    </row>
    <row r="465" spans="1:17" x14ac:dyDescent="0.25">
      <c r="A465" s="155" t="s">
        <v>22</v>
      </c>
      <c r="B465" s="156" t="s">
        <v>161</v>
      </c>
      <c r="C465" s="156" t="s">
        <v>161</v>
      </c>
      <c r="D465" s="156" t="s">
        <v>161</v>
      </c>
      <c r="E465" s="156">
        <v>2015</v>
      </c>
      <c r="F465" s="156">
        <v>2016</v>
      </c>
      <c r="G465" s="157">
        <v>2017</v>
      </c>
      <c r="H465" s="157">
        <v>2018</v>
      </c>
      <c r="I465" s="157">
        <v>2019</v>
      </c>
      <c r="J465" s="157">
        <v>2020</v>
      </c>
      <c r="K465" s="157">
        <v>2021</v>
      </c>
      <c r="L465" s="156"/>
      <c r="M465" s="156"/>
      <c r="N465" s="156"/>
      <c r="O465" s="156"/>
      <c r="P465" s="156"/>
      <c r="Q465" s="156"/>
    </row>
    <row r="466" spans="1:17" x14ac:dyDescent="0.25">
      <c r="A466" s="29" t="s">
        <v>154</v>
      </c>
      <c r="B466" s="30"/>
      <c r="C466" s="30"/>
      <c r="D466" s="30"/>
      <c r="E466" s="30"/>
      <c r="F466" s="30"/>
      <c r="G466" s="30"/>
      <c r="H466" s="30"/>
      <c r="I466" s="30"/>
      <c r="J466" s="30"/>
      <c r="K466" s="30"/>
      <c r="L466" s="30"/>
      <c r="M466" s="30"/>
      <c r="N466" s="30"/>
      <c r="O466" s="30"/>
      <c r="P466" s="88"/>
      <c r="Q466" s="63"/>
    </row>
    <row r="467" spans="1:17" x14ac:dyDescent="0.25">
      <c r="A467" s="39" t="s">
        <v>613</v>
      </c>
      <c r="Q467" s="63"/>
    </row>
    <row r="468" spans="1:17" x14ac:dyDescent="0.25">
      <c r="A468" s="39" t="s">
        <v>163</v>
      </c>
      <c r="Q468" s="64"/>
    </row>
    <row r="469" spans="1:17" x14ac:dyDescent="0.25">
      <c r="A469" s="39" t="s">
        <v>343</v>
      </c>
      <c r="Q469" s="64"/>
    </row>
    <row r="470" spans="1:17" x14ac:dyDescent="0.25">
      <c r="A470" s="39" t="s">
        <v>439</v>
      </c>
      <c r="Q470" s="64"/>
    </row>
    <row r="471" spans="1:17" x14ac:dyDescent="0.25">
      <c r="A471" s="41" t="s">
        <v>775</v>
      </c>
      <c r="B471" s="34"/>
      <c r="C471" s="34"/>
      <c r="D471" s="34"/>
      <c r="E471" s="34"/>
      <c r="F471" s="34"/>
      <c r="G471" s="34"/>
      <c r="H471" s="34"/>
      <c r="I471" s="34"/>
      <c r="J471" s="34"/>
      <c r="K471" s="34"/>
      <c r="L471" s="34"/>
      <c r="M471" s="34"/>
      <c r="N471" s="34"/>
      <c r="O471" s="34"/>
      <c r="P471" s="34"/>
      <c r="Q471" s="48"/>
    </row>
    <row r="474" spans="1:17" x14ac:dyDescent="0.25">
      <c r="A474" s="6" t="s">
        <v>12</v>
      </c>
      <c r="B474" s="7" t="s">
        <v>85</v>
      </c>
    </row>
    <row r="475" spans="1:17" x14ac:dyDescent="0.25">
      <c r="A475" s="6" t="s">
        <v>14</v>
      </c>
      <c r="B475" s="7" t="s">
        <v>624</v>
      </c>
      <c r="C475" s="9" t="s">
        <v>15</v>
      </c>
    </row>
    <row r="476" spans="1:17" x14ac:dyDescent="0.25">
      <c r="A476" s="10" t="s">
        <v>16</v>
      </c>
      <c r="B476" s="152">
        <v>2015</v>
      </c>
      <c r="C476" s="170">
        <v>2016</v>
      </c>
      <c r="D476" s="152">
        <v>2017</v>
      </c>
      <c r="E476" s="171">
        <v>2018</v>
      </c>
      <c r="F476" s="171">
        <v>2019</v>
      </c>
      <c r="G476" s="152">
        <v>2020</v>
      </c>
      <c r="H476" s="152">
        <v>2021</v>
      </c>
      <c r="I476" s="152">
        <v>2022</v>
      </c>
      <c r="J476" s="152">
        <v>2023</v>
      </c>
      <c r="K476" s="152">
        <v>2024</v>
      </c>
      <c r="L476" s="152">
        <v>2025</v>
      </c>
    </row>
    <row r="477" spans="1:17" x14ac:dyDescent="0.25">
      <c r="A477" s="10" t="s">
        <v>17</v>
      </c>
      <c r="B477" s="154">
        <v>3271.7</v>
      </c>
      <c r="C477" s="172">
        <v>3271.7</v>
      </c>
      <c r="D477" s="154">
        <v>3271.7</v>
      </c>
      <c r="E477" s="173">
        <v>3926</v>
      </c>
      <c r="F477" s="173">
        <v>3926</v>
      </c>
      <c r="G477" s="154">
        <v>3926</v>
      </c>
      <c r="H477" s="154">
        <v>4416.8999999999996</v>
      </c>
      <c r="I477" s="154">
        <v>4416.8999999999996</v>
      </c>
      <c r="J477" s="154">
        <v>4416.8999999999996</v>
      </c>
      <c r="K477" s="154">
        <v>5521.1</v>
      </c>
      <c r="L477" s="154">
        <v>5521.1</v>
      </c>
    </row>
    <row r="478" spans="1:17" x14ac:dyDescent="0.25">
      <c r="A478" s="10" t="s">
        <v>18</v>
      </c>
      <c r="B478" s="154">
        <v>3789.62</v>
      </c>
      <c r="C478" s="172">
        <v>3789.62</v>
      </c>
      <c r="D478" s="154">
        <v>3789.62</v>
      </c>
      <c r="E478" s="173">
        <v>4281.62</v>
      </c>
      <c r="F478" s="173">
        <v>4543.9250000000002</v>
      </c>
      <c r="G478" s="173">
        <v>4707.5</v>
      </c>
      <c r="H478" s="173">
        <f>H477+0.25*F477-200</f>
        <v>5198.3999999999996</v>
      </c>
      <c r="I478" s="173">
        <f>I477+0.25*G477-200</f>
        <v>5198.3999999999996</v>
      </c>
      <c r="J478" s="173">
        <f>J477+0.25*H477-200</f>
        <v>5321.125</v>
      </c>
      <c r="K478" s="173">
        <f>K477+0.25*I477-200</f>
        <v>6425.3250000000007</v>
      </c>
      <c r="L478" s="173">
        <f>L477+0.25*J477-200</f>
        <v>6425.3250000000007</v>
      </c>
    </row>
    <row r="479" spans="1:17" ht="26.4" x14ac:dyDescent="0.25">
      <c r="A479" s="10" t="s">
        <v>19</v>
      </c>
      <c r="B479" s="174" t="s">
        <v>86</v>
      </c>
      <c r="C479" s="174" t="s">
        <v>86</v>
      </c>
      <c r="D479" s="174" t="s">
        <v>86</v>
      </c>
      <c r="E479" s="175" t="s">
        <v>87</v>
      </c>
      <c r="F479" s="175" t="s">
        <v>391</v>
      </c>
      <c r="G479" s="175" t="s">
        <v>392</v>
      </c>
      <c r="H479" s="175" t="s">
        <v>442</v>
      </c>
      <c r="I479" s="175" t="s">
        <v>442</v>
      </c>
      <c r="J479" s="175" t="s">
        <v>777</v>
      </c>
      <c r="K479" s="175" t="s">
        <v>964</v>
      </c>
      <c r="L479" s="175" t="s">
        <v>964</v>
      </c>
    </row>
    <row r="480" spans="1:17" x14ac:dyDescent="0.25">
      <c r="A480" s="10" t="s">
        <v>20</v>
      </c>
      <c r="B480" s="154">
        <v>2857</v>
      </c>
      <c r="C480" s="172">
        <v>3134</v>
      </c>
      <c r="D480" s="154">
        <v>2385</v>
      </c>
      <c r="E480" s="154">
        <v>2926</v>
      </c>
      <c r="F480" s="173">
        <v>2770</v>
      </c>
      <c r="G480" s="154">
        <v>3549</v>
      </c>
      <c r="H480" s="154">
        <v>2896</v>
      </c>
      <c r="I480" s="154">
        <v>2806</v>
      </c>
      <c r="J480" s="154">
        <v>2782</v>
      </c>
      <c r="K480" s="154">
        <v>2446</v>
      </c>
      <c r="L480" s="154"/>
    </row>
    <row r="481" spans="1:13" x14ac:dyDescent="0.25">
      <c r="A481" s="10" t="s">
        <v>21</v>
      </c>
      <c r="B481" s="154">
        <v>932.62</v>
      </c>
      <c r="C481" s="172">
        <v>655.62</v>
      </c>
      <c r="D481" s="154">
        <v>1404.62</v>
      </c>
      <c r="E481" s="154">
        <v>1355.62</v>
      </c>
      <c r="F481" s="173">
        <v>1773.9250000000002</v>
      </c>
      <c r="G481" s="173">
        <f t="shared" ref="G481:L481" si="19">G478-G480</f>
        <v>1158.5</v>
      </c>
      <c r="H481" s="173">
        <f t="shared" si="19"/>
        <v>2302.3999999999996</v>
      </c>
      <c r="I481" s="173">
        <f t="shared" si="19"/>
        <v>2392.3999999999996</v>
      </c>
      <c r="J481" s="154">
        <f t="shared" si="19"/>
        <v>2539.125</v>
      </c>
      <c r="K481" s="154">
        <f t="shared" si="19"/>
        <v>3979.3250000000007</v>
      </c>
      <c r="L481" s="154">
        <f t="shared" si="19"/>
        <v>6425.3250000000007</v>
      </c>
    </row>
    <row r="482" spans="1:13" x14ac:dyDescent="0.25">
      <c r="A482" s="16" t="s">
        <v>22</v>
      </c>
      <c r="B482" s="157">
        <v>2017</v>
      </c>
      <c r="C482" s="176">
        <v>2018</v>
      </c>
      <c r="D482" s="157">
        <v>2019</v>
      </c>
      <c r="E482" s="177">
        <v>2020</v>
      </c>
      <c r="F482" s="177">
        <v>2021</v>
      </c>
      <c r="G482" s="157">
        <v>2022</v>
      </c>
      <c r="H482" s="157">
        <v>2023</v>
      </c>
      <c r="I482" s="157">
        <v>2024</v>
      </c>
      <c r="J482" s="157">
        <v>2025</v>
      </c>
      <c r="K482" s="157">
        <v>2026</v>
      </c>
      <c r="L482" s="178">
        <v>2027</v>
      </c>
    </row>
    <row r="483" spans="1:13" x14ac:dyDescent="0.25">
      <c r="A483" s="16" t="s">
        <v>23</v>
      </c>
      <c r="B483" s="46"/>
      <c r="C483" s="46"/>
      <c r="D483" s="46"/>
      <c r="E483" s="46"/>
      <c r="F483" s="46"/>
      <c r="G483" s="46"/>
      <c r="H483" s="46"/>
      <c r="I483" s="46"/>
      <c r="J483" s="47"/>
      <c r="K483" s="47"/>
      <c r="L483" s="62"/>
    </row>
    <row r="484" spans="1:13" x14ac:dyDescent="0.25">
      <c r="A484" s="16" t="s">
        <v>88</v>
      </c>
      <c r="B484" s="46"/>
      <c r="C484" s="46"/>
      <c r="D484" s="46"/>
      <c r="E484" s="46"/>
      <c r="F484" s="46"/>
      <c r="G484" s="46"/>
      <c r="H484" s="46"/>
      <c r="I484" s="46"/>
      <c r="J484" s="46"/>
      <c r="K484" s="19"/>
      <c r="L484" s="63"/>
    </row>
    <row r="485" spans="1:13" x14ac:dyDescent="0.25">
      <c r="A485" s="694" t="s">
        <v>393</v>
      </c>
      <c r="B485" s="695"/>
      <c r="C485" s="695"/>
      <c r="D485" s="695"/>
      <c r="E485" s="695"/>
      <c r="F485" s="695"/>
      <c r="G485" s="695"/>
      <c r="L485" s="64"/>
    </row>
    <row r="486" spans="1:13" x14ac:dyDescent="0.25">
      <c r="A486" s="39" t="s">
        <v>344</v>
      </c>
      <c r="L486" s="64"/>
    </row>
    <row r="487" spans="1:13" x14ac:dyDescent="0.25">
      <c r="A487" s="39" t="s">
        <v>394</v>
      </c>
      <c r="L487" s="64"/>
    </row>
    <row r="488" spans="1:13" x14ac:dyDescent="0.25">
      <c r="A488" s="39" t="s">
        <v>440</v>
      </c>
      <c r="L488" s="64"/>
    </row>
    <row r="489" spans="1:13" x14ac:dyDescent="0.25">
      <c r="A489" s="39" t="s">
        <v>441</v>
      </c>
      <c r="L489" s="64"/>
    </row>
    <row r="490" spans="1:13" x14ac:dyDescent="0.25">
      <c r="A490" s="39" t="s">
        <v>585</v>
      </c>
      <c r="L490" s="64"/>
    </row>
    <row r="491" spans="1:13" x14ac:dyDescent="0.25">
      <c r="A491" s="694" t="s">
        <v>776</v>
      </c>
      <c r="B491" s="695"/>
      <c r="C491" s="695"/>
      <c r="D491" s="695"/>
      <c r="E491" s="695"/>
      <c r="F491" s="695"/>
      <c r="G491" s="695"/>
      <c r="L491" s="64"/>
    </row>
    <row r="492" spans="1:13" x14ac:dyDescent="0.25">
      <c r="A492" s="159" t="s">
        <v>963</v>
      </c>
      <c r="B492" s="121"/>
      <c r="C492" s="121"/>
      <c r="D492" s="121"/>
      <c r="E492" s="121"/>
      <c r="F492" s="121"/>
      <c r="G492" s="121"/>
      <c r="L492" s="64"/>
    </row>
    <row r="493" spans="1:13" x14ac:dyDescent="0.25">
      <c r="A493" s="169" t="s">
        <v>1116</v>
      </c>
      <c r="B493" s="179"/>
      <c r="C493" s="179"/>
      <c r="D493" s="179"/>
      <c r="E493" s="179"/>
      <c r="F493" s="179"/>
      <c r="G493" s="179"/>
      <c r="H493" s="34"/>
      <c r="I493" s="34"/>
      <c r="J493" s="34"/>
      <c r="K493" s="34"/>
      <c r="L493" s="48"/>
    </row>
    <row r="495" spans="1:13" x14ac:dyDescent="0.25">
      <c r="A495" s="6" t="s">
        <v>14</v>
      </c>
      <c r="B495" s="7" t="s">
        <v>638</v>
      </c>
      <c r="C495" s="9" t="s">
        <v>15</v>
      </c>
    </row>
    <row r="496" spans="1:13" x14ac:dyDescent="0.25">
      <c r="A496" s="10" t="s">
        <v>16</v>
      </c>
      <c r="B496" s="152">
        <v>2015</v>
      </c>
      <c r="C496" s="170">
        <v>2016</v>
      </c>
      <c r="D496" s="152">
        <v>2017</v>
      </c>
      <c r="E496" s="171">
        <v>2018</v>
      </c>
      <c r="F496" s="171">
        <v>2019</v>
      </c>
      <c r="G496" s="152">
        <v>2020</v>
      </c>
      <c r="H496" s="152">
        <v>2021</v>
      </c>
      <c r="I496" s="152">
        <v>2022</v>
      </c>
      <c r="J496" s="152">
        <v>2023</v>
      </c>
      <c r="K496" s="152">
        <v>2024</v>
      </c>
      <c r="L496" s="152">
        <v>2025</v>
      </c>
      <c r="M496" s="152">
        <v>2026</v>
      </c>
    </row>
    <row r="497" spans="1:13" x14ac:dyDescent="0.25">
      <c r="A497" s="10" t="s">
        <v>17</v>
      </c>
      <c r="B497" s="154">
        <v>9400</v>
      </c>
      <c r="C497" s="172">
        <v>9400</v>
      </c>
      <c r="D497" s="154">
        <v>9400</v>
      </c>
      <c r="E497" s="173">
        <v>9400</v>
      </c>
      <c r="F497" s="173">
        <v>9400</v>
      </c>
      <c r="G497" s="154">
        <v>9400</v>
      </c>
      <c r="H497" s="154">
        <v>9400</v>
      </c>
      <c r="I497" s="154">
        <v>9400</v>
      </c>
      <c r="J497" s="154">
        <v>10340</v>
      </c>
      <c r="K497" s="154">
        <v>10340</v>
      </c>
      <c r="L497" s="154">
        <v>10340</v>
      </c>
      <c r="M497" s="154">
        <v>10340</v>
      </c>
    </row>
    <row r="498" spans="1:13" x14ac:dyDescent="0.25">
      <c r="A498" s="10" t="s">
        <v>18</v>
      </c>
      <c r="B498" s="154">
        <v>11506.75</v>
      </c>
      <c r="C498" s="172">
        <v>11750</v>
      </c>
      <c r="D498" s="154">
        <v>11750</v>
      </c>
      <c r="E498" s="173">
        <v>11750</v>
      </c>
      <c r="F498" s="173">
        <f>F497*1.25</f>
        <v>11750</v>
      </c>
      <c r="G498" s="154">
        <f>G497*1.25-200</f>
        <v>11550</v>
      </c>
      <c r="H498" s="154">
        <f>H497+F501</f>
        <v>11524</v>
      </c>
      <c r="I498" s="154">
        <f>I497+G501+85</f>
        <v>11184</v>
      </c>
      <c r="J498" s="154">
        <f>J497+H501</f>
        <v>11345</v>
      </c>
      <c r="K498" s="154">
        <f>K497+139.98</f>
        <v>10479.98</v>
      </c>
      <c r="L498" s="180">
        <f>L497+J501+2135-1425.02</f>
        <v>11499.98</v>
      </c>
      <c r="M498" s="154"/>
    </row>
    <row r="499" spans="1:13" ht="26.4" x14ac:dyDescent="0.25">
      <c r="A499" s="10" t="s">
        <v>19</v>
      </c>
      <c r="B499" s="174" t="s">
        <v>89</v>
      </c>
      <c r="C499" s="174" t="s">
        <v>90</v>
      </c>
      <c r="D499" s="174" t="s">
        <v>90</v>
      </c>
      <c r="E499" s="175" t="s">
        <v>90</v>
      </c>
      <c r="F499" s="175" t="s">
        <v>90</v>
      </c>
      <c r="G499" s="181" t="s">
        <v>346</v>
      </c>
      <c r="H499" s="181" t="s">
        <v>444</v>
      </c>
      <c r="I499" s="181" t="s">
        <v>712</v>
      </c>
      <c r="J499" s="181" t="s">
        <v>870</v>
      </c>
      <c r="K499" s="181" t="s">
        <v>923</v>
      </c>
      <c r="L499" s="182" t="s">
        <v>1138</v>
      </c>
      <c r="M499" s="181"/>
    </row>
    <row r="500" spans="1:13" x14ac:dyDescent="0.25">
      <c r="A500" s="10" t="s">
        <v>20</v>
      </c>
      <c r="B500" s="154">
        <v>7157</v>
      </c>
      <c r="C500" s="172">
        <v>8907</v>
      </c>
      <c r="D500" s="154">
        <v>9090</v>
      </c>
      <c r="E500" s="154">
        <v>9227</v>
      </c>
      <c r="F500" s="173">
        <v>9626</v>
      </c>
      <c r="G500" s="154">
        <v>9851</v>
      </c>
      <c r="H500" s="154">
        <v>10519</v>
      </c>
      <c r="I500" s="154">
        <v>8894</v>
      </c>
      <c r="J500" s="154">
        <v>10895</v>
      </c>
      <c r="K500" s="154">
        <v>11905</v>
      </c>
      <c r="L500" s="154"/>
      <c r="M500" s="154"/>
    </row>
    <row r="501" spans="1:13" x14ac:dyDescent="0.25">
      <c r="A501" s="10" t="s">
        <v>21</v>
      </c>
      <c r="B501" s="154">
        <v>4349.75</v>
      </c>
      <c r="C501" s="172">
        <v>2843</v>
      </c>
      <c r="D501" s="154">
        <v>2660</v>
      </c>
      <c r="E501" s="154">
        <v>2523</v>
      </c>
      <c r="F501" s="173">
        <f>F498-F500</f>
        <v>2124</v>
      </c>
      <c r="G501" s="154">
        <f>G498-G500</f>
        <v>1699</v>
      </c>
      <c r="H501" s="154">
        <v>1005</v>
      </c>
      <c r="I501" s="154">
        <f>I498-I500</f>
        <v>2290</v>
      </c>
      <c r="J501" s="154">
        <f>J498-J500</f>
        <v>450</v>
      </c>
      <c r="K501" s="180">
        <f t="shared" ref="K501" si="20">K498-K500</f>
        <v>-1425.0200000000004</v>
      </c>
      <c r="L501" s="154"/>
      <c r="M501" s="154"/>
    </row>
    <row r="502" spans="1:13" ht="52.8" x14ac:dyDescent="0.25">
      <c r="A502" s="16" t="s">
        <v>22</v>
      </c>
      <c r="B502" s="157">
        <v>2017</v>
      </c>
      <c r="C502" s="176">
        <v>2018</v>
      </c>
      <c r="D502" s="157">
        <v>2019</v>
      </c>
      <c r="E502" s="177">
        <v>2020</v>
      </c>
      <c r="F502" s="177">
        <v>2021</v>
      </c>
      <c r="G502" s="177">
        <v>2022</v>
      </c>
      <c r="H502" s="177">
        <v>2023</v>
      </c>
      <c r="I502" s="177">
        <v>2024</v>
      </c>
      <c r="J502" s="177">
        <v>2025</v>
      </c>
      <c r="K502" s="177">
        <v>2026</v>
      </c>
      <c r="L502" s="183" t="s">
        <v>1150</v>
      </c>
      <c r="M502" s="177">
        <v>2028</v>
      </c>
    </row>
    <row r="503" spans="1:13" x14ac:dyDescent="0.25">
      <c r="A503" s="29" t="s">
        <v>23</v>
      </c>
      <c r="B503" s="728"/>
      <c r="C503" s="728"/>
      <c r="D503" s="728"/>
      <c r="E503" s="728"/>
      <c r="F503" s="728"/>
      <c r="G503" s="728"/>
      <c r="H503" s="728"/>
      <c r="I503" s="728"/>
      <c r="J503" s="728"/>
      <c r="K503" s="728"/>
      <c r="L503" s="728"/>
      <c r="M503" s="729"/>
    </row>
    <row r="504" spans="1:13" x14ac:dyDescent="0.25">
      <c r="A504" s="694" t="s">
        <v>91</v>
      </c>
      <c r="B504" s="695"/>
      <c r="C504" s="695"/>
      <c r="D504" s="695"/>
      <c r="E504" s="695"/>
      <c r="F504" s="695"/>
      <c r="M504" s="64"/>
    </row>
    <row r="505" spans="1:13" x14ac:dyDescent="0.25">
      <c r="A505" s="159" t="s">
        <v>345</v>
      </c>
      <c r="B505" s="32"/>
      <c r="C505" s="32"/>
      <c r="D505" s="32"/>
      <c r="E505" s="32"/>
      <c r="F505" s="32"/>
      <c r="M505" s="64"/>
    </row>
    <row r="506" spans="1:13" x14ac:dyDescent="0.25">
      <c r="A506" s="159" t="s">
        <v>443</v>
      </c>
      <c r="B506" s="32"/>
      <c r="C506" s="32"/>
      <c r="D506" s="32"/>
      <c r="E506" s="32"/>
      <c r="F506" s="32"/>
      <c r="M506" s="64"/>
    </row>
    <row r="507" spans="1:13" x14ac:dyDescent="0.25">
      <c r="A507" s="159" t="s">
        <v>713</v>
      </c>
      <c r="B507" s="32"/>
      <c r="C507" s="32"/>
      <c r="D507" s="32"/>
      <c r="E507" s="32"/>
      <c r="F507" s="32"/>
      <c r="M507" s="64"/>
    </row>
    <row r="508" spans="1:13" x14ac:dyDescent="0.25">
      <c r="A508" s="159" t="s">
        <v>871</v>
      </c>
      <c r="B508" s="32"/>
      <c r="C508" s="32"/>
      <c r="D508" s="32"/>
      <c r="E508" s="32"/>
      <c r="F508" s="32"/>
      <c r="M508" s="64"/>
    </row>
    <row r="509" spans="1:13" x14ac:dyDescent="0.25">
      <c r="A509" s="159" t="s">
        <v>990</v>
      </c>
      <c r="B509" s="32"/>
      <c r="C509" s="32"/>
      <c r="D509" s="32"/>
      <c r="E509" s="32"/>
      <c r="F509" s="32"/>
      <c r="M509" s="64"/>
    </row>
    <row r="510" spans="1:13" x14ac:dyDescent="0.25">
      <c r="A510" s="160" t="s">
        <v>1139</v>
      </c>
      <c r="B510" s="22"/>
      <c r="C510" s="22"/>
      <c r="D510" s="22"/>
      <c r="E510" s="22"/>
      <c r="F510" s="22"/>
      <c r="G510" s="34"/>
      <c r="H510" s="34"/>
      <c r="I510" s="34"/>
      <c r="J510" s="34"/>
      <c r="K510" s="34"/>
      <c r="L510" s="34"/>
      <c r="M510" s="48"/>
    </row>
    <row r="512" spans="1:13" x14ac:dyDescent="0.25">
      <c r="A512" s="6" t="s">
        <v>14</v>
      </c>
      <c r="B512" s="7" t="s">
        <v>623</v>
      </c>
      <c r="C512" s="9" t="s">
        <v>15</v>
      </c>
    </row>
    <row r="513" spans="1:12" x14ac:dyDescent="0.25">
      <c r="A513" s="10" t="s">
        <v>16</v>
      </c>
      <c r="B513" s="152">
        <v>2015</v>
      </c>
      <c r="C513" s="170">
        <v>2016</v>
      </c>
      <c r="D513" s="152">
        <v>2017</v>
      </c>
      <c r="E513" s="171">
        <v>2018</v>
      </c>
      <c r="F513" s="171">
        <v>2019</v>
      </c>
      <c r="G513" s="152">
        <v>2020</v>
      </c>
      <c r="H513" s="152">
        <v>2021</v>
      </c>
      <c r="I513" s="152">
        <v>2022</v>
      </c>
      <c r="J513" s="152">
        <v>2023</v>
      </c>
      <c r="K513" s="152">
        <v>2024</v>
      </c>
      <c r="L513" s="152">
        <v>2025</v>
      </c>
    </row>
    <row r="514" spans="1:12" x14ac:dyDescent="0.25">
      <c r="A514" s="10" t="s">
        <v>17</v>
      </c>
      <c r="B514" s="154">
        <v>270</v>
      </c>
      <c r="C514" s="172">
        <v>270</v>
      </c>
      <c r="D514" s="154">
        <v>270</v>
      </c>
      <c r="E514" s="173">
        <v>270</v>
      </c>
      <c r="F514" s="173">
        <v>270</v>
      </c>
      <c r="G514" s="154">
        <v>270</v>
      </c>
      <c r="H514" s="154">
        <v>270</v>
      </c>
      <c r="I514" s="154">
        <v>270</v>
      </c>
      <c r="J514" s="154">
        <v>270</v>
      </c>
      <c r="K514" s="154">
        <v>270</v>
      </c>
      <c r="L514" s="154">
        <v>270</v>
      </c>
    </row>
    <row r="515" spans="1:12" x14ac:dyDescent="0.25">
      <c r="A515" s="10" t="s">
        <v>18</v>
      </c>
      <c r="B515" s="154">
        <v>370</v>
      </c>
      <c r="C515" s="172">
        <v>370</v>
      </c>
      <c r="D515" s="154">
        <v>370</v>
      </c>
      <c r="E515" s="173">
        <v>343</v>
      </c>
      <c r="F515" s="173">
        <v>343</v>
      </c>
      <c r="G515" s="154">
        <f>G514*1.4-35-20</f>
        <v>323</v>
      </c>
      <c r="H515" s="154">
        <f>H514*1.4-35-20</f>
        <v>323</v>
      </c>
      <c r="I515" s="154">
        <f>I514*1.4-35-20</f>
        <v>323</v>
      </c>
      <c r="J515" s="154">
        <v>323</v>
      </c>
      <c r="K515" s="154">
        <f>K514+0.4*I514-35-20</f>
        <v>323</v>
      </c>
      <c r="L515" s="154">
        <v>378</v>
      </c>
    </row>
    <row r="516" spans="1:12" x14ac:dyDescent="0.25">
      <c r="A516" s="10" t="s">
        <v>19</v>
      </c>
      <c r="B516" s="174" t="s">
        <v>92</v>
      </c>
      <c r="C516" s="174" t="s">
        <v>92</v>
      </c>
      <c r="D516" s="174" t="s">
        <v>92</v>
      </c>
      <c r="E516" s="175" t="s">
        <v>93</v>
      </c>
      <c r="F516" s="175" t="s">
        <v>93</v>
      </c>
      <c r="G516" s="181" t="s">
        <v>351</v>
      </c>
      <c r="H516" s="181" t="s">
        <v>351</v>
      </c>
      <c r="I516" s="181" t="s">
        <v>351</v>
      </c>
      <c r="J516" s="181" t="s">
        <v>351</v>
      </c>
      <c r="K516" s="181" t="s">
        <v>351</v>
      </c>
      <c r="L516" s="154" t="s">
        <v>1148</v>
      </c>
    </row>
    <row r="517" spans="1:12" x14ac:dyDescent="0.25">
      <c r="A517" s="10" t="s">
        <v>20</v>
      </c>
      <c r="B517" s="154">
        <v>115</v>
      </c>
      <c r="C517" s="154">
        <v>151.72</v>
      </c>
      <c r="D517" s="154">
        <v>95.51</v>
      </c>
      <c r="E517" s="154">
        <v>169.22</v>
      </c>
      <c r="F517" s="173">
        <v>122.25</v>
      </c>
      <c r="G517" s="154">
        <v>157.75</v>
      </c>
      <c r="H517" s="154">
        <v>68</v>
      </c>
      <c r="I517" s="154">
        <v>150</v>
      </c>
      <c r="J517" s="154">
        <v>183</v>
      </c>
      <c r="K517" s="154">
        <v>199</v>
      </c>
      <c r="L517" s="154"/>
    </row>
    <row r="518" spans="1:12" x14ac:dyDescent="0.25">
      <c r="A518" s="10" t="s">
        <v>21</v>
      </c>
      <c r="B518" s="154">
        <v>255</v>
      </c>
      <c r="C518" s="154">
        <f>C515-C517</f>
        <v>218.28</v>
      </c>
      <c r="D518" s="154">
        <f>D515-D517</f>
        <v>274.49</v>
      </c>
      <c r="E518" s="154">
        <v>173.78</v>
      </c>
      <c r="F518" s="173">
        <f t="shared" ref="F518:K518" si="21">F515-F517</f>
        <v>220.75</v>
      </c>
      <c r="G518" s="154">
        <f t="shared" si="21"/>
        <v>165.25</v>
      </c>
      <c r="H518" s="154">
        <f t="shared" si="21"/>
        <v>255</v>
      </c>
      <c r="I518" s="154">
        <f t="shared" si="21"/>
        <v>173</v>
      </c>
      <c r="J518" s="154">
        <f t="shared" si="21"/>
        <v>140</v>
      </c>
      <c r="K518" s="154">
        <f t="shared" si="21"/>
        <v>124</v>
      </c>
      <c r="L518" s="154"/>
    </row>
    <row r="519" spans="1:12" x14ac:dyDescent="0.25">
      <c r="A519" s="16" t="s">
        <v>22</v>
      </c>
      <c r="B519" s="157">
        <v>2017</v>
      </c>
      <c r="C519" s="176">
        <v>2018</v>
      </c>
      <c r="D519" s="157">
        <v>2019</v>
      </c>
      <c r="E519" s="177">
        <v>2020</v>
      </c>
      <c r="F519" s="177">
        <v>2021</v>
      </c>
      <c r="G519" s="177">
        <v>2022</v>
      </c>
      <c r="H519" s="177">
        <v>2023</v>
      </c>
      <c r="I519" s="177">
        <v>2024</v>
      </c>
      <c r="J519" s="177">
        <v>2025</v>
      </c>
      <c r="K519" s="177">
        <v>2026</v>
      </c>
      <c r="L519" s="177">
        <v>2027</v>
      </c>
    </row>
    <row r="520" spans="1:12" x14ac:dyDescent="0.25">
      <c r="A520" s="16" t="s">
        <v>23</v>
      </c>
      <c r="B520" s="16"/>
      <c r="C520" s="46"/>
      <c r="D520" s="46"/>
      <c r="E520" s="46"/>
      <c r="F520" s="46"/>
      <c r="G520" s="46"/>
      <c r="H520" s="46"/>
      <c r="I520" s="46"/>
      <c r="J520" s="47"/>
      <c r="K520" s="47"/>
      <c r="L520" s="185"/>
    </row>
    <row r="521" spans="1:12" x14ac:dyDescent="0.25">
      <c r="A521" s="696" t="s">
        <v>94</v>
      </c>
      <c r="B521" s="697"/>
      <c r="C521" s="697"/>
      <c r="D521" s="697"/>
      <c r="E521" s="697"/>
      <c r="F521" s="697"/>
      <c r="G521" s="46"/>
      <c r="H521" s="46"/>
      <c r="I521" s="46"/>
      <c r="J521" s="46"/>
      <c r="K521" s="19"/>
      <c r="L521" s="63"/>
    </row>
    <row r="522" spans="1:12" x14ac:dyDescent="0.25">
      <c r="A522" s="159" t="s">
        <v>348</v>
      </c>
      <c r="B522" s="32"/>
      <c r="C522" s="32"/>
      <c r="D522" s="32"/>
      <c r="E522" s="32"/>
      <c r="F522" s="32"/>
      <c r="L522" s="64"/>
    </row>
    <row r="523" spans="1:12" x14ac:dyDescent="0.25">
      <c r="A523" s="159" t="s">
        <v>349</v>
      </c>
      <c r="B523" s="32"/>
      <c r="C523" s="32"/>
      <c r="D523" s="32"/>
      <c r="E523" s="32"/>
      <c r="F523" s="32"/>
      <c r="L523" s="64"/>
    </row>
    <row r="524" spans="1:12" ht="13.2" customHeight="1" x14ac:dyDescent="0.25">
      <c r="A524" s="39" t="s">
        <v>350</v>
      </c>
      <c r="L524" s="64"/>
    </row>
    <row r="525" spans="1:12" x14ac:dyDescent="0.25">
      <c r="A525" s="159" t="s">
        <v>445</v>
      </c>
      <c r="B525" s="32"/>
      <c r="C525" s="32"/>
      <c r="D525" s="32"/>
      <c r="E525" s="32"/>
      <c r="F525" s="32"/>
      <c r="L525" s="64"/>
    </row>
    <row r="526" spans="1:12" x14ac:dyDescent="0.25">
      <c r="A526" s="159" t="s">
        <v>446</v>
      </c>
      <c r="B526" s="32"/>
      <c r="C526" s="32"/>
      <c r="D526" s="32"/>
      <c r="E526" s="32"/>
      <c r="F526" s="32"/>
      <c r="L526" s="64"/>
    </row>
    <row r="527" spans="1:12" x14ac:dyDescent="0.25">
      <c r="A527" s="39" t="s">
        <v>655</v>
      </c>
      <c r="B527" s="32"/>
      <c r="C527" s="32"/>
      <c r="D527" s="32"/>
      <c r="E527" s="32"/>
      <c r="F527" s="32"/>
      <c r="L527" s="64"/>
    </row>
    <row r="528" spans="1:12" x14ac:dyDescent="0.25">
      <c r="A528" s="39" t="s">
        <v>778</v>
      </c>
      <c r="L528" s="64"/>
    </row>
    <row r="529" spans="1:12" x14ac:dyDescent="0.25">
      <c r="A529" s="39" t="s">
        <v>965</v>
      </c>
      <c r="L529" s="64"/>
    </row>
    <row r="530" spans="1:12" x14ac:dyDescent="0.25">
      <c r="A530" s="42" t="s">
        <v>1149</v>
      </c>
      <c r="B530" s="34"/>
      <c r="C530" s="34"/>
      <c r="D530" s="34"/>
      <c r="E530" s="34"/>
      <c r="F530" s="34"/>
      <c r="G530" s="34"/>
      <c r="H530" s="34"/>
      <c r="I530" s="34"/>
      <c r="J530" s="34"/>
      <c r="K530" s="34"/>
      <c r="L530" s="48"/>
    </row>
    <row r="532" spans="1:12" x14ac:dyDescent="0.25">
      <c r="A532" s="6" t="s">
        <v>14</v>
      </c>
      <c r="B532" s="7" t="s">
        <v>641</v>
      </c>
      <c r="C532" s="9" t="s">
        <v>15</v>
      </c>
    </row>
    <row r="533" spans="1:12" x14ac:dyDescent="0.25">
      <c r="A533" s="10" t="s">
        <v>16</v>
      </c>
      <c r="B533" s="152">
        <v>2015</v>
      </c>
      <c r="C533" s="170">
        <v>2016</v>
      </c>
      <c r="D533" s="152">
        <v>2017</v>
      </c>
      <c r="E533" s="171">
        <v>2018</v>
      </c>
      <c r="F533" s="171">
        <v>2019</v>
      </c>
      <c r="G533" s="152">
        <v>2020</v>
      </c>
      <c r="H533" s="152">
        <v>2021</v>
      </c>
      <c r="I533" s="152">
        <v>2022</v>
      </c>
      <c r="J533" s="152">
        <v>2023</v>
      </c>
      <c r="K533" s="152">
        <v>2024</v>
      </c>
      <c r="L533" s="90">
        <v>2025</v>
      </c>
    </row>
    <row r="534" spans="1:12" x14ac:dyDescent="0.25">
      <c r="A534" s="10" t="s">
        <v>17</v>
      </c>
      <c r="B534" s="154">
        <v>459</v>
      </c>
      <c r="C534" s="172">
        <v>459</v>
      </c>
      <c r="D534" s="154">
        <v>459</v>
      </c>
      <c r="E534" s="173">
        <v>459</v>
      </c>
      <c r="F534" s="173">
        <v>459</v>
      </c>
      <c r="G534" s="154">
        <v>459</v>
      </c>
      <c r="H534" s="154">
        <v>459</v>
      </c>
      <c r="I534" s="154">
        <v>459</v>
      </c>
      <c r="J534" s="154">
        <v>459</v>
      </c>
      <c r="K534" s="154">
        <v>459</v>
      </c>
      <c r="L534" s="90">
        <v>459</v>
      </c>
    </row>
    <row r="535" spans="1:12" x14ac:dyDescent="0.25">
      <c r="A535" s="10" t="s">
        <v>18</v>
      </c>
      <c r="B535" s="154">
        <v>587.9</v>
      </c>
      <c r="C535" s="172">
        <v>535.9</v>
      </c>
      <c r="D535" s="154">
        <v>516.9</v>
      </c>
      <c r="E535" s="173">
        <v>559.9</v>
      </c>
      <c r="F535" s="173">
        <v>546.79999999999995</v>
      </c>
      <c r="G535" s="154">
        <v>550.79999999999995</v>
      </c>
      <c r="H535" s="154">
        <v>550.79999999999995</v>
      </c>
      <c r="I535" s="154">
        <f>I534+H538</f>
        <v>477.79999999999995</v>
      </c>
      <c r="J535" s="154">
        <f>J534+0.1*I534</f>
        <v>504.9</v>
      </c>
      <c r="K535" s="154">
        <f>K534+0.1*J534</f>
        <v>504.9</v>
      </c>
      <c r="L535" s="90">
        <v>504.9</v>
      </c>
    </row>
    <row r="536" spans="1:12" x14ac:dyDescent="0.25">
      <c r="A536" s="10" t="s">
        <v>19</v>
      </c>
      <c r="B536" s="174" t="s">
        <v>95</v>
      </c>
      <c r="C536" s="174" t="s">
        <v>96</v>
      </c>
      <c r="D536" s="174" t="s">
        <v>97</v>
      </c>
      <c r="E536" s="175" t="s">
        <v>376</v>
      </c>
      <c r="F536" s="175" t="s">
        <v>377</v>
      </c>
      <c r="G536" s="11" t="s">
        <v>352</v>
      </c>
      <c r="H536" s="11" t="s">
        <v>352</v>
      </c>
      <c r="I536" s="11" t="str">
        <f>"=459+18.8"</f>
        <v>=459+18.8</v>
      </c>
      <c r="J536" s="11" t="s">
        <v>779</v>
      </c>
      <c r="K536" s="11" t="s">
        <v>779</v>
      </c>
      <c r="L536" s="90" t="s">
        <v>779</v>
      </c>
    </row>
    <row r="537" spans="1:12" x14ac:dyDescent="0.25">
      <c r="A537" s="10" t="s">
        <v>20</v>
      </c>
      <c r="B537" s="154">
        <v>511</v>
      </c>
      <c r="C537" s="172">
        <v>478</v>
      </c>
      <c r="D537" s="154">
        <v>416</v>
      </c>
      <c r="E537" s="154">
        <v>472.1</v>
      </c>
      <c r="F537" s="173">
        <v>395.31</v>
      </c>
      <c r="G537" s="154">
        <v>353.05</v>
      </c>
      <c r="H537" s="154">
        <v>532</v>
      </c>
      <c r="I537" s="154">
        <v>420</v>
      </c>
      <c r="J537" s="154">
        <v>379</v>
      </c>
      <c r="K537" s="154">
        <v>459</v>
      </c>
      <c r="L537" s="90"/>
    </row>
    <row r="538" spans="1:12" x14ac:dyDescent="0.25">
      <c r="A538" s="10" t="s">
        <v>21</v>
      </c>
      <c r="B538" s="154">
        <v>76.900000000000006</v>
      </c>
      <c r="C538" s="172">
        <v>57.9</v>
      </c>
      <c r="D538" s="154">
        <v>100.9</v>
      </c>
      <c r="E538" s="154">
        <v>87.799999999999955</v>
      </c>
      <c r="F538" s="173">
        <v>151.48999999999995</v>
      </c>
      <c r="G538" s="154">
        <f>G535-G537</f>
        <v>197.74999999999994</v>
      </c>
      <c r="H538" s="154">
        <f>H535-H537</f>
        <v>18.799999999999955</v>
      </c>
      <c r="I538" s="154">
        <f>I535-I537</f>
        <v>57.799999999999955</v>
      </c>
      <c r="J538" s="154">
        <f>J535-J537</f>
        <v>125.89999999999998</v>
      </c>
      <c r="K538" s="154">
        <f>K535-K537</f>
        <v>45.899999999999977</v>
      </c>
      <c r="L538" s="90"/>
    </row>
    <row r="539" spans="1:12" x14ac:dyDescent="0.25">
      <c r="A539" s="16" t="s">
        <v>22</v>
      </c>
      <c r="B539" s="157">
        <v>2016</v>
      </c>
      <c r="C539" s="176">
        <v>2017</v>
      </c>
      <c r="D539" s="157">
        <v>2018</v>
      </c>
      <c r="E539" s="177">
        <v>2019</v>
      </c>
      <c r="F539" s="177">
        <v>2020</v>
      </c>
      <c r="G539" s="177">
        <v>2021</v>
      </c>
      <c r="H539" s="177">
        <v>2022</v>
      </c>
      <c r="I539" s="177">
        <v>2023</v>
      </c>
      <c r="J539" s="177">
        <v>2024</v>
      </c>
      <c r="K539" s="177">
        <v>2025</v>
      </c>
      <c r="L539" s="90">
        <v>2026</v>
      </c>
    </row>
    <row r="540" spans="1:12" x14ac:dyDescent="0.25">
      <c r="A540" s="16" t="s">
        <v>23</v>
      </c>
      <c r="B540" s="29"/>
      <c r="C540" s="30"/>
      <c r="D540" s="30"/>
      <c r="E540" s="30"/>
      <c r="F540" s="30"/>
      <c r="G540" s="30"/>
      <c r="H540" s="30"/>
      <c r="I540" s="30"/>
      <c r="J540" s="30"/>
      <c r="K540" s="30"/>
      <c r="L540" s="88"/>
    </row>
    <row r="541" spans="1:12" ht="13.2" customHeight="1" x14ac:dyDescent="0.25">
      <c r="A541" s="18" t="s">
        <v>98</v>
      </c>
      <c r="B541" s="19"/>
      <c r="C541" s="19"/>
      <c r="D541" s="19"/>
      <c r="E541" s="19"/>
      <c r="F541" s="19"/>
      <c r="G541" s="19"/>
      <c r="H541" s="19"/>
      <c r="I541" s="19"/>
      <c r="J541" s="19"/>
      <c r="K541" s="19"/>
      <c r="L541" s="63"/>
    </row>
    <row r="542" spans="1:12" ht="13.2" customHeight="1" x14ac:dyDescent="0.25">
      <c r="A542" s="694" t="s">
        <v>378</v>
      </c>
      <c r="B542" s="695"/>
      <c r="C542" s="695"/>
      <c r="D542" s="695"/>
      <c r="E542" s="695"/>
      <c r="F542" s="695"/>
      <c r="L542" s="64"/>
    </row>
    <row r="543" spans="1:12" x14ac:dyDescent="0.25">
      <c r="A543" s="159" t="s">
        <v>353</v>
      </c>
      <c r="B543" s="32"/>
      <c r="C543" s="32"/>
      <c r="D543" s="32"/>
      <c r="E543" s="32"/>
      <c r="F543" s="32"/>
      <c r="L543" s="64"/>
    </row>
    <row r="544" spans="1:12" x14ac:dyDescent="0.25">
      <c r="A544" s="159" t="s">
        <v>354</v>
      </c>
      <c r="B544" s="32"/>
      <c r="C544" s="32"/>
      <c r="D544" s="32"/>
      <c r="E544" s="32"/>
      <c r="F544" s="32"/>
      <c r="L544" s="64"/>
    </row>
    <row r="545" spans="1:12" ht="13.2" customHeight="1" x14ac:dyDescent="0.25">
      <c r="A545" s="159" t="s">
        <v>447</v>
      </c>
      <c r="B545" s="32"/>
      <c r="C545" s="32"/>
      <c r="D545" s="32"/>
      <c r="E545" s="32"/>
      <c r="F545" s="32"/>
      <c r="L545" s="64"/>
    </row>
    <row r="546" spans="1:12" ht="13.2" customHeight="1" x14ac:dyDescent="0.25">
      <c r="A546" s="159" t="s">
        <v>448</v>
      </c>
      <c r="B546" s="32"/>
      <c r="C546" s="32"/>
      <c r="D546" s="32"/>
      <c r="E546" s="32"/>
      <c r="F546" s="32"/>
      <c r="L546" s="64"/>
    </row>
    <row r="547" spans="1:12" ht="13.2" customHeight="1" x14ac:dyDescent="0.25">
      <c r="A547" s="159" t="s">
        <v>656</v>
      </c>
      <c r="B547" s="32"/>
      <c r="C547" s="32"/>
      <c r="D547" s="32"/>
      <c r="E547" s="32"/>
      <c r="F547" s="32"/>
      <c r="L547" s="64"/>
    </row>
    <row r="548" spans="1:12" ht="12.75" customHeight="1" x14ac:dyDescent="0.25">
      <c r="A548" s="159" t="s">
        <v>780</v>
      </c>
      <c r="B548" s="32"/>
      <c r="C548" s="32"/>
      <c r="D548" s="32"/>
      <c r="E548" s="32"/>
      <c r="F548" s="32"/>
      <c r="L548" s="64"/>
    </row>
    <row r="549" spans="1:12" ht="12.75" customHeight="1" x14ac:dyDescent="0.25">
      <c r="A549" s="159" t="s">
        <v>1151</v>
      </c>
      <c r="B549" s="32"/>
      <c r="C549" s="32"/>
      <c r="D549" s="32"/>
      <c r="E549" s="32"/>
      <c r="F549" s="32"/>
      <c r="L549" s="64"/>
    </row>
    <row r="550" spans="1:12" ht="12.75" customHeight="1" x14ac:dyDescent="0.25">
      <c r="A550" s="160" t="s">
        <v>1152</v>
      </c>
      <c r="B550" s="22"/>
      <c r="C550" s="22"/>
      <c r="D550" s="22"/>
      <c r="E550" s="22"/>
      <c r="F550" s="22"/>
      <c r="G550" s="34"/>
      <c r="H550" s="34"/>
      <c r="I550" s="34"/>
      <c r="J550" s="34"/>
      <c r="K550" s="34"/>
      <c r="L550" s="48"/>
    </row>
    <row r="552" spans="1:12" x14ac:dyDescent="0.25">
      <c r="A552" s="6" t="s">
        <v>14</v>
      </c>
      <c r="B552" s="7" t="s">
        <v>642</v>
      </c>
      <c r="C552" s="9" t="s">
        <v>15</v>
      </c>
    </row>
    <row r="553" spans="1:12" x14ac:dyDescent="0.25">
      <c r="A553" s="10" t="s">
        <v>16</v>
      </c>
      <c r="B553" s="152">
        <v>2015</v>
      </c>
      <c r="C553" s="170">
        <v>2016</v>
      </c>
      <c r="D553" s="152">
        <v>2017</v>
      </c>
      <c r="E553" s="171">
        <v>2018</v>
      </c>
      <c r="F553" s="171">
        <v>2019</v>
      </c>
      <c r="G553" s="152">
        <v>2020</v>
      </c>
      <c r="H553" s="152">
        <v>2021</v>
      </c>
      <c r="I553" s="152">
        <v>2022</v>
      </c>
      <c r="J553" s="152">
        <v>2023</v>
      </c>
      <c r="K553" s="152">
        <v>2024</v>
      </c>
      <c r="L553" s="152">
        <v>2025</v>
      </c>
    </row>
    <row r="554" spans="1:12" x14ac:dyDescent="0.25">
      <c r="A554" s="10" t="s">
        <v>17</v>
      </c>
      <c r="B554" s="12">
        <v>48.76</v>
      </c>
      <c r="C554" s="186">
        <v>58.28</v>
      </c>
      <c r="D554" s="12">
        <v>69.97</v>
      </c>
      <c r="E554" s="187">
        <v>79</v>
      </c>
      <c r="F554" s="187">
        <v>84</v>
      </c>
      <c r="G554" s="12">
        <v>90</v>
      </c>
      <c r="H554" s="12">
        <v>90</v>
      </c>
      <c r="I554" s="12">
        <v>90</v>
      </c>
      <c r="J554" s="12">
        <v>101</v>
      </c>
      <c r="K554" s="180">
        <v>101</v>
      </c>
      <c r="L554" s="180">
        <v>101</v>
      </c>
    </row>
    <row r="555" spans="1:12" x14ac:dyDescent="0.25">
      <c r="A555" s="10" t="s">
        <v>18</v>
      </c>
      <c r="B555" s="12">
        <v>38.76</v>
      </c>
      <c r="C555" s="186">
        <v>48.28</v>
      </c>
      <c r="D555" s="12">
        <v>59.97</v>
      </c>
      <c r="E555" s="187">
        <v>29</v>
      </c>
      <c r="F555" s="187">
        <v>34</v>
      </c>
      <c r="G555" s="12">
        <f>G554-50</f>
        <v>40</v>
      </c>
      <c r="H555" s="12">
        <f>H554-50</f>
        <v>40</v>
      </c>
      <c r="I555" s="12">
        <f>I554-50</f>
        <v>40</v>
      </c>
      <c r="J555" s="12">
        <v>51</v>
      </c>
      <c r="K555" s="180">
        <v>51</v>
      </c>
      <c r="L555" s="180">
        <v>51</v>
      </c>
    </row>
    <row r="556" spans="1:12" x14ac:dyDescent="0.25">
      <c r="A556" s="10" t="s">
        <v>19</v>
      </c>
      <c r="B556" s="188" t="s">
        <v>99</v>
      </c>
      <c r="C556" s="188" t="s">
        <v>100</v>
      </c>
      <c r="D556" s="188" t="s">
        <v>101</v>
      </c>
      <c r="E556" s="189" t="s">
        <v>102</v>
      </c>
      <c r="F556" s="189" t="s">
        <v>103</v>
      </c>
      <c r="G556" s="181" t="s">
        <v>355</v>
      </c>
      <c r="H556" s="181" t="s">
        <v>355</v>
      </c>
      <c r="I556" s="181" t="s">
        <v>355</v>
      </c>
      <c r="J556" s="181" t="s">
        <v>781</v>
      </c>
      <c r="K556" s="190" t="s">
        <v>1153</v>
      </c>
      <c r="L556" s="191" t="s">
        <v>1153</v>
      </c>
    </row>
    <row r="557" spans="1:12" x14ac:dyDescent="0.25">
      <c r="A557" s="10" t="s">
        <v>20</v>
      </c>
      <c r="B557" s="12">
        <v>0</v>
      </c>
      <c r="C557" s="186">
        <v>0</v>
      </c>
      <c r="D557" s="12">
        <v>0</v>
      </c>
      <c r="E557" s="12">
        <v>0</v>
      </c>
      <c r="F557" s="187">
        <v>0</v>
      </c>
      <c r="G557" s="12">
        <v>0</v>
      </c>
      <c r="H557" s="12">
        <v>0</v>
      </c>
      <c r="I557" s="12">
        <v>0</v>
      </c>
      <c r="J557" s="12">
        <v>0</v>
      </c>
      <c r="K557" s="180">
        <v>0</v>
      </c>
      <c r="L557" s="154"/>
    </row>
    <row r="558" spans="1:12" x14ac:dyDescent="0.25">
      <c r="A558" s="10" t="s">
        <v>21</v>
      </c>
      <c r="B558" s="12">
        <v>38.76</v>
      </c>
      <c r="C558" s="186">
        <v>48.28</v>
      </c>
      <c r="D558" s="12">
        <v>59.97</v>
      </c>
      <c r="E558" s="12">
        <v>29</v>
      </c>
      <c r="F558" s="187">
        <f>F555-F557</f>
        <v>34</v>
      </c>
      <c r="G558" s="12">
        <f>G555-G557</f>
        <v>40</v>
      </c>
      <c r="H558" s="12">
        <f>H555-H557</f>
        <v>40</v>
      </c>
      <c r="I558" s="12">
        <f>I555-I557</f>
        <v>40</v>
      </c>
      <c r="J558" s="12">
        <f t="shared" ref="J558" si="22">J555-J557</f>
        <v>51</v>
      </c>
      <c r="K558" s="12">
        <f>K555-K557</f>
        <v>51</v>
      </c>
      <c r="L558" s="154"/>
    </row>
    <row r="559" spans="1:12" x14ac:dyDescent="0.25">
      <c r="A559" s="16" t="s">
        <v>22</v>
      </c>
      <c r="B559" s="157">
        <v>2016</v>
      </c>
      <c r="C559" s="157">
        <v>2017</v>
      </c>
      <c r="D559" s="157">
        <v>2018</v>
      </c>
      <c r="E559" s="157">
        <v>2019</v>
      </c>
      <c r="F559" s="157">
        <v>2020</v>
      </c>
      <c r="G559" s="157">
        <v>2021</v>
      </c>
      <c r="H559" s="157">
        <v>2022</v>
      </c>
      <c r="I559" s="157">
        <v>2023</v>
      </c>
      <c r="J559" s="157">
        <v>2024</v>
      </c>
      <c r="K559" s="157">
        <v>2025</v>
      </c>
      <c r="L559" s="192">
        <v>2026</v>
      </c>
    </row>
    <row r="560" spans="1:12" x14ac:dyDescent="0.25">
      <c r="A560" s="16" t="s">
        <v>23</v>
      </c>
      <c r="B560" s="46"/>
      <c r="C560" s="46"/>
      <c r="D560" s="46"/>
      <c r="E560" s="46"/>
      <c r="F560" s="46"/>
      <c r="G560" s="46"/>
      <c r="H560" s="46"/>
      <c r="I560" s="46"/>
      <c r="J560" s="47"/>
      <c r="K560" s="47"/>
      <c r="L560" s="90"/>
    </row>
    <row r="561" spans="1:12" x14ac:dyDescent="0.25">
      <c r="A561" s="18" t="s">
        <v>104</v>
      </c>
      <c r="B561" s="19"/>
      <c r="C561" s="19"/>
      <c r="D561" s="19"/>
      <c r="E561" s="19"/>
      <c r="F561" s="19"/>
      <c r="G561" s="19"/>
      <c r="H561" s="19"/>
      <c r="I561" s="19"/>
      <c r="J561" s="19"/>
      <c r="K561" s="19"/>
      <c r="L561" s="63"/>
    </row>
    <row r="562" spans="1:12" x14ac:dyDescent="0.25">
      <c r="A562" s="39" t="s">
        <v>356</v>
      </c>
      <c r="L562" s="64"/>
    </row>
    <row r="563" spans="1:12" x14ac:dyDescent="0.25">
      <c r="A563" s="39" t="s">
        <v>449</v>
      </c>
      <c r="L563" s="64"/>
    </row>
    <row r="564" spans="1:12" x14ac:dyDescent="0.25">
      <c r="A564" s="39" t="s">
        <v>657</v>
      </c>
      <c r="L564" s="64"/>
    </row>
    <row r="565" spans="1:12" x14ac:dyDescent="0.25">
      <c r="A565" s="39" t="s">
        <v>782</v>
      </c>
      <c r="L565" s="64"/>
    </row>
    <row r="566" spans="1:12" x14ac:dyDescent="0.25">
      <c r="A566" s="39" t="s">
        <v>955</v>
      </c>
      <c r="L566" s="64"/>
    </row>
    <row r="567" spans="1:12" x14ac:dyDescent="0.25">
      <c r="A567" s="160" t="s">
        <v>1154</v>
      </c>
      <c r="B567" s="22"/>
      <c r="C567" s="22"/>
      <c r="D567" s="22"/>
      <c r="E567" s="22"/>
      <c r="F567" s="22"/>
      <c r="G567" s="34"/>
      <c r="H567" s="34"/>
      <c r="I567" s="34"/>
      <c r="J567" s="34"/>
      <c r="K567" s="34"/>
      <c r="L567" s="48"/>
    </row>
    <row r="568" spans="1:12" x14ac:dyDescent="0.25">
      <c r="A568" s="41"/>
      <c r="B568" s="34"/>
    </row>
    <row r="569" spans="1:12" x14ac:dyDescent="0.25">
      <c r="A569" s="6" t="s">
        <v>14</v>
      </c>
      <c r="B569" s="7" t="s">
        <v>66</v>
      </c>
      <c r="C569" s="9" t="s">
        <v>15</v>
      </c>
    </row>
    <row r="570" spans="1:12" x14ac:dyDescent="0.25">
      <c r="A570" s="10" t="s">
        <v>16</v>
      </c>
      <c r="B570" s="152">
        <v>2015</v>
      </c>
      <c r="C570" s="170">
        <v>2016</v>
      </c>
      <c r="D570" s="152">
        <v>2017</v>
      </c>
      <c r="E570" s="171">
        <v>2018</v>
      </c>
      <c r="F570" s="171">
        <v>2019</v>
      </c>
      <c r="G570" s="152">
        <v>2020</v>
      </c>
      <c r="H570" s="152">
        <v>2021</v>
      </c>
      <c r="I570" s="152">
        <v>2022</v>
      </c>
      <c r="J570" s="152">
        <v>2023</v>
      </c>
      <c r="K570" s="152">
        <v>2024</v>
      </c>
      <c r="L570" s="152">
        <v>2025</v>
      </c>
    </row>
    <row r="571" spans="1:12" x14ac:dyDescent="0.25">
      <c r="A571" s="10" t="s">
        <v>17</v>
      </c>
      <c r="B571" s="154">
        <v>15583</v>
      </c>
      <c r="C571" s="172">
        <v>11679</v>
      </c>
      <c r="D571" s="154">
        <v>11679</v>
      </c>
      <c r="E571" s="173">
        <v>11679</v>
      </c>
      <c r="F571" s="173">
        <v>11679</v>
      </c>
      <c r="G571" s="154">
        <v>9226.41</v>
      </c>
      <c r="H571" s="154">
        <v>9078.7900000000009</v>
      </c>
      <c r="I571" s="154">
        <v>9152.6</v>
      </c>
      <c r="J571" s="154">
        <v>9152.6</v>
      </c>
      <c r="K571" s="154">
        <v>9152.6</v>
      </c>
      <c r="L571" s="154">
        <v>9151.19</v>
      </c>
    </row>
    <row r="572" spans="1:12" x14ac:dyDescent="0.25">
      <c r="A572" s="10" t="s">
        <v>18</v>
      </c>
      <c r="B572" s="154">
        <v>20187.900000000001</v>
      </c>
      <c r="C572" s="172">
        <v>16353.9</v>
      </c>
      <c r="D572" s="154">
        <f>14016.45</f>
        <v>14016.45</v>
      </c>
      <c r="E572" s="173">
        <v>13653.85</v>
      </c>
      <c r="F572" s="173">
        <v>13653.85</v>
      </c>
      <c r="G572" s="154">
        <f>G571+E571*0.15+223</f>
        <v>11201.26</v>
      </c>
      <c r="H572" s="154">
        <f>H571+0.1*F571+223</f>
        <v>10469.69</v>
      </c>
      <c r="I572" s="154">
        <f>I571+0.1*G571+223</f>
        <v>10298.241</v>
      </c>
      <c r="J572" s="154">
        <f>J571+0.1*H571+223</f>
        <v>10283.479000000001</v>
      </c>
      <c r="K572" s="154">
        <f>K571+0.1*I571+223</f>
        <v>10290.86</v>
      </c>
      <c r="L572" s="154">
        <v>9383.67</v>
      </c>
    </row>
    <row r="573" spans="1:12" ht="26.4" x14ac:dyDescent="0.25">
      <c r="A573" s="10" t="s">
        <v>19</v>
      </c>
      <c r="B573" s="174" t="s">
        <v>105</v>
      </c>
      <c r="C573" s="174" t="s">
        <v>106</v>
      </c>
      <c r="D573" s="174" t="s">
        <v>107</v>
      </c>
      <c r="E573" s="175" t="s">
        <v>108</v>
      </c>
      <c r="F573" s="175" t="s">
        <v>108</v>
      </c>
      <c r="G573" s="193" t="s">
        <v>450</v>
      </c>
      <c r="H573" s="193" t="s">
        <v>1155</v>
      </c>
      <c r="I573" s="193" t="s">
        <v>1156</v>
      </c>
      <c r="J573" s="193" t="s">
        <v>1156</v>
      </c>
      <c r="K573" s="182" t="s">
        <v>1156</v>
      </c>
      <c r="L573" s="182" t="s">
        <v>1218</v>
      </c>
    </row>
    <row r="574" spans="1:12" x14ac:dyDescent="0.25">
      <c r="A574" s="10" t="s">
        <v>20</v>
      </c>
      <c r="B574" s="154">
        <v>16453</v>
      </c>
      <c r="C574" s="172">
        <v>13115</v>
      </c>
      <c r="D574" s="154">
        <v>11845</v>
      </c>
      <c r="E574" s="154">
        <v>11630</v>
      </c>
      <c r="F574" s="173">
        <v>11288</v>
      </c>
      <c r="G574" s="154">
        <v>9226</v>
      </c>
      <c r="H574" s="154">
        <v>4092.6</v>
      </c>
      <c r="I574" s="154">
        <v>8181</v>
      </c>
      <c r="J574" s="154">
        <v>10274</v>
      </c>
      <c r="K574" s="154">
        <v>10144</v>
      </c>
      <c r="L574" s="154"/>
    </row>
    <row r="575" spans="1:12" x14ac:dyDescent="0.25">
      <c r="A575" s="10" t="s">
        <v>21</v>
      </c>
      <c r="B575" s="154">
        <v>3734.9</v>
      </c>
      <c r="C575" s="172">
        <v>3238.9</v>
      </c>
      <c r="D575" s="154">
        <v>2171.4499999999998</v>
      </c>
      <c r="E575" s="154">
        <v>2023.85</v>
      </c>
      <c r="F575" s="173">
        <f t="shared" ref="F575:K575" si="23">F572-F574</f>
        <v>2365.8500000000004</v>
      </c>
      <c r="G575" s="154">
        <f t="shared" si="23"/>
        <v>1975.2600000000002</v>
      </c>
      <c r="H575" s="154">
        <f t="shared" si="23"/>
        <v>6377.09</v>
      </c>
      <c r="I575" s="154">
        <f t="shared" si="23"/>
        <v>2117.241</v>
      </c>
      <c r="J575" s="154">
        <f t="shared" si="23"/>
        <v>9.4790000000011787</v>
      </c>
      <c r="K575" s="154">
        <f t="shared" si="23"/>
        <v>146.86000000000058</v>
      </c>
      <c r="L575" s="154"/>
    </row>
    <row r="576" spans="1:12" x14ac:dyDescent="0.25">
      <c r="A576" s="16" t="s">
        <v>22</v>
      </c>
      <c r="B576" s="157">
        <v>2017</v>
      </c>
      <c r="C576" s="176">
        <v>2018</v>
      </c>
      <c r="D576" s="157">
        <v>2019</v>
      </c>
      <c r="E576" s="157">
        <v>2020</v>
      </c>
      <c r="F576" s="177">
        <v>2021</v>
      </c>
      <c r="G576" s="157">
        <v>2022</v>
      </c>
      <c r="H576" s="157">
        <v>2023</v>
      </c>
      <c r="I576" s="157">
        <v>2024</v>
      </c>
      <c r="J576" s="157">
        <v>2025</v>
      </c>
      <c r="K576" s="157">
        <v>2026</v>
      </c>
      <c r="L576" s="157">
        <v>2027</v>
      </c>
    </row>
    <row r="577" spans="1:12" x14ac:dyDescent="0.25">
      <c r="A577" s="29" t="s">
        <v>23</v>
      </c>
      <c r="B577" s="30"/>
      <c r="C577" s="30"/>
      <c r="D577" s="30"/>
      <c r="E577" s="30"/>
      <c r="F577" s="30"/>
      <c r="G577" s="30"/>
      <c r="H577" s="88"/>
      <c r="I577" s="88"/>
      <c r="J577" s="88"/>
      <c r="K577" s="88"/>
      <c r="L577" s="88"/>
    </row>
    <row r="578" spans="1:12" x14ac:dyDescent="0.25">
      <c r="A578" s="18" t="s">
        <v>109</v>
      </c>
      <c r="B578" s="19"/>
      <c r="C578" s="19"/>
      <c r="D578" s="19"/>
      <c r="E578" s="19"/>
      <c r="F578" s="19"/>
      <c r="G578" s="19"/>
      <c r="H578" s="19"/>
      <c r="I578" s="19"/>
      <c r="J578" s="19"/>
      <c r="K578" s="19"/>
      <c r="L578" s="63"/>
    </row>
    <row r="579" spans="1:12" x14ac:dyDescent="0.25">
      <c r="A579" s="39" t="s">
        <v>357</v>
      </c>
      <c r="L579" s="64"/>
    </row>
    <row r="580" spans="1:12" x14ac:dyDescent="0.25">
      <c r="A580" s="39" t="s">
        <v>357</v>
      </c>
      <c r="L580" s="64"/>
    </row>
    <row r="581" spans="1:12" x14ac:dyDescent="0.25">
      <c r="A581" s="148" t="s">
        <v>1157</v>
      </c>
      <c r="L581" s="64"/>
    </row>
    <row r="582" spans="1:12" x14ac:dyDescent="0.25">
      <c r="A582" s="148" t="s">
        <v>1158</v>
      </c>
      <c r="L582" s="64"/>
    </row>
    <row r="583" spans="1:12" x14ac:dyDescent="0.25">
      <c r="A583" s="194" t="s">
        <v>1159</v>
      </c>
      <c r="B583" s="32"/>
      <c r="C583" s="32"/>
      <c r="D583" s="32"/>
      <c r="E583" s="32"/>
      <c r="F583" s="32"/>
      <c r="L583" s="64"/>
    </row>
    <row r="584" spans="1:12" x14ac:dyDescent="0.25">
      <c r="A584" s="194" t="s">
        <v>1160</v>
      </c>
      <c r="B584" s="32"/>
      <c r="C584" s="32"/>
      <c r="D584" s="32"/>
      <c r="E584" s="32"/>
      <c r="F584" s="32"/>
      <c r="L584" s="64"/>
    </row>
    <row r="585" spans="1:12" x14ac:dyDescent="0.25">
      <c r="A585" s="160" t="s">
        <v>1217</v>
      </c>
      <c r="B585" s="22"/>
      <c r="C585" s="22"/>
      <c r="D585" s="22"/>
      <c r="E585" s="22"/>
      <c r="F585" s="22"/>
      <c r="G585" s="34"/>
      <c r="H585" s="34"/>
      <c r="I585" s="34"/>
      <c r="J585" s="34"/>
      <c r="K585" s="34"/>
      <c r="L585" s="48"/>
    </row>
    <row r="587" spans="1:12" x14ac:dyDescent="0.25">
      <c r="A587" s="6" t="s">
        <v>14</v>
      </c>
      <c r="B587" s="7" t="s">
        <v>74</v>
      </c>
      <c r="C587" s="9" t="s">
        <v>15</v>
      </c>
    </row>
    <row r="588" spans="1:12" x14ac:dyDescent="0.25">
      <c r="A588" s="10" t="s">
        <v>16</v>
      </c>
      <c r="B588" s="152">
        <v>2015</v>
      </c>
      <c r="C588" s="170">
        <v>2016</v>
      </c>
      <c r="D588" s="152">
        <v>2017</v>
      </c>
      <c r="E588" s="171">
        <v>2018</v>
      </c>
      <c r="F588" s="171">
        <v>2019</v>
      </c>
      <c r="G588" s="152">
        <v>2020</v>
      </c>
      <c r="H588" s="152">
        <v>2021</v>
      </c>
      <c r="I588" s="152">
        <v>2022</v>
      </c>
      <c r="J588" s="152">
        <v>2023</v>
      </c>
      <c r="K588" s="152">
        <v>2024</v>
      </c>
      <c r="L588" s="152">
        <v>2025</v>
      </c>
    </row>
    <row r="589" spans="1:12" x14ac:dyDescent="0.25">
      <c r="A589" s="10" t="s">
        <v>17</v>
      </c>
      <c r="B589" s="12">
        <v>150</v>
      </c>
      <c r="C589" s="186">
        <v>150</v>
      </c>
      <c r="D589" s="12">
        <v>150</v>
      </c>
      <c r="E589" s="187">
        <v>150</v>
      </c>
      <c r="F589" s="187">
        <v>150</v>
      </c>
      <c r="G589" s="12">
        <v>126.2</v>
      </c>
      <c r="H589" s="12">
        <v>126.2</v>
      </c>
      <c r="I589" s="12">
        <v>126.2</v>
      </c>
      <c r="J589" s="12">
        <v>126.2</v>
      </c>
      <c r="K589" s="12">
        <v>126.2</v>
      </c>
      <c r="L589" s="12">
        <v>126.2</v>
      </c>
    </row>
    <row r="590" spans="1:12" x14ac:dyDescent="0.25">
      <c r="A590" s="10" t="s">
        <v>18</v>
      </c>
      <c r="B590" s="12">
        <v>165</v>
      </c>
      <c r="C590" s="186">
        <v>165</v>
      </c>
      <c r="D590" s="12">
        <v>165</v>
      </c>
      <c r="E590" s="187">
        <v>165</v>
      </c>
      <c r="F590" s="187">
        <v>165</v>
      </c>
      <c r="G590" s="12">
        <f>G589+0.1*E589</f>
        <v>141.19999999999999</v>
      </c>
      <c r="H590" s="12">
        <f>H589+0.1*F589</f>
        <v>141.19999999999999</v>
      </c>
      <c r="I590" s="12"/>
      <c r="J590" s="12"/>
      <c r="K590" s="12"/>
      <c r="L590" s="12"/>
    </row>
    <row r="591" spans="1:12" x14ac:dyDescent="0.25">
      <c r="A591" s="10" t="s">
        <v>19</v>
      </c>
      <c r="B591" s="188" t="s">
        <v>110</v>
      </c>
      <c r="C591" s="188" t="s">
        <v>110</v>
      </c>
      <c r="D591" s="188" t="s">
        <v>110</v>
      </c>
      <c r="E591" s="189" t="s">
        <v>110</v>
      </c>
      <c r="F591" s="189" t="s">
        <v>110</v>
      </c>
      <c r="G591" s="189" t="s">
        <v>358</v>
      </c>
      <c r="H591" s="189" t="s">
        <v>358</v>
      </c>
      <c r="I591" s="189"/>
      <c r="J591" s="189"/>
      <c r="K591" s="189"/>
      <c r="L591" s="189"/>
    </row>
    <row r="592" spans="1:12" x14ac:dyDescent="0.25">
      <c r="A592" s="10" t="s">
        <v>20</v>
      </c>
      <c r="B592" s="12">
        <v>61</v>
      </c>
      <c r="C592" s="186">
        <v>75</v>
      </c>
      <c r="D592" s="12">
        <v>73</v>
      </c>
      <c r="E592" s="12">
        <v>74</v>
      </c>
      <c r="F592" s="187">
        <v>40</v>
      </c>
      <c r="G592" s="12">
        <v>91.4</v>
      </c>
      <c r="H592" s="12">
        <v>96.1</v>
      </c>
      <c r="I592" s="12">
        <v>58</v>
      </c>
      <c r="J592" s="12">
        <v>71</v>
      </c>
      <c r="K592" s="12">
        <v>126</v>
      </c>
      <c r="L592" s="12"/>
    </row>
    <row r="593" spans="1:12" x14ac:dyDescent="0.25">
      <c r="A593" s="10" t="s">
        <v>21</v>
      </c>
      <c r="B593" s="12">
        <v>104</v>
      </c>
      <c r="C593" s="186">
        <v>90</v>
      </c>
      <c r="D593" s="12">
        <v>92</v>
      </c>
      <c r="E593" s="12">
        <v>91</v>
      </c>
      <c r="F593" s="187">
        <f>F590-F592</f>
        <v>125</v>
      </c>
      <c r="G593" s="12">
        <f>G590-G592</f>
        <v>49.799999999999983</v>
      </c>
      <c r="H593" s="12">
        <f>H590-H592</f>
        <v>45.099999999999994</v>
      </c>
      <c r="I593" s="12">
        <f>I589-I592</f>
        <v>68.2</v>
      </c>
      <c r="J593" s="12">
        <f>J589-J592</f>
        <v>55.2</v>
      </c>
      <c r="K593" s="12">
        <f>K589-K592</f>
        <v>0.20000000000000284</v>
      </c>
      <c r="L593" s="12"/>
    </row>
    <row r="594" spans="1:12" x14ac:dyDescent="0.25">
      <c r="A594" s="16" t="s">
        <v>22</v>
      </c>
      <c r="B594" s="157">
        <v>2017</v>
      </c>
      <c r="C594" s="176">
        <v>2018</v>
      </c>
      <c r="D594" s="157">
        <v>2019</v>
      </c>
      <c r="E594" s="157">
        <v>2020</v>
      </c>
      <c r="F594" s="177">
        <v>2021</v>
      </c>
      <c r="G594" s="157" t="s">
        <v>161</v>
      </c>
      <c r="H594" s="157" t="s">
        <v>161</v>
      </c>
      <c r="I594" s="157" t="s">
        <v>161</v>
      </c>
      <c r="J594" s="157" t="s">
        <v>161</v>
      </c>
      <c r="K594" s="157" t="s">
        <v>161</v>
      </c>
      <c r="L594" s="157" t="s">
        <v>161</v>
      </c>
    </row>
    <row r="595" spans="1:12" x14ac:dyDescent="0.25">
      <c r="A595" s="29" t="s">
        <v>23</v>
      </c>
      <c r="B595" s="30"/>
      <c r="C595" s="30"/>
      <c r="D595" s="30"/>
      <c r="E595" s="30"/>
      <c r="F595" s="30"/>
      <c r="G595" s="30"/>
      <c r="H595" s="88"/>
      <c r="I595" s="88"/>
      <c r="J595" s="30"/>
      <c r="K595" s="30"/>
      <c r="L595" s="88"/>
    </row>
    <row r="596" spans="1:12" x14ac:dyDescent="0.25">
      <c r="A596" s="698" t="s">
        <v>111</v>
      </c>
      <c r="B596" s="699"/>
      <c r="C596" s="699"/>
      <c r="D596" s="699"/>
      <c r="E596" s="699"/>
      <c r="F596" s="699"/>
      <c r="G596" s="19"/>
      <c r="H596" s="19"/>
      <c r="I596" s="19"/>
      <c r="J596" s="19"/>
      <c r="K596" s="19"/>
      <c r="L596" s="63"/>
    </row>
    <row r="597" spans="1:12" x14ac:dyDescent="0.25">
      <c r="A597" s="159" t="s">
        <v>359</v>
      </c>
      <c r="B597" s="32"/>
      <c r="C597" s="32"/>
      <c r="D597" s="32"/>
      <c r="E597" s="32"/>
      <c r="F597" s="32"/>
      <c r="L597" s="64"/>
    </row>
    <row r="598" spans="1:12" x14ac:dyDescent="0.25">
      <c r="A598" s="159" t="s">
        <v>451</v>
      </c>
      <c r="B598" s="32"/>
      <c r="C598" s="32"/>
      <c r="D598" s="32"/>
      <c r="E598" s="32"/>
      <c r="F598" s="32"/>
      <c r="L598" s="64"/>
    </row>
    <row r="599" spans="1:12" x14ac:dyDescent="0.25">
      <c r="A599" s="159" t="s">
        <v>658</v>
      </c>
      <c r="B599" s="32"/>
      <c r="C599" s="32"/>
      <c r="D599" s="32"/>
      <c r="E599" s="32"/>
      <c r="F599" s="32"/>
      <c r="L599" s="64"/>
    </row>
    <row r="600" spans="1:12" x14ac:dyDescent="0.25">
      <c r="A600" s="41" t="s">
        <v>775</v>
      </c>
      <c r="B600" s="34"/>
      <c r="C600" s="34"/>
      <c r="D600" s="34"/>
      <c r="E600" s="34"/>
      <c r="F600" s="34"/>
      <c r="G600" s="34"/>
      <c r="H600" s="34"/>
      <c r="I600" s="34"/>
      <c r="J600" s="34"/>
      <c r="K600" s="34"/>
      <c r="L600" s="48"/>
    </row>
    <row r="602" spans="1:12" x14ac:dyDescent="0.25">
      <c r="A602" s="6" t="s">
        <v>14</v>
      </c>
      <c r="B602" s="7" t="s">
        <v>79</v>
      </c>
      <c r="C602" s="9" t="s">
        <v>15</v>
      </c>
    </row>
    <row r="603" spans="1:12" x14ac:dyDescent="0.25">
      <c r="A603" s="10" t="s">
        <v>16</v>
      </c>
      <c r="B603" s="152">
        <v>2015</v>
      </c>
      <c r="C603" s="170">
        <v>2016</v>
      </c>
      <c r="D603" s="152">
        <v>2017</v>
      </c>
      <c r="E603" s="171">
        <v>2018</v>
      </c>
      <c r="F603" s="171">
        <v>2019</v>
      </c>
      <c r="G603" s="152">
        <v>2020</v>
      </c>
      <c r="H603" s="152">
        <v>2021</v>
      </c>
      <c r="I603" s="152">
        <v>2022</v>
      </c>
      <c r="J603" s="152">
        <v>2023</v>
      </c>
      <c r="K603" s="152">
        <v>2024</v>
      </c>
      <c r="L603" s="152">
        <v>2025</v>
      </c>
    </row>
    <row r="604" spans="1:12" x14ac:dyDescent="0.25">
      <c r="A604" s="10" t="s">
        <v>17</v>
      </c>
      <c r="B604" s="12">
        <v>50</v>
      </c>
      <c r="C604" s="186">
        <v>50</v>
      </c>
      <c r="D604" s="12">
        <v>50</v>
      </c>
      <c r="E604" s="187">
        <v>50</v>
      </c>
      <c r="F604" s="187">
        <v>50</v>
      </c>
      <c r="G604" s="12">
        <v>50</v>
      </c>
      <c r="H604" s="12">
        <v>50</v>
      </c>
      <c r="I604" s="12">
        <v>50</v>
      </c>
      <c r="J604" s="12">
        <v>50</v>
      </c>
      <c r="K604" s="12">
        <v>50</v>
      </c>
      <c r="L604" s="12">
        <v>50</v>
      </c>
    </row>
    <row r="605" spans="1:12" x14ac:dyDescent="0.25">
      <c r="A605" s="10" t="s">
        <v>18</v>
      </c>
      <c r="B605" s="12">
        <v>55</v>
      </c>
      <c r="C605" s="186">
        <v>55</v>
      </c>
      <c r="D605" s="12">
        <v>55</v>
      </c>
      <c r="E605" s="187">
        <v>55</v>
      </c>
      <c r="F605" s="187">
        <v>55</v>
      </c>
      <c r="G605" s="12">
        <f>G604*1.1</f>
        <v>55.000000000000007</v>
      </c>
      <c r="H605" s="12">
        <f>H604*1.1</f>
        <v>55.000000000000007</v>
      </c>
      <c r="I605" s="12"/>
      <c r="J605" s="12"/>
      <c r="K605" s="12"/>
      <c r="L605" s="12"/>
    </row>
    <row r="606" spans="1:12" x14ac:dyDescent="0.25">
      <c r="A606" s="10" t="s">
        <v>19</v>
      </c>
      <c r="B606" s="188" t="s">
        <v>112</v>
      </c>
      <c r="C606" s="188" t="s">
        <v>112</v>
      </c>
      <c r="D606" s="188" t="s">
        <v>112</v>
      </c>
      <c r="E606" s="189" t="s">
        <v>112</v>
      </c>
      <c r="F606" s="189" t="s">
        <v>112</v>
      </c>
      <c r="G606" s="189" t="s">
        <v>112</v>
      </c>
      <c r="H606" s="189" t="s">
        <v>112</v>
      </c>
      <c r="I606" s="189"/>
      <c r="J606" s="189"/>
      <c r="K606" s="189"/>
      <c r="L606" s="189"/>
    </row>
    <row r="607" spans="1:12" x14ac:dyDescent="0.25">
      <c r="A607" s="10" t="s">
        <v>20</v>
      </c>
      <c r="B607" s="12">
        <v>12</v>
      </c>
      <c r="C607" s="12">
        <v>10</v>
      </c>
      <c r="D607" s="12">
        <v>5</v>
      </c>
      <c r="E607" s="12">
        <v>6</v>
      </c>
      <c r="F607" s="12">
        <v>2</v>
      </c>
      <c r="G607" s="12">
        <v>5.4</v>
      </c>
      <c r="H607" s="12">
        <v>5.2</v>
      </c>
      <c r="I607" s="12">
        <v>2</v>
      </c>
      <c r="J607" s="12">
        <v>1.3</v>
      </c>
      <c r="K607" s="12">
        <v>1.7</v>
      </c>
      <c r="L607" s="12"/>
    </row>
    <row r="608" spans="1:12" x14ac:dyDescent="0.25">
      <c r="A608" s="10" t="s">
        <v>21</v>
      </c>
      <c r="B608" s="12">
        <v>43</v>
      </c>
      <c r="C608" s="12">
        <f t="shared" ref="C608:H608" si="24">C605-C607</f>
        <v>45</v>
      </c>
      <c r="D608" s="12">
        <f t="shared" si="24"/>
        <v>50</v>
      </c>
      <c r="E608" s="12">
        <f t="shared" si="24"/>
        <v>49</v>
      </c>
      <c r="F608" s="12">
        <f t="shared" si="24"/>
        <v>53</v>
      </c>
      <c r="G608" s="12">
        <f t="shared" si="24"/>
        <v>49.600000000000009</v>
      </c>
      <c r="H608" s="12">
        <f t="shared" si="24"/>
        <v>49.800000000000004</v>
      </c>
      <c r="I608" s="12">
        <f>I604-I607</f>
        <v>48</v>
      </c>
      <c r="J608" s="12">
        <f>J604-J607</f>
        <v>48.7</v>
      </c>
      <c r="K608" s="12">
        <f>K604-K607</f>
        <v>48.3</v>
      </c>
      <c r="L608" s="12"/>
    </row>
    <row r="609" spans="1:12" x14ac:dyDescent="0.25">
      <c r="A609" s="16" t="s">
        <v>22</v>
      </c>
      <c r="B609" s="157">
        <v>2017</v>
      </c>
      <c r="C609" s="195">
        <v>2018</v>
      </c>
      <c r="D609" s="195">
        <v>2019</v>
      </c>
      <c r="E609" s="195">
        <v>2020</v>
      </c>
      <c r="F609" s="195">
        <v>2021</v>
      </c>
      <c r="G609" s="195" t="s">
        <v>161</v>
      </c>
      <c r="H609" s="195" t="s">
        <v>161</v>
      </c>
      <c r="I609" s="195" t="s">
        <v>161</v>
      </c>
      <c r="J609" s="195" t="s">
        <v>161</v>
      </c>
      <c r="K609" s="195" t="s">
        <v>161</v>
      </c>
      <c r="L609" s="195" t="s">
        <v>161</v>
      </c>
    </row>
    <row r="610" spans="1:12" x14ac:dyDescent="0.25">
      <c r="A610" s="16" t="s">
        <v>23</v>
      </c>
      <c r="B610" s="46"/>
      <c r="C610" s="46"/>
      <c r="D610" s="46"/>
      <c r="E610" s="46"/>
      <c r="F610" s="46"/>
      <c r="G610" s="46"/>
      <c r="H610" s="47"/>
      <c r="I610" s="47"/>
      <c r="J610" s="47"/>
      <c r="K610" s="47"/>
      <c r="L610" s="47"/>
    </row>
    <row r="611" spans="1:12" x14ac:dyDescent="0.25">
      <c r="A611" s="698" t="s">
        <v>113</v>
      </c>
      <c r="B611" s="699"/>
      <c r="C611" s="699"/>
      <c r="D611" s="699"/>
      <c r="E611" s="699"/>
      <c r="F611" s="699"/>
      <c r="G611" s="19"/>
      <c r="H611" s="19"/>
      <c r="I611" s="19"/>
      <c r="J611" s="19"/>
      <c r="K611" s="19"/>
      <c r="L611" s="63"/>
    </row>
    <row r="612" spans="1:12" x14ac:dyDescent="0.25">
      <c r="A612" s="159" t="s">
        <v>360</v>
      </c>
      <c r="B612" s="32"/>
      <c r="C612" s="32"/>
      <c r="D612" s="32"/>
      <c r="E612" s="32"/>
      <c r="F612" s="32"/>
      <c r="L612" s="64"/>
    </row>
    <row r="613" spans="1:12" x14ac:dyDescent="0.25">
      <c r="A613" s="159" t="s">
        <v>452</v>
      </c>
      <c r="B613" s="32"/>
      <c r="C613" s="32"/>
      <c r="D613" s="32"/>
      <c r="E613" s="32"/>
      <c r="F613" s="32"/>
      <c r="L613" s="64"/>
    </row>
    <row r="614" spans="1:12" x14ac:dyDescent="0.25">
      <c r="A614" s="159" t="s">
        <v>659</v>
      </c>
      <c r="B614" s="32"/>
      <c r="C614" s="32"/>
      <c r="D614" s="32"/>
      <c r="E614" s="32"/>
      <c r="F614" s="32"/>
      <c r="L614" s="64"/>
    </row>
    <row r="615" spans="1:12" x14ac:dyDescent="0.25">
      <c r="A615" s="41" t="s">
        <v>775</v>
      </c>
      <c r="B615" s="34"/>
      <c r="C615" s="34"/>
      <c r="D615" s="34"/>
      <c r="E615" s="34"/>
      <c r="F615" s="34"/>
      <c r="G615" s="34"/>
      <c r="H615" s="34"/>
      <c r="I615" s="34"/>
      <c r="J615" s="34"/>
      <c r="K615" s="34"/>
      <c r="L615" s="48"/>
    </row>
    <row r="618" spans="1:12" x14ac:dyDescent="0.25">
      <c r="A618" s="6" t="s">
        <v>12</v>
      </c>
      <c r="B618" s="171" t="s">
        <v>614</v>
      </c>
    </row>
    <row r="619" spans="1:12" x14ac:dyDescent="0.25">
      <c r="A619" s="103" t="s">
        <v>14</v>
      </c>
      <c r="B619" s="104" t="s">
        <v>624</v>
      </c>
      <c r="C619" s="66" t="s">
        <v>152</v>
      </c>
      <c r="D619" s="8"/>
      <c r="E619" s="8"/>
      <c r="F619" s="8"/>
      <c r="G619" s="8"/>
    </row>
    <row r="620" spans="1:12" s="200" customFormat="1" x14ac:dyDescent="0.25">
      <c r="A620" s="196" t="s">
        <v>27</v>
      </c>
      <c r="B620" s="197">
        <v>2016</v>
      </c>
      <c r="C620" s="197">
        <v>2017</v>
      </c>
      <c r="D620" s="198">
        <v>2018</v>
      </c>
      <c r="E620" s="197">
        <v>2019</v>
      </c>
      <c r="F620" s="199">
        <v>2020</v>
      </c>
      <c r="G620" s="199">
        <v>2021</v>
      </c>
      <c r="H620" s="199">
        <v>2022</v>
      </c>
      <c r="I620" s="199">
        <v>2023</v>
      </c>
      <c r="J620" s="199">
        <v>2024</v>
      </c>
    </row>
    <row r="621" spans="1:12" s="200" customFormat="1" x14ac:dyDescent="0.25">
      <c r="A621" s="196" t="s">
        <v>28</v>
      </c>
      <c r="B621" s="201">
        <v>200</v>
      </c>
      <c r="C621" s="201">
        <v>200</v>
      </c>
      <c r="D621" s="201">
        <v>200</v>
      </c>
      <c r="E621" s="201">
        <v>215</v>
      </c>
      <c r="F621" s="202">
        <v>215</v>
      </c>
      <c r="G621" s="202">
        <v>242</v>
      </c>
      <c r="H621" s="201">
        <v>242</v>
      </c>
      <c r="I621" s="201">
        <v>242</v>
      </c>
      <c r="J621" s="201">
        <v>302</v>
      </c>
    </row>
    <row r="622" spans="1:12" s="200" customFormat="1" x14ac:dyDescent="0.25">
      <c r="A622" s="196" t="s">
        <v>29</v>
      </c>
      <c r="B622" s="203">
        <f>(B621+0.25*200)</f>
        <v>250</v>
      </c>
      <c r="C622" s="203">
        <f>(C621+0.25*B621)</f>
        <v>250</v>
      </c>
      <c r="D622" s="203">
        <f t="shared" ref="D622:J622" si="25">(D621+0.25*C621)</f>
        <v>250</v>
      </c>
      <c r="E622" s="203">
        <f t="shared" si="25"/>
        <v>265</v>
      </c>
      <c r="F622" s="203">
        <f t="shared" si="25"/>
        <v>268.75</v>
      </c>
      <c r="G622" s="203">
        <f t="shared" si="25"/>
        <v>295.75</v>
      </c>
      <c r="H622" s="204">
        <f t="shared" si="25"/>
        <v>302.5</v>
      </c>
      <c r="I622" s="204">
        <f t="shared" si="25"/>
        <v>302.5</v>
      </c>
      <c r="J622" s="204">
        <f t="shared" si="25"/>
        <v>362.5</v>
      </c>
    </row>
    <row r="623" spans="1:12" s="200" customFormat="1" x14ac:dyDescent="0.25">
      <c r="A623" s="196" t="s">
        <v>30</v>
      </c>
      <c r="B623" s="203"/>
      <c r="C623" s="203"/>
      <c r="D623" s="205"/>
      <c r="E623" s="203"/>
      <c r="F623" s="206"/>
      <c r="G623" s="206"/>
      <c r="H623" s="206"/>
      <c r="I623" s="206"/>
      <c r="J623" s="206"/>
    </row>
    <row r="624" spans="1:12" s="200" customFormat="1" x14ac:dyDescent="0.25">
      <c r="A624" s="196" t="s">
        <v>31</v>
      </c>
      <c r="B624" s="201">
        <v>4.6470000000000002</v>
      </c>
      <c r="C624" s="201">
        <v>11.226000000000001</v>
      </c>
      <c r="D624" s="201">
        <v>4.8979999999999997</v>
      </c>
      <c r="E624" s="202">
        <v>1.35</v>
      </c>
      <c r="F624" s="202">
        <v>0.64</v>
      </c>
      <c r="G624" s="202">
        <v>2.34</v>
      </c>
      <c r="H624" s="206">
        <v>1.49</v>
      </c>
      <c r="I624" s="206">
        <v>0.66</v>
      </c>
      <c r="J624" s="206">
        <v>1.0329999999999999</v>
      </c>
    </row>
    <row r="625" spans="1:11" s="200" customFormat="1" x14ac:dyDescent="0.25">
      <c r="A625" s="196" t="s">
        <v>32</v>
      </c>
      <c r="B625" s="204">
        <f t="shared" ref="B625:J625" si="26">B622-B624</f>
        <v>245.35300000000001</v>
      </c>
      <c r="C625" s="204">
        <f t="shared" si="26"/>
        <v>238.774</v>
      </c>
      <c r="D625" s="204">
        <f t="shared" si="26"/>
        <v>245.102</v>
      </c>
      <c r="E625" s="204">
        <f t="shared" si="26"/>
        <v>263.64999999999998</v>
      </c>
      <c r="F625" s="204">
        <f t="shared" si="26"/>
        <v>268.11</v>
      </c>
      <c r="G625" s="204">
        <f t="shared" si="26"/>
        <v>293.41000000000003</v>
      </c>
      <c r="H625" s="204">
        <f t="shared" si="26"/>
        <v>301.01</v>
      </c>
      <c r="I625" s="204">
        <f t="shared" si="26"/>
        <v>301.83999999999997</v>
      </c>
      <c r="J625" s="204">
        <f t="shared" si="26"/>
        <v>361.46699999999998</v>
      </c>
    </row>
    <row r="626" spans="1:11" s="200" customFormat="1" x14ac:dyDescent="0.25">
      <c r="A626" s="207" t="s">
        <v>33</v>
      </c>
      <c r="B626" s="208">
        <v>2017</v>
      </c>
      <c r="C626" s="208">
        <v>2018</v>
      </c>
      <c r="D626" s="209">
        <v>2019</v>
      </c>
      <c r="E626" s="208">
        <v>2020</v>
      </c>
      <c r="F626" s="210">
        <v>2021</v>
      </c>
      <c r="G626" s="210">
        <v>2022</v>
      </c>
      <c r="H626" s="210">
        <v>2023</v>
      </c>
      <c r="I626" s="210">
        <v>2024</v>
      </c>
      <c r="J626" s="210">
        <v>2026</v>
      </c>
    </row>
    <row r="627" spans="1:11" s="200" customFormat="1" x14ac:dyDescent="0.25">
      <c r="A627" s="207" t="s">
        <v>34</v>
      </c>
      <c r="B627" s="211"/>
      <c r="C627" s="211"/>
      <c r="D627" s="211"/>
      <c r="E627" s="211"/>
      <c r="F627" s="211"/>
      <c r="G627" s="211"/>
      <c r="H627" s="211"/>
      <c r="I627" s="212"/>
      <c r="J627" s="212"/>
    </row>
    <row r="628" spans="1:11" s="200" customFormat="1" x14ac:dyDescent="0.25">
      <c r="A628" s="207" t="s">
        <v>615</v>
      </c>
      <c r="B628" s="211"/>
      <c r="C628" s="211"/>
      <c r="D628" s="211"/>
      <c r="E628" s="211"/>
      <c r="F628" s="211"/>
      <c r="G628" s="211"/>
      <c r="H628" s="211"/>
      <c r="I628" s="211"/>
      <c r="J628" s="212"/>
    </row>
    <row r="629" spans="1:11" s="200" customFormat="1" x14ac:dyDescent="0.25">
      <c r="A629" s="81" t="s">
        <v>616</v>
      </c>
      <c r="B629" s="83"/>
      <c r="C629" s="83"/>
      <c r="D629" s="83"/>
      <c r="E629" s="83"/>
      <c r="F629" s="83"/>
      <c r="G629" s="83"/>
      <c r="H629" s="83"/>
      <c r="I629" s="83"/>
      <c r="J629" s="213"/>
    </row>
    <row r="630" spans="1:11" s="200" customFormat="1" x14ac:dyDescent="0.25">
      <c r="A630" s="81" t="s">
        <v>617</v>
      </c>
      <c r="B630" s="83"/>
      <c r="C630" s="83"/>
      <c r="D630" s="83"/>
      <c r="E630" s="83"/>
      <c r="F630" s="83"/>
      <c r="G630" s="83"/>
      <c r="H630" s="83"/>
      <c r="I630" s="83"/>
      <c r="J630" s="213"/>
    </row>
    <row r="631" spans="1:11" s="200" customFormat="1" x14ac:dyDescent="0.25">
      <c r="A631" s="81" t="s">
        <v>618</v>
      </c>
      <c r="B631" s="83"/>
      <c r="C631" s="83"/>
      <c r="D631" s="83"/>
      <c r="E631" s="83"/>
      <c r="F631" s="83"/>
      <c r="G631" s="83"/>
      <c r="H631" s="83"/>
      <c r="I631" s="83"/>
      <c r="J631" s="213"/>
    </row>
    <row r="632" spans="1:11" s="200" customFormat="1" x14ac:dyDescent="0.25">
      <c r="A632" s="81" t="s">
        <v>619</v>
      </c>
      <c r="B632" s="83"/>
      <c r="C632" s="83"/>
      <c r="D632" s="83"/>
      <c r="E632" s="83"/>
      <c r="F632" s="83"/>
      <c r="G632" s="83"/>
      <c r="H632" s="83"/>
      <c r="I632" s="83"/>
      <c r="J632" s="213"/>
    </row>
    <row r="633" spans="1:11" s="200" customFormat="1" x14ac:dyDescent="0.25">
      <c r="A633" s="81" t="s">
        <v>620</v>
      </c>
      <c r="B633" s="83"/>
      <c r="C633" s="83"/>
      <c r="D633" s="83"/>
      <c r="E633" s="83"/>
      <c r="F633" s="83"/>
      <c r="G633" s="83"/>
      <c r="H633" s="83"/>
      <c r="I633" s="83"/>
      <c r="J633" s="213"/>
    </row>
    <row r="634" spans="1:11" s="200" customFormat="1" x14ac:dyDescent="0.25">
      <c r="A634" s="81" t="s">
        <v>621</v>
      </c>
      <c r="B634" s="83"/>
      <c r="C634" s="83"/>
      <c r="D634" s="83"/>
      <c r="E634" s="83"/>
      <c r="F634" s="83"/>
      <c r="G634" s="83"/>
      <c r="H634" s="83"/>
      <c r="I634" s="83"/>
      <c r="J634" s="213"/>
    </row>
    <row r="635" spans="1:11" s="200" customFormat="1" x14ac:dyDescent="0.25">
      <c r="A635" s="81" t="s">
        <v>622</v>
      </c>
      <c r="B635" s="83"/>
      <c r="C635" s="83"/>
      <c r="D635" s="83"/>
      <c r="E635" s="83"/>
      <c r="F635" s="83"/>
      <c r="G635" s="83"/>
      <c r="H635" s="83"/>
      <c r="I635" s="83"/>
      <c r="J635" s="213"/>
    </row>
    <row r="636" spans="1:11" s="200" customFormat="1" x14ac:dyDescent="0.25">
      <c r="A636" s="81" t="s">
        <v>783</v>
      </c>
      <c r="B636" s="83"/>
      <c r="C636" s="83"/>
      <c r="D636" s="83"/>
      <c r="E636" s="83"/>
      <c r="F636" s="83"/>
      <c r="G636" s="83"/>
      <c r="H636" s="83"/>
      <c r="I636" s="83"/>
      <c r="J636" s="213"/>
    </row>
    <row r="637" spans="1:11" s="200" customFormat="1" x14ac:dyDescent="0.25">
      <c r="A637" s="84" t="s">
        <v>995</v>
      </c>
      <c r="B637" s="116"/>
      <c r="C637" s="116"/>
      <c r="D637" s="116"/>
      <c r="E637" s="116"/>
      <c r="F637" s="116"/>
      <c r="G637" s="116"/>
      <c r="H637" s="116"/>
      <c r="I637" s="116"/>
      <c r="J637" s="214"/>
    </row>
    <row r="638" spans="1:11" s="200" customFormat="1" x14ac:dyDescent="0.25">
      <c r="A638" s="83"/>
      <c r="B638" s="83"/>
      <c r="C638" s="83"/>
      <c r="D638" s="83"/>
      <c r="E638" s="83"/>
      <c r="F638" s="83"/>
      <c r="G638" s="83"/>
      <c r="H638" s="83"/>
      <c r="I638" s="83"/>
    </row>
    <row r="639" spans="1:11" x14ac:dyDescent="0.25">
      <c r="A639" s="98" t="s">
        <v>14</v>
      </c>
      <c r="B639" s="66" t="s">
        <v>623</v>
      </c>
      <c r="C639" s="66" t="s">
        <v>152</v>
      </c>
      <c r="D639" s="136"/>
      <c r="E639" s="136"/>
      <c r="F639" s="136"/>
      <c r="G639" s="136"/>
    </row>
    <row r="640" spans="1:11" s="200" customFormat="1" x14ac:dyDescent="0.25">
      <c r="A640" s="196" t="s">
        <v>27</v>
      </c>
      <c r="B640" s="197">
        <v>2016</v>
      </c>
      <c r="C640" s="197">
        <v>2017</v>
      </c>
      <c r="D640" s="198">
        <v>2018</v>
      </c>
      <c r="E640" s="197">
        <v>2019</v>
      </c>
      <c r="F640" s="199">
        <v>2020</v>
      </c>
      <c r="G640" s="199">
        <v>2021</v>
      </c>
      <c r="H640" s="199">
        <v>2022</v>
      </c>
      <c r="I640" s="199">
        <v>2023</v>
      </c>
      <c r="J640" s="199">
        <v>2024</v>
      </c>
      <c r="K640" s="199">
        <v>2025</v>
      </c>
    </row>
    <row r="641" spans="1:11" s="200" customFormat="1" x14ac:dyDescent="0.25">
      <c r="A641" s="196" t="s">
        <v>28</v>
      </c>
      <c r="B641" s="215">
        <v>0</v>
      </c>
      <c r="C641" s="215">
        <v>0</v>
      </c>
      <c r="D641" s="215">
        <v>0</v>
      </c>
      <c r="E641" s="215">
        <v>0</v>
      </c>
      <c r="F641" s="216">
        <v>0</v>
      </c>
      <c r="G641" s="216">
        <v>0</v>
      </c>
      <c r="H641" s="215">
        <v>0</v>
      </c>
      <c r="I641" s="215">
        <v>0</v>
      </c>
      <c r="J641" s="215">
        <v>0</v>
      </c>
      <c r="K641" s="217">
        <v>375</v>
      </c>
    </row>
    <row r="642" spans="1:11" s="200" customFormat="1" x14ac:dyDescent="0.25">
      <c r="A642" s="196" t="s">
        <v>29</v>
      </c>
      <c r="B642" s="218">
        <v>-19.86</v>
      </c>
      <c r="C642" s="219">
        <f t="shared" ref="C642:K642" si="27">B645</f>
        <v>-48.64</v>
      </c>
      <c r="D642" s="219">
        <f t="shared" si="27"/>
        <v>-96.69</v>
      </c>
      <c r="E642" s="219">
        <f t="shared" si="27"/>
        <v>-149.34</v>
      </c>
      <c r="F642" s="219">
        <f t="shared" si="27"/>
        <v>-172.85</v>
      </c>
      <c r="G642" s="219">
        <f t="shared" si="27"/>
        <v>-196.03</v>
      </c>
      <c r="H642" s="219">
        <f t="shared" si="27"/>
        <v>-246.64</v>
      </c>
      <c r="I642" s="219">
        <f t="shared" si="27"/>
        <v>-272.18</v>
      </c>
      <c r="J642" s="219">
        <f t="shared" si="27"/>
        <v>-299.51600000000002</v>
      </c>
      <c r="K642" s="220">
        <f t="shared" si="27"/>
        <v>-338.07500000000005</v>
      </c>
    </row>
    <row r="643" spans="1:11" s="200" customFormat="1" x14ac:dyDescent="0.25">
      <c r="A643" s="196" t="s">
        <v>30</v>
      </c>
      <c r="B643" s="203" t="s">
        <v>399</v>
      </c>
      <c r="C643" s="205" t="s">
        <v>400</v>
      </c>
      <c r="D643" s="203" t="s">
        <v>401</v>
      </c>
      <c r="E643" s="206" t="s">
        <v>402</v>
      </c>
      <c r="F643" s="206" t="s">
        <v>566</v>
      </c>
      <c r="G643" s="206" t="s">
        <v>604</v>
      </c>
      <c r="H643" s="206" t="s">
        <v>625</v>
      </c>
      <c r="I643" s="206" t="s">
        <v>784</v>
      </c>
      <c r="J643" s="206" t="s">
        <v>996</v>
      </c>
      <c r="K643" s="114" t="s">
        <v>1161</v>
      </c>
    </row>
    <row r="644" spans="1:11" s="200" customFormat="1" x14ac:dyDescent="0.25">
      <c r="A644" s="196" t="s">
        <v>31</v>
      </c>
      <c r="B644" s="215">
        <v>28.78</v>
      </c>
      <c r="C644" s="215">
        <v>48.05</v>
      </c>
      <c r="D644" s="215">
        <v>52.65</v>
      </c>
      <c r="E644" s="216">
        <v>23.51</v>
      </c>
      <c r="F644" s="216">
        <v>23.18</v>
      </c>
      <c r="G644" s="216">
        <v>50.61</v>
      </c>
      <c r="H644" s="221">
        <v>25.54</v>
      </c>
      <c r="I644" s="221">
        <v>27.335999999999999</v>
      </c>
      <c r="J644" s="221">
        <v>38.558999999999997</v>
      </c>
      <c r="K644" s="217"/>
    </row>
    <row r="645" spans="1:11" s="200" customFormat="1" x14ac:dyDescent="0.25">
      <c r="A645" s="196" t="s">
        <v>32</v>
      </c>
      <c r="B645" s="204">
        <f t="shared" ref="B645:J645" si="28">B642-B644</f>
        <v>-48.64</v>
      </c>
      <c r="C645" s="204">
        <f t="shared" si="28"/>
        <v>-96.69</v>
      </c>
      <c r="D645" s="204">
        <f t="shared" si="28"/>
        <v>-149.34</v>
      </c>
      <c r="E645" s="204">
        <f t="shared" si="28"/>
        <v>-172.85</v>
      </c>
      <c r="F645" s="204">
        <f t="shared" si="28"/>
        <v>-196.03</v>
      </c>
      <c r="G645" s="204">
        <f t="shared" si="28"/>
        <v>-246.64</v>
      </c>
      <c r="H645" s="222">
        <f t="shared" si="28"/>
        <v>-272.18</v>
      </c>
      <c r="I645" s="222">
        <f t="shared" si="28"/>
        <v>-299.51600000000002</v>
      </c>
      <c r="J645" s="222">
        <f t="shared" si="28"/>
        <v>-338.07500000000005</v>
      </c>
      <c r="K645" s="217"/>
    </row>
    <row r="646" spans="1:11" s="200" customFormat="1" x14ac:dyDescent="0.25">
      <c r="A646" s="207" t="s">
        <v>33</v>
      </c>
      <c r="B646" s="223">
        <v>2017</v>
      </c>
      <c r="C646" s="223">
        <v>2018</v>
      </c>
      <c r="D646" s="211">
        <v>2019</v>
      </c>
      <c r="E646" s="223">
        <v>2020</v>
      </c>
      <c r="F646" s="212">
        <v>2021</v>
      </c>
      <c r="G646" s="212">
        <v>2022</v>
      </c>
      <c r="H646" s="212">
        <v>2023</v>
      </c>
      <c r="I646" s="212">
        <v>2024</v>
      </c>
      <c r="J646" s="212">
        <v>2025</v>
      </c>
      <c r="K646" s="217">
        <v>2026</v>
      </c>
    </row>
    <row r="647" spans="1:11" s="200" customFormat="1" x14ac:dyDescent="0.25">
      <c r="A647" s="224" t="s">
        <v>34</v>
      </c>
      <c r="B647" s="225"/>
      <c r="C647" s="225"/>
      <c r="D647" s="225"/>
      <c r="E647" s="225"/>
      <c r="F647" s="225"/>
      <c r="G647" s="225"/>
      <c r="H647" s="225"/>
      <c r="I647" s="225"/>
      <c r="J647" s="225"/>
      <c r="K647" s="226"/>
    </row>
    <row r="648" spans="1:11" s="200" customFormat="1" x14ac:dyDescent="0.25">
      <c r="A648" s="227" t="s">
        <v>626</v>
      </c>
      <c r="B648" s="228"/>
      <c r="C648" s="228"/>
      <c r="D648" s="228"/>
      <c r="E648" s="228"/>
      <c r="F648" s="228"/>
      <c r="G648" s="228"/>
      <c r="H648" s="228"/>
      <c r="I648" s="228"/>
      <c r="J648" s="229"/>
      <c r="K648" s="230"/>
    </row>
    <row r="649" spans="1:11" s="200" customFormat="1" x14ac:dyDescent="0.25">
      <c r="A649" s="231" t="s">
        <v>627</v>
      </c>
      <c r="B649" s="83"/>
      <c r="C649" s="83"/>
      <c r="D649" s="83"/>
      <c r="E649" s="83"/>
      <c r="F649" s="83"/>
      <c r="G649" s="83"/>
      <c r="H649" s="83"/>
      <c r="I649" s="83"/>
      <c r="J649" s="213"/>
      <c r="K649" s="232"/>
    </row>
    <row r="650" spans="1:11" s="200" customFormat="1" x14ac:dyDescent="0.25">
      <c r="A650" s="231" t="s">
        <v>628</v>
      </c>
      <c r="B650" s="83"/>
      <c r="C650" s="83"/>
      <c r="D650" s="83"/>
      <c r="E650" s="83"/>
      <c r="F650" s="83"/>
      <c r="G650" s="83"/>
      <c r="H650" s="83"/>
      <c r="I650" s="83"/>
      <c r="J650" s="213"/>
      <c r="K650" s="232"/>
    </row>
    <row r="651" spans="1:11" s="200" customFormat="1" x14ac:dyDescent="0.25">
      <c r="A651" s="231" t="s">
        <v>629</v>
      </c>
      <c r="B651" s="83"/>
      <c r="C651" s="83"/>
      <c r="D651" s="83"/>
      <c r="E651" s="83"/>
      <c r="F651" s="83"/>
      <c r="G651" s="83"/>
      <c r="H651" s="83"/>
      <c r="I651" s="83"/>
      <c r="J651" s="213"/>
      <c r="K651" s="232"/>
    </row>
    <row r="652" spans="1:11" s="200" customFormat="1" x14ac:dyDescent="0.25">
      <c r="A652" s="231" t="s">
        <v>630</v>
      </c>
      <c r="B652" s="83"/>
      <c r="C652" s="83"/>
      <c r="D652" s="83"/>
      <c r="E652" s="83"/>
      <c r="F652" s="83"/>
      <c r="G652" s="83"/>
      <c r="H652" s="83"/>
      <c r="I652" s="83"/>
      <c r="J652" s="213"/>
      <c r="K652" s="232"/>
    </row>
    <row r="653" spans="1:11" s="200" customFormat="1" x14ac:dyDescent="0.25">
      <c r="A653" s="231" t="s">
        <v>631</v>
      </c>
      <c r="B653" s="83"/>
      <c r="C653" s="83"/>
      <c r="D653" s="83"/>
      <c r="E653" s="83"/>
      <c r="F653" s="83"/>
      <c r="G653" s="83"/>
      <c r="H653" s="83"/>
      <c r="I653" s="83"/>
      <c r="J653" s="213"/>
      <c r="K653" s="232"/>
    </row>
    <row r="654" spans="1:11" s="200" customFormat="1" x14ac:dyDescent="0.25">
      <c r="A654" s="231" t="s">
        <v>632</v>
      </c>
      <c r="B654" s="83"/>
      <c r="C654" s="83"/>
      <c r="D654" s="83"/>
      <c r="E654" s="83"/>
      <c r="F654" s="83"/>
      <c r="G654" s="83"/>
      <c r="H654" s="83"/>
      <c r="I654" s="83"/>
      <c r="J654" s="213"/>
      <c r="K654" s="232"/>
    </row>
    <row r="655" spans="1:11" s="200" customFormat="1" x14ac:dyDescent="0.25">
      <c r="A655" s="231" t="s">
        <v>785</v>
      </c>
      <c r="B655" s="83"/>
      <c r="C655" s="83"/>
      <c r="D655" s="83"/>
      <c r="E655" s="83"/>
      <c r="F655" s="83"/>
      <c r="G655" s="83"/>
      <c r="H655" s="83"/>
      <c r="I655" s="83"/>
      <c r="J655" s="213"/>
      <c r="K655" s="232"/>
    </row>
    <row r="656" spans="1:11" s="200" customFormat="1" x14ac:dyDescent="0.25">
      <c r="A656" s="231" t="s">
        <v>997</v>
      </c>
      <c r="B656" s="83"/>
      <c r="C656" s="83"/>
      <c r="D656" s="83"/>
      <c r="E656" s="83"/>
      <c r="F656" s="83"/>
      <c r="G656" s="83"/>
      <c r="H656" s="83"/>
      <c r="I656" s="83"/>
      <c r="J656" s="213"/>
      <c r="K656" s="232"/>
    </row>
    <row r="657" spans="1:11" s="200" customFormat="1" x14ac:dyDescent="0.25">
      <c r="A657" s="233" t="s">
        <v>1162</v>
      </c>
      <c r="B657" s="116"/>
      <c r="C657" s="116"/>
      <c r="D657" s="116"/>
      <c r="E657" s="116"/>
      <c r="F657" s="116"/>
      <c r="G657" s="116"/>
      <c r="H657" s="116"/>
      <c r="I657" s="116"/>
      <c r="J657" s="214"/>
      <c r="K657" s="234"/>
    </row>
    <row r="658" spans="1:11" s="200" customFormat="1" x14ac:dyDescent="0.25">
      <c r="A658" s="83"/>
      <c r="B658" s="83"/>
      <c r="C658" s="83"/>
      <c r="D658" s="83"/>
      <c r="E658" s="83"/>
      <c r="F658" s="83"/>
      <c r="G658" s="83"/>
      <c r="H658" s="83"/>
      <c r="I658" s="83"/>
    </row>
    <row r="659" spans="1:11" s="200" customFormat="1" x14ac:dyDescent="0.25">
      <c r="A659" s="98" t="s">
        <v>14</v>
      </c>
      <c r="B659" s="66" t="s">
        <v>74</v>
      </c>
      <c r="C659" s="66" t="s">
        <v>152</v>
      </c>
      <c r="D659" s="83"/>
      <c r="E659" s="83"/>
      <c r="F659" s="83"/>
      <c r="G659" s="83"/>
      <c r="H659" s="83"/>
      <c r="I659" s="83"/>
    </row>
    <row r="660" spans="1:11" s="200" customFormat="1" x14ac:dyDescent="0.25">
      <c r="A660" s="196" t="s">
        <v>27</v>
      </c>
      <c r="B660" s="235">
        <v>2016</v>
      </c>
      <c r="C660" s="235">
        <v>2017</v>
      </c>
      <c r="D660" s="236">
        <v>2018</v>
      </c>
      <c r="E660" s="235">
        <v>2019</v>
      </c>
      <c r="F660" s="237">
        <v>2020</v>
      </c>
      <c r="G660" s="237">
        <v>2021</v>
      </c>
      <c r="H660" s="237">
        <v>2022</v>
      </c>
      <c r="I660" s="237">
        <v>2023</v>
      </c>
      <c r="J660" s="237">
        <v>2024</v>
      </c>
      <c r="K660" s="237">
        <v>2025</v>
      </c>
    </row>
    <row r="661" spans="1:11" s="200" customFormat="1" x14ac:dyDescent="0.25">
      <c r="A661" s="196" t="s">
        <v>28</v>
      </c>
      <c r="B661" s="201">
        <v>10</v>
      </c>
      <c r="C661" s="201">
        <v>10</v>
      </c>
      <c r="D661" s="201">
        <v>10</v>
      </c>
      <c r="E661" s="201">
        <v>10</v>
      </c>
      <c r="F661" s="201">
        <v>10</v>
      </c>
      <c r="G661" s="201">
        <v>10</v>
      </c>
      <c r="H661" s="201">
        <v>10</v>
      </c>
      <c r="I661" s="201">
        <v>10</v>
      </c>
      <c r="J661" s="201">
        <v>10</v>
      </c>
      <c r="K661" s="201">
        <v>10</v>
      </c>
    </row>
    <row r="662" spans="1:11" s="200" customFormat="1" x14ac:dyDescent="0.25">
      <c r="A662" s="196" t="s">
        <v>29</v>
      </c>
      <c r="B662" s="204">
        <v>10</v>
      </c>
      <c r="C662" s="204">
        <f>B665+10</f>
        <v>-31.037900001525877</v>
      </c>
      <c r="D662" s="204">
        <f>C665+10</f>
        <v>-100.44840000534057</v>
      </c>
      <c r="E662" s="204">
        <f>D665+10</f>
        <v>-131.83390000534058</v>
      </c>
      <c r="F662" s="204">
        <f>E665+10</f>
        <v>-149.28490000534057</v>
      </c>
      <c r="G662" s="204">
        <f>F665+10</f>
        <v>-157.49490000534058</v>
      </c>
      <c r="H662" s="204">
        <f>1.25*G665+H661</f>
        <v>-216.48112500667571</v>
      </c>
      <c r="I662" s="204">
        <f>1.25*H665+I661</f>
        <v>-273.73890625834463</v>
      </c>
      <c r="J662" s="204">
        <f>1.25*I665+J661</f>
        <v>-342.7198828229308</v>
      </c>
      <c r="K662" s="204">
        <f>1.25*J665+K661</f>
        <v>-446.63985352866348</v>
      </c>
    </row>
    <row r="663" spans="1:11" s="200" customFormat="1" x14ac:dyDescent="0.25">
      <c r="A663" s="196" t="s">
        <v>30</v>
      </c>
      <c r="B663" s="203"/>
      <c r="C663" s="203" t="s">
        <v>399</v>
      </c>
      <c r="D663" s="205" t="s">
        <v>400</v>
      </c>
      <c r="E663" s="203" t="s">
        <v>401</v>
      </c>
      <c r="F663" s="206" t="s">
        <v>402</v>
      </c>
      <c r="G663" s="206" t="s">
        <v>566</v>
      </c>
      <c r="H663" s="206" t="s">
        <v>604</v>
      </c>
      <c r="I663" s="206" t="s">
        <v>625</v>
      </c>
      <c r="J663" s="206" t="s">
        <v>784</v>
      </c>
      <c r="K663" s="206" t="s">
        <v>996</v>
      </c>
    </row>
    <row r="664" spans="1:11" s="200" customFormat="1" x14ac:dyDescent="0.25">
      <c r="A664" s="196" t="s">
        <v>31</v>
      </c>
      <c r="B664" s="238">
        <v>51.037900001525877</v>
      </c>
      <c r="C664" s="238">
        <v>79.410500003814704</v>
      </c>
      <c r="D664" s="238">
        <v>41.3855</v>
      </c>
      <c r="E664" s="239">
        <v>27.451000000000001</v>
      </c>
      <c r="F664" s="239">
        <v>18.21</v>
      </c>
      <c r="G664" s="202">
        <v>23.69</v>
      </c>
      <c r="H664" s="206">
        <v>10.51</v>
      </c>
      <c r="I664" s="240">
        <v>8.4369999999999994</v>
      </c>
      <c r="J664" s="206">
        <v>22.591999999999999</v>
      </c>
      <c r="K664" s="206"/>
    </row>
    <row r="665" spans="1:11" s="200" customFormat="1" x14ac:dyDescent="0.25">
      <c r="A665" s="196" t="s">
        <v>32</v>
      </c>
      <c r="B665" s="204">
        <f t="shared" ref="B665:I665" si="29">B662-B664</f>
        <v>-41.037900001525877</v>
      </c>
      <c r="C665" s="204">
        <f t="shared" si="29"/>
        <v>-110.44840000534057</v>
      </c>
      <c r="D665" s="204">
        <f t="shared" si="29"/>
        <v>-141.83390000534058</v>
      </c>
      <c r="E665" s="204">
        <f t="shared" si="29"/>
        <v>-159.28490000534057</v>
      </c>
      <c r="F665" s="204">
        <f t="shared" si="29"/>
        <v>-167.49490000534058</v>
      </c>
      <c r="G665" s="204">
        <f t="shared" si="29"/>
        <v>-181.18490000534058</v>
      </c>
      <c r="H665" s="204">
        <f t="shared" si="29"/>
        <v>-226.9911250066757</v>
      </c>
      <c r="I665" s="204">
        <f t="shared" si="29"/>
        <v>-282.17590625834464</v>
      </c>
      <c r="J665" s="222">
        <v>-365.31188282293078</v>
      </c>
      <c r="K665" s="204"/>
    </row>
    <row r="666" spans="1:11" s="200" customFormat="1" x14ac:dyDescent="0.25">
      <c r="A666" s="207" t="s">
        <v>33</v>
      </c>
      <c r="B666" s="208">
        <v>2017</v>
      </c>
      <c r="C666" s="208">
        <v>2018</v>
      </c>
      <c r="D666" s="209">
        <v>2019</v>
      </c>
      <c r="E666" s="208">
        <v>2020</v>
      </c>
      <c r="F666" s="210">
        <v>2021</v>
      </c>
      <c r="G666" s="210">
        <v>2022</v>
      </c>
      <c r="H666" s="210">
        <v>2023</v>
      </c>
      <c r="I666" s="210">
        <v>2024</v>
      </c>
      <c r="J666" s="210">
        <v>2025</v>
      </c>
      <c r="K666" s="114">
        <v>2026</v>
      </c>
    </row>
    <row r="667" spans="1:11" s="200" customFormat="1" x14ac:dyDescent="0.25">
      <c r="A667" s="241" t="s">
        <v>34</v>
      </c>
      <c r="B667" s="228"/>
      <c r="C667" s="228"/>
      <c r="D667" s="228"/>
      <c r="E667" s="228"/>
      <c r="F667" s="228"/>
      <c r="G667" s="228"/>
      <c r="H667" s="228"/>
      <c r="I667" s="228"/>
      <c r="J667" s="228"/>
      <c r="K667" s="230"/>
    </row>
    <row r="668" spans="1:11" s="200" customFormat="1" x14ac:dyDescent="0.25">
      <c r="A668" s="227" t="s">
        <v>633</v>
      </c>
      <c r="B668" s="228"/>
      <c r="C668" s="228"/>
      <c r="D668" s="228"/>
      <c r="E668" s="228"/>
      <c r="F668" s="228"/>
      <c r="G668" s="228"/>
      <c r="H668" s="228"/>
      <c r="I668" s="228"/>
      <c r="J668" s="228"/>
      <c r="K668" s="230"/>
    </row>
    <row r="669" spans="1:11" s="200" customFormat="1" x14ac:dyDescent="0.25">
      <c r="A669" s="231" t="s">
        <v>891</v>
      </c>
      <c r="B669" s="83"/>
      <c r="C669" s="83"/>
      <c r="D669" s="83"/>
      <c r="E669" s="83"/>
      <c r="F669" s="83"/>
      <c r="G669" s="83"/>
      <c r="H669" s="83"/>
      <c r="I669" s="83"/>
      <c r="J669" s="83"/>
      <c r="K669" s="232"/>
    </row>
    <row r="670" spans="1:11" s="200" customFormat="1" x14ac:dyDescent="0.25">
      <c r="A670" s="231" t="s">
        <v>892</v>
      </c>
      <c r="B670" s="83"/>
      <c r="C670" s="83"/>
      <c r="D670" s="83"/>
      <c r="E670" s="83"/>
      <c r="F670" s="83"/>
      <c r="G670" s="83"/>
      <c r="H670" s="83"/>
      <c r="I670" s="83"/>
      <c r="J670" s="83"/>
      <c r="K670" s="232"/>
    </row>
    <row r="671" spans="1:11" s="200" customFormat="1" x14ac:dyDescent="0.25">
      <c r="A671" s="231" t="s">
        <v>893</v>
      </c>
      <c r="B671" s="83"/>
      <c r="C671" s="83"/>
      <c r="D671" s="83"/>
      <c r="E671" s="83"/>
      <c r="F671" s="83"/>
      <c r="G671" s="83"/>
      <c r="H671" s="83"/>
      <c r="I671" s="83"/>
      <c r="J671" s="83"/>
      <c r="K671" s="232"/>
    </row>
    <row r="672" spans="1:11" s="200" customFormat="1" x14ac:dyDescent="0.25">
      <c r="A672" s="231" t="s">
        <v>894</v>
      </c>
      <c r="B672" s="83"/>
      <c r="C672" s="83"/>
      <c r="D672" s="83"/>
      <c r="E672" s="83"/>
      <c r="F672" s="83"/>
      <c r="G672" s="83"/>
      <c r="H672" s="83"/>
      <c r="I672" s="83"/>
      <c r="J672" s="83"/>
      <c r="K672" s="232"/>
    </row>
    <row r="673" spans="1:11" s="200" customFormat="1" x14ac:dyDescent="0.25">
      <c r="A673" s="231" t="s">
        <v>889</v>
      </c>
      <c r="B673" s="83"/>
      <c r="C673" s="83"/>
      <c r="D673" s="83"/>
      <c r="E673" s="83"/>
      <c r="F673" s="83"/>
      <c r="G673" s="83"/>
      <c r="H673" s="83"/>
      <c r="I673" s="83"/>
      <c r="J673" s="83"/>
      <c r="K673" s="232"/>
    </row>
    <row r="674" spans="1:11" s="200" customFormat="1" x14ac:dyDescent="0.25">
      <c r="A674" s="231" t="s">
        <v>890</v>
      </c>
      <c r="B674" s="83"/>
      <c r="C674" s="83"/>
      <c r="D674" s="83"/>
      <c r="E674" s="83"/>
      <c r="F674" s="83"/>
      <c r="G674" s="83"/>
      <c r="H674" s="83"/>
      <c r="I674" s="83"/>
      <c r="J674" s="83"/>
      <c r="K674" s="232"/>
    </row>
    <row r="675" spans="1:11" s="200" customFormat="1" x14ac:dyDescent="0.25">
      <c r="A675" s="231" t="s">
        <v>998</v>
      </c>
      <c r="B675" s="83"/>
      <c r="C675" s="83"/>
      <c r="D675" s="83"/>
      <c r="E675" s="83"/>
      <c r="F675" s="83"/>
      <c r="G675" s="83"/>
      <c r="H675" s="83"/>
      <c r="I675" s="83"/>
      <c r="J675" s="83"/>
      <c r="K675" s="232"/>
    </row>
    <row r="676" spans="1:11" s="200" customFormat="1" x14ac:dyDescent="0.25">
      <c r="A676" s="233" t="s">
        <v>1126</v>
      </c>
      <c r="B676" s="116"/>
      <c r="C676" s="116"/>
      <c r="D676" s="116"/>
      <c r="E676" s="116"/>
      <c r="F676" s="116"/>
      <c r="G676" s="116"/>
      <c r="H676" s="116"/>
      <c r="I676" s="116"/>
      <c r="J676" s="116"/>
      <c r="K676" s="234"/>
    </row>
    <row r="679" spans="1:11" x14ac:dyDescent="0.25">
      <c r="A679" s="6" t="s">
        <v>12</v>
      </c>
      <c r="B679" s="171" t="s">
        <v>246</v>
      </c>
    </row>
    <row r="680" spans="1:11" x14ac:dyDescent="0.25">
      <c r="A680" s="6" t="s">
        <v>14</v>
      </c>
      <c r="B680" s="7" t="s">
        <v>638</v>
      </c>
      <c r="C680" s="9" t="s">
        <v>15</v>
      </c>
    </row>
    <row r="681" spans="1:11" x14ac:dyDescent="0.25">
      <c r="A681" s="10" t="s">
        <v>16</v>
      </c>
      <c r="B681" s="152"/>
      <c r="C681" s="171">
        <v>2024</v>
      </c>
      <c r="D681" s="171">
        <v>2025</v>
      </c>
      <c r="E681" s="171">
        <v>2026</v>
      </c>
    </row>
    <row r="682" spans="1:11" x14ac:dyDescent="0.25">
      <c r="A682" s="10" t="s">
        <v>17</v>
      </c>
      <c r="B682" s="154"/>
      <c r="C682" s="173">
        <v>120</v>
      </c>
      <c r="D682" s="173">
        <v>120</v>
      </c>
      <c r="E682" s="173">
        <v>120</v>
      </c>
    </row>
    <row r="683" spans="1:11" x14ac:dyDescent="0.25">
      <c r="A683" s="10" t="s">
        <v>18</v>
      </c>
      <c r="B683" s="154"/>
      <c r="C683" s="173">
        <f>C682+1.49</f>
        <v>121.49</v>
      </c>
      <c r="D683" s="173">
        <f>D682+0.25*120</f>
        <v>150</v>
      </c>
      <c r="E683" s="173">
        <f>E682+0.25*120</f>
        <v>150</v>
      </c>
    </row>
    <row r="684" spans="1:11" x14ac:dyDescent="0.25">
      <c r="A684" s="10" t="s">
        <v>19</v>
      </c>
      <c r="B684" s="174"/>
      <c r="C684" s="174" t="s">
        <v>924</v>
      </c>
      <c r="D684" s="174" t="s">
        <v>1097</v>
      </c>
      <c r="E684" s="174" t="s">
        <v>1097</v>
      </c>
    </row>
    <row r="685" spans="1:11" x14ac:dyDescent="0.25">
      <c r="A685" s="10" t="s">
        <v>20</v>
      </c>
      <c r="B685" s="154"/>
      <c r="C685" s="173">
        <v>109.066</v>
      </c>
      <c r="D685" s="173"/>
      <c r="E685" s="173"/>
    </row>
    <row r="686" spans="1:11" x14ac:dyDescent="0.25">
      <c r="A686" s="10" t="s">
        <v>21</v>
      </c>
      <c r="B686" s="154"/>
      <c r="C686" s="173">
        <f>C683-C685</f>
        <v>12.423999999999992</v>
      </c>
      <c r="D686" s="173"/>
      <c r="E686" s="173"/>
    </row>
    <row r="687" spans="1:11" x14ac:dyDescent="0.25">
      <c r="A687" s="16" t="s">
        <v>22</v>
      </c>
      <c r="B687" s="157"/>
      <c r="C687" s="177">
        <v>2026</v>
      </c>
      <c r="D687" s="177">
        <v>2027</v>
      </c>
      <c r="E687" s="178">
        <v>2028</v>
      </c>
    </row>
    <row r="688" spans="1:11" x14ac:dyDescent="0.25">
      <c r="A688" s="18" t="s">
        <v>23</v>
      </c>
      <c r="B688" s="19"/>
      <c r="C688" s="19"/>
      <c r="D688" s="19"/>
      <c r="E688" s="63"/>
    </row>
    <row r="689" spans="1:13" x14ac:dyDescent="0.25">
      <c r="A689" s="159" t="s">
        <v>925</v>
      </c>
      <c r="B689" s="32"/>
      <c r="C689" s="32"/>
      <c r="D689" s="32"/>
      <c r="E689" s="242"/>
      <c r="F689" s="32"/>
    </row>
    <row r="690" spans="1:13" x14ac:dyDescent="0.25">
      <c r="A690" s="159" t="s">
        <v>1098</v>
      </c>
      <c r="B690" s="32"/>
      <c r="C690" s="32"/>
      <c r="D690" s="32"/>
      <c r="E690" s="242"/>
      <c r="F690" s="32"/>
    </row>
    <row r="691" spans="1:13" x14ac:dyDescent="0.25">
      <c r="A691" s="160" t="s">
        <v>1256</v>
      </c>
      <c r="B691" s="22"/>
      <c r="C691" s="22"/>
      <c r="D691" s="22"/>
      <c r="E691" s="244"/>
      <c r="F691" s="32"/>
    </row>
    <row r="693" spans="1:13" x14ac:dyDescent="0.25">
      <c r="A693" s="98" t="s">
        <v>14</v>
      </c>
      <c r="B693" s="66" t="s">
        <v>623</v>
      </c>
      <c r="C693" s="66" t="s">
        <v>152</v>
      </c>
      <c r="D693" s="8"/>
      <c r="E693" s="8"/>
      <c r="F693" s="8"/>
      <c r="G693" s="8"/>
    </row>
    <row r="694" spans="1:13" x14ac:dyDescent="0.25">
      <c r="A694" s="95" t="s">
        <v>16</v>
      </c>
      <c r="B694" s="245"/>
      <c r="C694" s="246">
        <v>2015</v>
      </c>
      <c r="D694" s="246">
        <v>2016</v>
      </c>
      <c r="E694" s="246" t="s">
        <v>242</v>
      </c>
      <c r="F694" s="246" t="s">
        <v>243</v>
      </c>
      <c r="G694" s="246" t="s">
        <v>244</v>
      </c>
      <c r="H694" s="246" t="s">
        <v>286</v>
      </c>
      <c r="I694" s="246" t="s">
        <v>504</v>
      </c>
      <c r="J694" s="246" t="s">
        <v>674</v>
      </c>
      <c r="K694" s="246" t="s">
        <v>823</v>
      </c>
      <c r="L694" s="247" t="s">
        <v>1039</v>
      </c>
      <c r="M694" s="247" t="s">
        <v>1246</v>
      </c>
    </row>
    <row r="695" spans="1:13" x14ac:dyDescent="0.25">
      <c r="A695" s="68" t="s">
        <v>17</v>
      </c>
      <c r="B695" s="69"/>
      <c r="C695" s="72">
        <v>50</v>
      </c>
      <c r="D695" s="72">
        <v>50</v>
      </c>
      <c r="E695" s="72">
        <v>50</v>
      </c>
      <c r="F695" s="72">
        <v>50</v>
      </c>
      <c r="G695" s="72">
        <v>50</v>
      </c>
      <c r="H695" s="72">
        <v>50</v>
      </c>
      <c r="I695" s="72">
        <v>50</v>
      </c>
      <c r="J695" s="72">
        <v>50</v>
      </c>
      <c r="K695" s="72">
        <v>50</v>
      </c>
      <c r="L695" s="90">
        <v>50</v>
      </c>
      <c r="M695" s="90">
        <v>50</v>
      </c>
    </row>
    <row r="696" spans="1:13" x14ac:dyDescent="0.25">
      <c r="A696" s="68" t="s">
        <v>18</v>
      </c>
      <c r="B696" s="248"/>
      <c r="C696" s="72">
        <v>75</v>
      </c>
      <c r="D696" s="72">
        <v>75</v>
      </c>
      <c r="E696" s="72">
        <v>75</v>
      </c>
      <c r="F696" s="72">
        <v>70</v>
      </c>
      <c r="G696" s="72">
        <v>70</v>
      </c>
      <c r="H696" s="72">
        <f>H695+F699</f>
        <v>62.6</v>
      </c>
      <c r="I696" s="72">
        <v>70</v>
      </c>
      <c r="J696" s="72">
        <v>70</v>
      </c>
      <c r="K696" s="72">
        <v>70</v>
      </c>
      <c r="L696" s="90">
        <v>70</v>
      </c>
      <c r="M696" s="90">
        <v>70</v>
      </c>
    </row>
    <row r="697" spans="1:13" x14ac:dyDescent="0.25">
      <c r="A697" s="68" t="s">
        <v>19</v>
      </c>
      <c r="B697" s="249"/>
      <c r="C697" s="250" t="s">
        <v>141</v>
      </c>
      <c r="D697" s="250" t="s">
        <v>141</v>
      </c>
      <c r="E697" s="250" t="s">
        <v>141</v>
      </c>
      <c r="F697" s="251" t="s">
        <v>245</v>
      </c>
      <c r="G697" s="251" t="s">
        <v>245</v>
      </c>
      <c r="H697" s="250" t="s">
        <v>329</v>
      </c>
      <c r="I697" s="250" t="s">
        <v>586</v>
      </c>
      <c r="J697" s="250" t="s">
        <v>881</v>
      </c>
      <c r="K697" s="250" t="s">
        <v>882</v>
      </c>
      <c r="L697" s="90" t="s">
        <v>1163</v>
      </c>
      <c r="M697" s="90" t="s">
        <v>1247</v>
      </c>
    </row>
    <row r="698" spans="1:13" x14ac:dyDescent="0.25">
      <c r="A698" s="68" t="s">
        <v>20</v>
      </c>
      <c r="B698" s="69"/>
      <c r="C698" s="72">
        <v>0</v>
      </c>
      <c r="D698" s="72">
        <v>27.449000000000002</v>
      </c>
      <c r="E698" s="72">
        <v>21.13</v>
      </c>
      <c r="F698" s="72">
        <v>57.4</v>
      </c>
      <c r="G698" s="72">
        <v>21.8</v>
      </c>
      <c r="H698" s="72">
        <v>27.576000000000001</v>
      </c>
      <c r="I698" s="72">
        <v>0</v>
      </c>
      <c r="J698" s="72">
        <v>0</v>
      </c>
      <c r="K698" s="72">
        <v>2.0099999999999998</v>
      </c>
      <c r="L698" s="90">
        <v>1.78</v>
      </c>
      <c r="M698" s="90"/>
    </row>
    <row r="699" spans="1:13" x14ac:dyDescent="0.25">
      <c r="A699" s="68" t="s">
        <v>21</v>
      </c>
      <c r="B699" s="69"/>
      <c r="C699" s="72">
        <v>75</v>
      </c>
      <c r="D699" s="72">
        <f t="shared" ref="D699:I699" si="30">D696-D698</f>
        <v>47.551000000000002</v>
      </c>
      <c r="E699" s="72">
        <f t="shared" si="30"/>
        <v>53.870000000000005</v>
      </c>
      <c r="F699" s="72">
        <f t="shared" si="30"/>
        <v>12.600000000000001</v>
      </c>
      <c r="G699" s="72">
        <f t="shared" si="30"/>
        <v>48.2</v>
      </c>
      <c r="H699" s="72">
        <f t="shared" si="30"/>
        <v>35.024000000000001</v>
      </c>
      <c r="I699" s="72">
        <f t="shared" si="30"/>
        <v>70</v>
      </c>
      <c r="J699" s="72">
        <f>J696-J698</f>
        <v>70</v>
      </c>
      <c r="K699" s="72">
        <f>K696-K698</f>
        <v>67.989999999999995</v>
      </c>
      <c r="L699" s="72">
        <f>L696-L698</f>
        <v>68.22</v>
      </c>
      <c r="M699" s="72">
        <f>M696-M698</f>
        <v>70</v>
      </c>
    </row>
    <row r="700" spans="1:13" x14ac:dyDescent="0.25">
      <c r="A700" s="73" t="s">
        <v>22</v>
      </c>
      <c r="B700" s="74"/>
      <c r="C700" s="252">
        <v>2017</v>
      </c>
      <c r="D700" s="252">
        <v>2018</v>
      </c>
      <c r="E700" s="252">
        <v>2019</v>
      </c>
      <c r="F700" s="252">
        <v>2020</v>
      </c>
      <c r="G700" s="252">
        <v>2021</v>
      </c>
      <c r="H700" s="252">
        <v>2022</v>
      </c>
      <c r="I700" s="252">
        <v>2023</v>
      </c>
      <c r="J700" s="252">
        <v>2024</v>
      </c>
      <c r="K700" s="252">
        <v>2025</v>
      </c>
      <c r="L700" s="247">
        <v>2026</v>
      </c>
      <c r="M700" s="247">
        <v>2027</v>
      </c>
    </row>
    <row r="701" spans="1:13" x14ac:dyDescent="0.25">
      <c r="A701" s="92" t="s">
        <v>502</v>
      </c>
      <c r="B701" s="93"/>
      <c r="C701" s="253"/>
      <c r="D701" s="253"/>
      <c r="E701" s="253"/>
      <c r="F701" s="253"/>
      <c r="G701" s="253"/>
      <c r="H701" s="253"/>
      <c r="I701" s="253"/>
      <c r="J701" s="253"/>
      <c r="K701" s="253"/>
      <c r="L701" s="63"/>
    </row>
    <row r="702" spans="1:13" x14ac:dyDescent="0.25">
      <c r="A702" s="254" t="s">
        <v>883</v>
      </c>
      <c r="B702" s="255"/>
      <c r="C702" s="255"/>
      <c r="D702" s="255"/>
      <c r="E702" s="255"/>
      <c r="F702" s="255"/>
      <c r="G702" s="255"/>
      <c r="H702" s="255"/>
      <c r="I702" s="255"/>
      <c r="J702" s="255"/>
      <c r="K702" s="255"/>
      <c r="L702" s="48"/>
    </row>
    <row r="703" spans="1:13" x14ac:dyDescent="0.25">
      <c r="A703" s="136"/>
      <c r="B703" s="136"/>
      <c r="C703" s="136"/>
      <c r="D703" s="136"/>
      <c r="E703" s="136"/>
      <c r="F703" s="136"/>
      <c r="G703" s="136"/>
    </row>
    <row r="704" spans="1:13" x14ac:dyDescent="0.25">
      <c r="A704" s="98" t="s">
        <v>14</v>
      </c>
      <c r="B704" s="66" t="s">
        <v>641</v>
      </c>
      <c r="C704" s="66" t="s">
        <v>152</v>
      </c>
      <c r="D704" s="8"/>
      <c r="E704" s="8"/>
      <c r="F704" s="8"/>
      <c r="G704" s="8"/>
    </row>
    <row r="705" spans="1:16" x14ac:dyDescent="0.25">
      <c r="A705" s="95" t="s">
        <v>16</v>
      </c>
      <c r="B705" s="245"/>
      <c r="C705" s="246">
        <v>2015</v>
      </c>
      <c r="D705" s="246">
        <v>2016</v>
      </c>
      <c r="E705" s="246" t="s">
        <v>242</v>
      </c>
      <c r="F705" s="246" t="s">
        <v>243</v>
      </c>
      <c r="G705" s="246" t="s">
        <v>244</v>
      </c>
      <c r="H705" s="246" t="s">
        <v>286</v>
      </c>
      <c r="I705" s="246" t="s">
        <v>504</v>
      </c>
      <c r="J705" s="246" t="s">
        <v>674</v>
      </c>
      <c r="K705" s="246" t="s">
        <v>823</v>
      </c>
      <c r="L705" s="247" t="s">
        <v>1039</v>
      </c>
      <c r="M705" s="247" t="s">
        <v>1246</v>
      </c>
    </row>
    <row r="706" spans="1:16" x14ac:dyDescent="0.25">
      <c r="A706" s="68" t="s">
        <v>17</v>
      </c>
      <c r="B706" s="69"/>
      <c r="C706" s="72">
        <v>125</v>
      </c>
      <c r="D706" s="72">
        <v>125</v>
      </c>
      <c r="E706" s="72">
        <v>125</v>
      </c>
      <c r="F706" s="72">
        <v>125</v>
      </c>
      <c r="G706" s="72">
        <v>125</v>
      </c>
      <c r="H706" s="72">
        <v>125</v>
      </c>
      <c r="I706" s="72">
        <v>125</v>
      </c>
      <c r="J706" s="72">
        <v>125</v>
      </c>
      <c r="K706" s="72">
        <v>125</v>
      </c>
      <c r="L706" s="90">
        <v>125</v>
      </c>
      <c r="M706" s="90">
        <v>125</v>
      </c>
    </row>
    <row r="707" spans="1:16" x14ac:dyDescent="0.25">
      <c r="A707" s="68" t="s">
        <v>18</v>
      </c>
      <c r="B707" s="248"/>
      <c r="C707" s="72">
        <f>C706*1.3</f>
        <v>162.5</v>
      </c>
      <c r="D707" s="72">
        <f>D706*1.3+25</f>
        <v>187.5</v>
      </c>
      <c r="E707" s="72">
        <f>E706*1.3+25</f>
        <v>187.5</v>
      </c>
      <c r="F707" s="72">
        <f>F706*1.2+25</f>
        <v>175</v>
      </c>
      <c r="G707" s="72">
        <f>G706*1.2+25</f>
        <v>175</v>
      </c>
      <c r="H707" s="72">
        <f>H706*1.2+25</f>
        <v>175</v>
      </c>
      <c r="I707" s="72">
        <v>150</v>
      </c>
      <c r="J707" s="72">
        <v>150</v>
      </c>
      <c r="K707" s="72">
        <v>150</v>
      </c>
      <c r="L707" s="90">
        <v>150</v>
      </c>
      <c r="M707" s="90">
        <v>150</v>
      </c>
    </row>
    <row r="708" spans="1:16" x14ac:dyDescent="0.25">
      <c r="A708" s="68" t="s">
        <v>19</v>
      </c>
      <c r="B708" s="249"/>
      <c r="C708" s="250" t="s">
        <v>333</v>
      </c>
      <c r="D708" s="250" t="s">
        <v>334</v>
      </c>
      <c r="E708" s="250" t="s">
        <v>334</v>
      </c>
      <c r="F708" s="250" t="s">
        <v>335</v>
      </c>
      <c r="G708" s="250" t="s">
        <v>335</v>
      </c>
      <c r="H708" s="250" t="s">
        <v>335</v>
      </c>
      <c r="I708" s="250" t="s">
        <v>587</v>
      </c>
      <c r="J708" s="250" t="s">
        <v>587</v>
      </c>
      <c r="K708" s="250" t="s">
        <v>587</v>
      </c>
      <c r="L708" s="90" t="s">
        <v>587</v>
      </c>
      <c r="M708" s="90" t="s">
        <v>587</v>
      </c>
    </row>
    <row r="709" spans="1:16" x14ac:dyDescent="0.25">
      <c r="A709" s="68" t="s">
        <v>20</v>
      </c>
      <c r="B709" s="69"/>
      <c r="C709" s="72">
        <v>41.9</v>
      </c>
      <c r="D709" s="72">
        <v>25.21</v>
      </c>
      <c r="E709" s="72">
        <v>16.8</v>
      </c>
      <c r="F709" s="72">
        <v>46.8</v>
      </c>
      <c r="G709" s="72">
        <v>101.46</v>
      </c>
      <c r="H709" s="72">
        <v>17.2</v>
      </c>
      <c r="I709" s="72">
        <v>0</v>
      </c>
      <c r="J709" s="72">
        <v>23.78</v>
      </c>
      <c r="K709" s="72">
        <v>2.4434</v>
      </c>
      <c r="L709" s="90">
        <v>65.12</v>
      </c>
      <c r="M709" s="90"/>
    </row>
    <row r="710" spans="1:16" x14ac:dyDescent="0.25">
      <c r="A710" s="68" t="s">
        <v>21</v>
      </c>
      <c r="B710" s="69"/>
      <c r="C710" s="72">
        <f t="shared" ref="C710:J710" si="31">C707-C709</f>
        <v>120.6</v>
      </c>
      <c r="D710" s="72">
        <f t="shared" si="31"/>
        <v>162.29</v>
      </c>
      <c r="E710" s="72">
        <f t="shared" si="31"/>
        <v>170.7</v>
      </c>
      <c r="F710" s="72">
        <f t="shared" si="31"/>
        <v>128.19999999999999</v>
      </c>
      <c r="G710" s="72">
        <f t="shared" si="31"/>
        <v>73.540000000000006</v>
      </c>
      <c r="H710" s="72">
        <f t="shared" si="31"/>
        <v>157.80000000000001</v>
      </c>
      <c r="I710" s="72">
        <f t="shared" si="31"/>
        <v>150</v>
      </c>
      <c r="J710" s="72">
        <f t="shared" si="31"/>
        <v>126.22</v>
      </c>
      <c r="K710" s="72">
        <f>K707-K709</f>
        <v>147.5566</v>
      </c>
      <c r="L710" s="72">
        <f>L707-L709</f>
        <v>84.88</v>
      </c>
      <c r="M710" s="72">
        <f t="shared" ref="M710" si="32">M707-M709</f>
        <v>150</v>
      </c>
    </row>
    <row r="711" spans="1:16" x14ac:dyDescent="0.25">
      <c r="A711" s="599" t="s">
        <v>22</v>
      </c>
      <c r="B711" s="127"/>
      <c r="C711" s="671">
        <v>2017</v>
      </c>
      <c r="D711" s="671">
        <v>2018</v>
      </c>
      <c r="E711" s="671">
        <v>2019</v>
      </c>
      <c r="F711" s="671">
        <v>2020</v>
      </c>
      <c r="G711" s="671">
        <v>2021</v>
      </c>
      <c r="H711" s="671">
        <v>2022</v>
      </c>
      <c r="I711" s="671">
        <v>2023</v>
      </c>
      <c r="J711" s="671">
        <v>2024</v>
      </c>
      <c r="K711" s="671">
        <v>2025</v>
      </c>
      <c r="L711" s="247">
        <v>2026</v>
      </c>
      <c r="M711" s="247">
        <v>2027</v>
      </c>
    </row>
    <row r="712" spans="1:16" ht="12.75" customHeight="1" x14ac:dyDescent="0.25">
      <c r="A712" s="94" t="s">
        <v>331</v>
      </c>
      <c r="B712" s="118"/>
      <c r="C712" s="118"/>
      <c r="D712" s="118"/>
      <c r="E712" s="118"/>
      <c r="F712" s="118"/>
      <c r="G712" s="118"/>
      <c r="H712" s="118"/>
      <c r="M712" s="64"/>
    </row>
    <row r="713" spans="1:16" x14ac:dyDescent="0.25">
      <c r="A713" s="109" t="s">
        <v>332</v>
      </c>
      <c r="B713" s="136"/>
      <c r="C713" s="136"/>
      <c r="D713" s="136"/>
      <c r="E713" s="136"/>
      <c r="F713" s="136"/>
      <c r="G713" s="136"/>
      <c r="M713" s="64"/>
    </row>
    <row r="714" spans="1:16" ht="13.2" customHeight="1" x14ac:dyDescent="0.25">
      <c r="A714" s="110" t="s">
        <v>330</v>
      </c>
      <c r="B714" s="257"/>
      <c r="C714" s="257"/>
      <c r="D714" s="257"/>
      <c r="E714" s="257"/>
      <c r="F714" s="257"/>
      <c r="G714" s="257"/>
      <c r="H714" s="34"/>
      <c r="I714" s="34"/>
      <c r="J714" s="34"/>
      <c r="K714" s="34"/>
      <c r="L714" s="34"/>
      <c r="M714" s="48"/>
    </row>
    <row r="715" spans="1:16" x14ac:dyDescent="0.25">
      <c r="A715" s="136"/>
      <c r="B715" s="136"/>
      <c r="C715" s="136"/>
      <c r="D715" s="136"/>
      <c r="E715" s="136"/>
      <c r="F715" s="136"/>
      <c r="G715" s="136"/>
    </row>
    <row r="716" spans="1:16" x14ac:dyDescent="0.25">
      <c r="A716" s="136"/>
      <c r="B716" s="136"/>
      <c r="C716" s="136"/>
      <c r="D716" s="136"/>
      <c r="E716" s="136"/>
      <c r="F716" s="136"/>
      <c r="G716" s="136"/>
    </row>
    <row r="717" spans="1:16" x14ac:dyDescent="0.25">
      <c r="A717" s="6" t="s">
        <v>12</v>
      </c>
      <c r="B717" s="171" t="s">
        <v>603</v>
      </c>
    </row>
    <row r="718" spans="1:16" x14ac:dyDescent="0.25">
      <c r="A718" s="258" t="s">
        <v>14</v>
      </c>
      <c r="B718" s="259" t="s">
        <v>74</v>
      </c>
      <c r="C718" s="260" t="s">
        <v>152</v>
      </c>
      <c r="D718" s="8"/>
      <c r="E718" s="8"/>
      <c r="F718" s="8"/>
      <c r="G718" s="8"/>
    </row>
    <row r="719" spans="1:16" x14ac:dyDescent="0.25">
      <c r="A719" s="68" t="s">
        <v>16</v>
      </c>
      <c r="B719" s="261">
        <v>2016</v>
      </c>
      <c r="C719" s="261">
        <v>2017</v>
      </c>
      <c r="D719" s="261">
        <v>2018</v>
      </c>
      <c r="E719" s="261">
        <v>2019</v>
      </c>
      <c r="F719" s="261">
        <v>2020</v>
      </c>
      <c r="G719" s="261">
        <v>2021</v>
      </c>
      <c r="H719" s="261">
        <v>2022</v>
      </c>
      <c r="I719" s="261">
        <v>2023</v>
      </c>
      <c r="J719" s="261">
        <v>2024</v>
      </c>
      <c r="K719" s="261">
        <v>2025</v>
      </c>
      <c r="L719" s="261">
        <v>2026</v>
      </c>
      <c r="M719" s="261">
        <v>2027</v>
      </c>
      <c r="N719" s="261">
        <v>2028</v>
      </c>
      <c r="O719" s="261">
        <v>2029</v>
      </c>
      <c r="P719" s="261">
        <v>2030</v>
      </c>
    </row>
    <row r="720" spans="1:16" x14ac:dyDescent="0.25">
      <c r="A720" s="68" t="s">
        <v>17</v>
      </c>
      <c r="B720" s="72">
        <v>10</v>
      </c>
      <c r="C720" s="72">
        <v>10</v>
      </c>
      <c r="D720" s="72">
        <v>10</v>
      </c>
      <c r="E720" s="72">
        <v>10</v>
      </c>
      <c r="F720" s="72">
        <v>10</v>
      </c>
      <c r="G720" s="72">
        <v>10</v>
      </c>
      <c r="H720" s="72">
        <v>10</v>
      </c>
      <c r="I720" s="72">
        <v>10</v>
      </c>
      <c r="J720" s="72">
        <v>10</v>
      </c>
      <c r="K720" s="72">
        <v>10</v>
      </c>
      <c r="L720" s="72">
        <v>10</v>
      </c>
      <c r="M720" s="72">
        <v>10</v>
      </c>
      <c r="N720" s="72">
        <v>10</v>
      </c>
      <c r="O720" s="72">
        <v>10</v>
      </c>
      <c r="P720" s="72">
        <v>10</v>
      </c>
    </row>
    <row r="721" spans="1:16" x14ac:dyDescent="0.25">
      <c r="A721" s="68" t="s">
        <v>18</v>
      </c>
      <c r="B721" s="72"/>
      <c r="C721" s="72"/>
      <c r="D721" s="72">
        <f>C724+D720</f>
        <v>-28</v>
      </c>
      <c r="E721" s="72">
        <f>D724+E720</f>
        <v>-20.3</v>
      </c>
      <c r="F721" s="72">
        <f>E724+F720</f>
        <v>-30.6</v>
      </c>
      <c r="G721" s="72">
        <f>F724+G720</f>
        <v>-20.6</v>
      </c>
      <c r="H721" s="72">
        <f>-2.53+H720</f>
        <v>7.4700000000000006</v>
      </c>
      <c r="I721" s="72">
        <f>-2.5+I720</f>
        <v>7.5</v>
      </c>
      <c r="J721" s="72">
        <f t="shared" ref="J721:P721" si="33">-2.5+J720</f>
        <v>7.5</v>
      </c>
      <c r="K721" s="72">
        <f t="shared" si="33"/>
        <v>7.5</v>
      </c>
      <c r="L721" s="72">
        <f t="shared" si="33"/>
        <v>7.5</v>
      </c>
      <c r="M721" s="72">
        <f t="shared" si="33"/>
        <v>7.5</v>
      </c>
      <c r="N721" s="72">
        <f t="shared" si="33"/>
        <v>7.5</v>
      </c>
      <c r="O721" s="72">
        <f t="shared" si="33"/>
        <v>7.5</v>
      </c>
      <c r="P721" s="72">
        <f t="shared" si="33"/>
        <v>7.5</v>
      </c>
    </row>
    <row r="722" spans="1:16" x14ac:dyDescent="0.25">
      <c r="A722" s="68" t="s">
        <v>19</v>
      </c>
      <c r="B722" s="262"/>
      <c r="C722" s="262"/>
      <c r="D722" s="262"/>
      <c r="E722" s="262"/>
      <c r="F722" s="262"/>
      <c r="G722" s="262"/>
      <c r="H722" s="263" t="s">
        <v>543</v>
      </c>
      <c r="I722" s="263" t="s">
        <v>543</v>
      </c>
      <c r="J722" s="263" t="s">
        <v>543</v>
      </c>
      <c r="K722" s="263" t="s">
        <v>543</v>
      </c>
      <c r="L722" s="263" t="s">
        <v>543</v>
      </c>
      <c r="M722" s="263" t="s">
        <v>543</v>
      </c>
      <c r="N722" s="263" t="s">
        <v>543</v>
      </c>
      <c r="O722" s="263" t="s">
        <v>543</v>
      </c>
      <c r="P722" s="263" t="s">
        <v>543</v>
      </c>
    </row>
    <row r="723" spans="1:16" x14ac:dyDescent="0.25">
      <c r="A723" s="68" t="s">
        <v>20</v>
      </c>
      <c r="B723" s="72">
        <v>0</v>
      </c>
      <c r="C723" s="72">
        <v>48</v>
      </c>
      <c r="D723" s="72">
        <v>2.2999999999999998</v>
      </c>
      <c r="E723" s="72">
        <v>20.3</v>
      </c>
      <c r="F723" s="72">
        <v>0</v>
      </c>
      <c r="G723" s="72">
        <v>1.9330000000000001</v>
      </c>
      <c r="H723" s="72">
        <v>6.29</v>
      </c>
      <c r="I723" s="72">
        <v>0.80700000000000005</v>
      </c>
      <c r="J723" s="72">
        <v>0</v>
      </c>
      <c r="K723" s="72"/>
      <c r="L723" s="72"/>
      <c r="M723" s="72"/>
      <c r="N723" s="72"/>
      <c r="O723" s="72"/>
      <c r="P723" s="72"/>
    </row>
    <row r="724" spans="1:16" x14ac:dyDescent="0.25">
      <c r="A724" s="68" t="s">
        <v>21</v>
      </c>
      <c r="B724" s="72">
        <f>B720-B723</f>
        <v>10</v>
      </c>
      <c r="C724" s="72">
        <f>C720-C723</f>
        <v>-38</v>
      </c>
      <c r="D724" s="72">
        <f t="shared" ref="D724:J724" si="34">D721-D723</f>
        <v>-30.3</v>
      </c>
      <c r="E724" s="72">
        <f t="shared" si="34"/>
        <v>-40.6</v>
      </c>
      <c r="F724" s="72">
        <f t="shared" si="34"/>
        <v>-30.6</v>
      </c>
      <c r="G724" s="72">
        <f t="shared" si="34"/>
        <v>-22.533000000000001</v>
      </c>
      <c r="H724" s="72">
        <f t="shared" si="34"/>
        <v>1.1800000000000006</v>
      </c>
      <c r="I724" s="72">
        <f t="shared" si="34"/>
        <v>6.6929999999999996</v>
      </c>
      <c r="J724" s="72">
        <f t="shared" si="34"/>
        <v>7.5</v>
      </c>
      <c r="K724" s="72"/>
      <c r="L724" s="72"/>
      <c r="M724" s="72"/>
      <c r="N724" s="72"/>
      <c r="O724" s="72"/>
      <c r="P724" s="72"/>
    </row>
    <row r="725" spans="1:16" x14ac:dyDescent="0.25">
      <c r="A725" s="73" t="s">
        <v>22</v>
      </c>
      <c r="B725" s="74">
        <v>2017</v>
      </c>
      <c r="C725" s="74">
        <v>2018</v>
      </c>
      <c r="D725" s="74">
        <v>2019</v>
      </c>
      <c r="E725" s="74">
        <v>2020</v>
      </c>
      <c r="F725" s="74">
        <v>2021</v>
      </c>
      <c r="G725" s="74">
        <v>2022</v>
      </c>
      <c r="H725" s="74">
        <v>2023</v>
      </c>
      <c r="I725" s="74">
        <v>2024</v>
      </c>
      <c r="J725" s="74">
        <v>2025</v>
      </c>
      <c r="K725" s="74">
        <v>2026</v>
      </c>
      <c r="L725" s="74">
        <v>2027</v>
      </c>
      <c r="M725" s="74">
        <v>2028</v>
      </c>
      <c r="N725" s="74">
        <v>2029</v>
      </c>
      <c r="O725" s="74">
        <v>2030</v>
      </c>
      <c r="P725" s="74">
        <v>2031</v>
      </c>
    </row>
    <row r="726" spans="1:16" x14ac:dyDescent="0.25">
      <c r="A726" s="73" t="s">
        <v>429</v>
      </c>
      <c r="B726" s="75"/>
      <c r="C726" s="75"/>
      <c r="D726" s="75"/>
      <c r="E726" s="75"/>
      <c r="F726" s="75"/>
      <c r="G726" s="75"/>
      <c r="H726" s="75"/>
      <c r="I726" s="46"/>
      <c r="J726" s="46"/>
      <c r="K726" s="46"/>
      <c r="L726" s="46"/>
      <c r="M726" s="46"/>
      <c r="N726" s="46"/>
      <c r="O726" s="46"/>
      <c r="P726" s="47"/>
    </row>
    <row r="727" spans="1:16" x14ac:dyDescent="0.25">
      <c r="A727" s="736" t="s">
        <v>932</v>
      </c>
      <c r="B727" s="737"/>
      <c r="C727" s="737"/>
      <c r="D727" s="737"/>
      <c r="E727" s="737"/>
      <c r="F727" s="737"/>
      <c r="G727" s="737"/>
      <c r="H727" s="737"/>
      <c r="I727" s="34"/>
      <c r="J727" s="34"/>
      <c r="K727" s="34"/>
      <c r="L727" s="34"/>
      <c r="M727" s="34"/>
      <c r="N727" s="34"/>
      <c r="O727" s="34"/>
      <c r="P727" s="48"/>
    </row>
    <row r="729" spans="1:16" x14ac:dyDescent="0.25">
      <c r="A729" s="136"/>
      <c r="B729" s="136"/>
      <c r="C729" s="136"/>
      <c r="D729" s="136"/>
      <c r="E729" s="136"/>
      <c r="F729" s="136"/>
      <c r="G729" s="136"/>
    </row>
    <row r="730" spans="1:16" x14ac:dyDescent="0.25">
      <c r="A730" s="6" t="s">
        <v>12</v>
      </c>
      <c r="B730" s="171" t="s">
        <v>706</v>
      </c>
    </row>
    <row r="731" spans="1:16" x14ac:dyDescent="0.25">
      <c r="A731" s="103" t="s">
        <v>14</v>
      </c>
      <c r="B731" s="104" t="s">
        <v>1011</v>
      </c>
      <c r="C731" s="66" t="s">
        <v>152</v>
      </c>
      <c r="D731" s="8"/>
      <c r="E731" s="8"/>
      <c r="F731" s="8"/>
      <c r="G731" s="8"/>
    </row>
    <row r="732" spans="1:16" x14ac:dyDescent="0.25">
      <c r="A732" s="95" t="s">
        <v>16</v>
      </c>
      <c r="B732" s="261"/>
      <c r="C732" s="261">
        <v>2022</v>
      </c>
      <c r="D732" s="261">
        <v>2023</v>
      </c>
      <c r="E732" s="261">
        <v>2024</v>
      </c>
      <c r="F732" s="90">
        <v>2025</v>
      </c>
    </row>
    <row r="733" spans="1:16" x14ac:dyDescent="0.25">
      <c r="A733" s="68" t="s">
        <v>17</v>
      </c>
      <c r="B733" s="72"/>
      <c r="C733" s="72">
        <v>177.27</v>
      </c>
      <c r="D733" s="72">
        <v>150.27000000000001</v>
      </c>
      <c r="E733" s="72">
        <v>150.27000000000001</v>
      </c>
      <c r="F733" s="90">
        <v>150.27000000000001</v>
      </c>
    </row>
    <row r="734" spans="1:16" x14ac:dyDescent="0.25">
      <c r="A734" s="68" t="s">
        <v>18</v>
      </c>
      <c r="B734" s="72"/>
      <c r="C734" s="72"/>
      <c r="D734" s="72"/>
      <c r="E734" s="72">
        <f>E733+D737</f>
        <v>136.54000000000002</v>
      </c>
      <c r="F734" s="128">
        <f>F733+E737</f>
        <v>141.54000000000002</v>
      </c>
    </row>
    <row r="735" spans="1:16" x14ac:dyDescent="0.25">
      <c r="A735" s="68" t="s">
        <v>19</v>
      </c>
      <c r="B735" s="262"/>
      <c r="C735" s="262"/>
      <c r="D735" s="262"/>
      <c r="E735" s="263" t="s">
        <v>543</v>
      </c>
      <c r="F735" s="90"/>
    </row>
    <row r="736" spans="1:16" x14ac:dyDescent="0.25">
      <c r="A736" s="68" t="s">
        <v>20</v>
      </c>
      <c r="B736" s="72"/>
      <c r="C736" s="72">
        <v>177</v>
      </c>
      <c r="D736" s="72">
        <v>164</v>
      </c>
      <c r="E736" s="72">
        <v>159</v>
      </c>
      <c r="F736" s="90"/>
    </row>
    <row r="737" spans="1:12" x14ac:dyDescent="0.25">
      <c r="A737" s="68" t="s">
        <v>21</v>
      </c>
      <c r="B737" s="72"/>
      <c r="C737" s="72">
        <f>C733-C736</f>
        <v>0.27000000000001023</v>
      </c>
      <c r="D737" s="72">
        <f>D733-D736</f>
        <v>-13.72999999999999</v>
      </c>
      <c r="E737" s="264">
        <f>E733-E736</f>
        <v>-8.7299999999999898</v>
      </c>
      <c r="F737" s="90"/>
    </row>
    <row r="738" spans="1:12" x14ac:dyDescent="0.25">
      <c r="A738" s="73" t="s">
        <v>22</v>
      </c>
      <c r="B738" s="74"/>
      <c r="C738" s="74"/>
      <c r="D738" s="74">
        <v>2024</v>
      </c>
      <c r="E738" s="74">
        <v>2025</v>
      </c>
      <c r="F738" s="90">
        <v>2026</v>
      </c>
    </row>
    <row r="739" spans="1:12" ht="13.2" customHeight="1" x14ac:dyDescent="0.25">
      <c r="A739" s="265" t="s">
        <v>23</v>
      </c>
      <c r="B739" s="265"/>
      <c r="C739" s="265"/>
      <c r="D739" s="265"/>
      <c r="E739" s="265"/>
      <c r="F739" s="90"/>
    </row>
    <row r="740" spans="1:12" ht="13.2" customHeight="1" x14ac:dyDescent="0.25">
      <c r="A740" s="92" t="s">
        <v>1012</v>
      </c>
      <c r="B740" s="256"/>
      <c r="C740" s="256"/>
      <c r="D740" s="256"/>
      <c r="E740" s="256"/>
      <c r="F740" s="63"/>
    </row>
    <row r="741" spans="1:12" x14ac:dyDescent="0.25">
      <c r="A741" s="110"/>
      <c r="B741" s="257"/>
      <c r="C741" s="257"/>
      <c r="D741" s="257"/>
      <c r="E741" s="120"/>
      <c r="F741" s="266"/>
      <c r="G741" s="118"/>
      <c r="H741" s="118"/>
    </row>
    <row r="742" spans="1:12" x14ac:dyDescent="0.25">
      <c r="A742" s="110"/>
      <c r="B742" s="257"/>
      <c r="C742" s="257"/>
      <c r="D742" s="136"/>
      <c r="E742" s="118"/>
      <c r="F742" s="118"/>
      <c r="G742" s="118"/>
      <c r="H742" s="118"/>
    </row>
    <row r="743" spans="1:12" x14ac:dyDescent="0.25">
      <c r="A743" s="103" t="s">
        <v>14</v>
      </c>
      <c r="B743" s="104" t="s">
        <v>642</v>
      </c>
      <c r="C743" s="66" t="s">
        <v>152</v>
      </c>
      <c r="D743" s="8"/>
      <c r="E743" s="8"/>
      <c r="F743" s="8"/>
      <c r="G743" s="8"/>
    </row>
    <row r="744" spans="1:12" x14ac:dyDescent="0.25">
      <c r="A744" s="95" t="s">
        <v>16</v>
      </c>
      <c r="B744" s="261"/>
      <c r="C744" s="261">
        <v>2021</v>
      </c>
      <c r="D744" s="261">
        <v>2022</v>
      </c>
      <c r="E744" s="261">
        <v>2023</v>
      </c>
      <c r="F744" s="261">
        <v>2024</v>
      </c>
      <c r="G744" s="261">
        <v>2025</v>
      </c>
    </row>
    <row r="745" spans="1:12" x14ac:dyDescent="0.25">
      <c r="A745" s="68" t="s">
        <v>17</v>
      </c>
      <c r="B745" s="72"/>
      <c r="C745" s="72">
        <v>330</v>
      </c>
      <c r="D745" s="72">
        <v>330</v>
      </c>
      <c r="E745" s="72">
        <v>513</v>
      </c>
      <c r="F745" s="72">
        <v>513</v>
      </c>
      <c r="G745" s="72">
        <v>513</v>
      </c>
    </row>
    <row r="746" spans="1:12" x14ac:dyDescent="0.25">
      <c r="A746" s="68" t="s">
        <v>18</v>
      </c>
      <c r="B746" s="72"/>
      <c r="C746" s="72"/>
      <c r="D746" s="72">
        <f>D745-259.62</f>
        <v>70.38</v>
      </c>
      <c r="E746" s="72">
        <f>E745-507.87</f>
        <v>5.1299999999999955</v>
      </c>
      <c r="F746" s="72">
        <f>F745-507.87</f>
        <v>5.1299999999999955</v>
      </c>
      <c r="G746" s="72">
        <f>G745+F749-5.325</f>
        <v>507.47999999999996</v>
      </c>
      <c r="H746" s="267"/>
    </row>
    <row r="747" spans="1:12" x14ac:dyDescent="0.25">
      <c r="A747" s="68" t="s">
        <v>19</v>
      </c>
      <c r="B747" s="262"/>
      <c r="C747" s="262"/>
      <c r="D747" s="262"/>
      <c r="E747" s="262"/>
      <c r="F747" s="262"/>
      <c r="G747" s="478"/>
    </row>
    <row r="748" spans="1:12" x14ac:dyDescent="0.25">
      <c r="A748" s="68" t="s">
        <v>20</v>
      </c>
      <c r="B748" s="72"/>
      <c r="C748" s="72">
        <v>327.60000000000002</v>
      </c>
      <c r="D748" s="72">
        <v>67.08</v>
      </c>
      <c r="E748" s="72">
        <v>0</v>
      </c>
      <c r="F748" s="72">
        <v>5.3250000000000002</v>
      </c>
      <c r="G748" s="72"/>
    </row>
    <row r="749" spans="1:12" x14ac:dyDescent="0.25">
      <c r="A749" s="68" t="s">
        <v>21</v>
      </c>
      <c r="B749" s="72"/>
      <c r="C749" s="72">
        <f>C745-C748</f>
        <v>2.3999999999999773</v>
      </c>
      <c r="D749" s="72">
        <f>D746-D748</f>
        <v>3.2999999999999972</v>
      </c>
      <c r="E749" s="72">
        <f>E746-E748</f>
        <v>5.1299999999999955</v>
      </c>
      <c r="F749" s="72">
        <f>F746-F748</f>
        <v>-0.19500000000000473</v>
      </c>
      <c r="G749" s="72"/>
    </row>
    <row r="750" spans="1:12" x14ac:dyDescent="0.25">
      <c r="A750" s="73" t="s">
        <v>22</v>
      </c>
      <c r="B750" s="74"/>
      <c r="C750" s="74"/>
      <c r="D750" s="74"/>
      <c r="E750" s="74"/>
      <c r="F750" s="74"/>
      <c r="G750" s="74"/>
    </row>
    <row r="751" spans="1:12" ht="13.2" customHeight="1" x14ac:dyDescent="0.25">
      <c r="A751" s="675" t="s">
        <v>23</v>
      </c>
      <c r="B751" s="676"/>
      <c r="C751" s="676"/>
      <c r="D751" s="676"/>
      <c r="E751" s="676"/>
      <c r="F751" s="676"/>
      <c r="G751" s="677"/>
      <c r="H751" s="118"/>
      <c r="I751" s="118"/>
      <c r="J751" s="118"/>
      <c r="K751" s="118"/>
      <c r="L751" s="118"/>
    </row>
    <row r="752" spans="1:12" x14ac:dyDescent="0.25">
      <c r="A752" s="678" t="s">
        <v>660</v>
      </c>
      <c r="B752" s="679"/>
      <c r="C752" s="679"/>
      <c r="D752" s="679"/>
      <c r="E752" s="676"/>
      <c r="F752" s="680"/>
      <c r="G752" s="681"/>
    </row>
    <row r="753" spans="1:8" ht="12.75" customHeight="1" x14ac:dyDescent="0.25">
      <c r="A753" s="94" t="s">
        <v>1010</v>
      </c>
      <c r="B753" s="8"/>
      <c r="C753" s="8"/>
      <c r="D753" s="8"/>
      <c r="E753" s="118"/>
      <c r="G753" s="64"/>
    </row>
    <row r="754" spans="1:8" ht="12.75" customHeight="1" x14ac:dyDescent="0.25">
      <c r="A754" s="94" t="s">
        <v>953</v>
      </c>
      <c r="B754" s="8"/>
      <c r="C754" s="8"/>
      <c r="D754" s="8"/>
      <c r="E754" s="118"/>
      <c r="G754" s="64"/>
    </row>
    <row r="755" spans="1:8" x14ac:dyDescent="0.25">
      <c r="A755" s="438" t="s">
        <v>1264</v>
      </c>
      <c r="B755" s="257"/>
      <c r="C755" s="257"/>
      <c r="D755" s="257"/>
      <c r="E755" s="120"/>
      <c r="F755" s="120"/>
      <c r="G755" s="266"/>
      <c r="H755" s="118"/>
    </row>
    <row r="756" spans="1:8" x14ac:dyDescent="0.25">
      <c r="A756" s="80"/>
      <c r="B756" s="136"/>
      <c r="C756" s="136"/>
      <c r="D756" s="136"/>
      <c r="E756" s="118"/>
      <c r="F756" s="118"/>
      <c r="G756" s="118"/>
      <c r="H756" s="118"/>
    </row>
    <row r="757" spans="1:8" x14ac:dyDescent="0.25">
      <c r="A757" s="646" t="s">
        <v>14</v>
      </c>
      <c r="B757" s="647" t="s">
        <v>1233</v>
      </c>
      <c r="C757" s="66" t="s">
        <v>152</v>
      </c>
      <c r="D757" s="136"/>
      <c r="E757" s="118"/>
      <c r="F757" s="118"/>
      <c r="G757" s="118"/>
      <c r="H757" s="118"/>
    </row>
    <row r="758" spans="1:8" x14ac:dyDescent="0.25">
      <c r="A758" s="95" t="s">
        <v>16</v>
      </c>
      <c r="B758" s="261"/>
      <c r="C758" s="261">
        <v>2022</v>
      </c>
      <c r="D758" s="261">
        <v>2023</v>
      </c>
      <c r="E758" s="261">
        <v>2024</v>
      </c>
      <c r="F758" s="261">
        <v>2025</v>
      </c>
    </row>
    <row r="759" spans="1:8" x14ac:dyDescent="0.25">
      <c r="A759" s="68" t="s">
        <v>17</v>
      </c>
      <c r="B759" s="72"/>
      <c r="C759" s="648"/>
      <c r="D759" s="648"/>
      <c r="E759" s="649"/>
      <c r="F759" s="649">
        <v>125</v>
      </c>
      <c r="G759" s="118"/>
      <c r="H759" s="118"/>
    </row>
    <row r="760" spans="1:8" x14ac:dyDescent="0.25">
      <c r="A760" s="68" t="s">
        <v>18</v>
      </c>
      <c r="B760" s="72"/>
      <c r="C760" s="648"/>
      <c r="D760" s="651">
        <f>C763</f>
        <v>-6.3249999999999993</v>
      </c>
      <c r="E760" s="651">
        <f t="shared" ref="E760:F760" si="35">D763</f>
        <v>-79.325000000000003</v>
      </c>
      <c r="F760" s="651">
        <f t="shared" si="35"/>
        <v>-159.64999999999998</v>
      </c>
      <c r="G760" s="118"/>
      <c r="H760" s="118"/>
    </row>
    <row r="761" spans="1:8" ht="26.4" x14ac:dyDescent="0.25">
      <c r="A761" s="68" t="s">
        <v>19</v>
      </c>
      <c r="B761" s="262"/>
      <c r="C761" s="648"/>
      <c r="D761" s="652" t="s">
        <v>1236</v>
      </c>
      <c r="E761" s="652" t="s">
        <v>1235</v>
      </c>
      <c r="F761" s="652" t="s">
        <v>1234</v>
      </c>
      <c r="G761" s="118"/>
      <c r="H761" s="118"/>
    </row>
    <row r="762" spans="1:8" x14ac:dyDescent="0.25">
      <c r="A762" s="68" t="s">
        <v>20</v>
      </c>
      <c r="B762" s="72"/>
      <c r="C762" s="128">
        <v>26</v>
      </c>
      <c r="D762" s="128">
        <v>73</v>
      </c>
      <c r="E762" s="128">
        <v>100</v>
      </c>
      <c r="F762" s="128"/>
      <c r="G762" s="118"/>
      <c r="H762" s="118"/>
    </row>
    <row r="763" spans="1:8" x14ac:dyDescent="0.25">
      <c r="A763" s="68" t="s">
        <v>21</v>
      </c>
      <c r="B763" s="72"/>
      <c r="C763" s="128">
        <v>-6.3249999999999993</v>
      </c>
      <c r="D763" s="128">
        <v>-79.325000000000003</v>
      </c>
      <c r="E763" s="128">
        <v>-159.64999999999998</v>
      </c>
      <c r="F763" s="649"/>
      <c r="G763" s="118"/>
      <c r="H763" s="118"/>
    </row>
    <row r="764" spans="1:8" x14ac:dyDescent="0.25">
      <c r="A764" s="73" t="s">
        <v>22</v>
      </c>
      <c r="B764" s="74"/>
      <c r="C764" s="648"/>
      <c r="D764" s="648"/>
      <c r="E764" s="649"/>
      <c r="F764" s="649"/>
      <c r="G764" s="118"/>
      <c r="H764" s="118"/>
    </row>
    <row r="765" spans="1:8" x14ac:dyDescent="0.25">
      <c r="A765" s="653" t="s">
        <v>23</v>
      </c>
      <c r="B765" s="649"/>
      <c r="C765" s="645"/>
      <c r="D765" s="645"/>
      <c r="E765" s="654"/>
      <c r="F765" s="655"/>
      <c r="G765" s="118"/>
      <c r="H765" s="118"/>
    </row>
    <row r="766" spans="1:8" x14ac:dyDescent="0.25">
      <c r="A766" s="80"/>
      <c r="B766" s="136"/>
      <c r="C766" s="136"/>
      <c r="D766" s="136"/>
      <c r="E766" s="118"/>
      <c r="F766" s="118"/>
      <c r="G766" s="118"/>
      <c r="H766" s="118"/>
    </row>
    <row r="768" spans="1:8" x14ac:dyDescent="0.25">
      <c r="A768" s="6" t="s">
        <v>12</v>
      </c>
      <c r="B768" s="171" t="s">
        <v>259</v>
      </c>
    </row>
    <row r="769" spans="1:13" x14ac:dyDescent="0.25">
      <c r="A769" s="103" t="s">
        <v>14</v>
      </c>
      <c r="B769" s="104" t="s">
        <v>66</v>
      </c>
      <c r="C769" s="66" t="s">
        <v>152</v>
      </c>
      <c r="D769" s="8"/>
      <c r="E769" s="8"/>
      <c r="F769" s="8"/>
      <c r="G769" s="8"/>
    </row>
    <row r="770" spans="1:13" x14ac:dyDescent="0.25">
      <c r="A770" s="95" t="s">
        <v>16</v>
      </c>
      <c r="B770" s="268" t="s">
        <v>243</v>
      </c>
      <c r="C770" s="261" t="s">
        <v>244</v>
      </c>
      <c r="D770" s="261" t="s">
        <v>286</v>
      </c>
      <c r="E770" s="261" t="s">
        <v>594</v>
      </c>
      <c r="F770" s="261" t="s">
        <v>788</v>
      </c>
      <c r="G770" s="269" t="s">
        <v>1164</v>
      </c>
      <c r="H770" s="269" t="s">
        <v>1165</v>
      </c>
      <c r="I770" s="269" t="s">
        <v>1166</v>
      </c>
    </row>
    <row r="771" spans="1:13" x14ac:dyDescent="0.25">
      <c r="A771" s="68" t="s">
        <v>17</v>
      </c>
      <c r="B771" s="72" t="s">
        <v>47</v>
      </c>
      <c r="C771" s="72" t="s">
        <v>47</v>
      </c>
      <c r="D771" s="72">
        <v>1552.77</v>
      </c>
      <c r="E771" s="72">
        <v>1527.9256800000001</v>
      </c>
      <c r="F771" s="72">
        <v>1540.3478400000001</v>
      </c>
      <c r="G771" s="129">
        <v>1540.3478400000001</v>
      </c>
      <c r="H771" s="129">
        <v>1553</v>
      </c>
      <c r="I771" s="129">
        <v>1980</v>
      </c>
    </row>
    <row r="772" spans="1:13" x14ac:dyDescent="0.25">
      <c r="A772" s="68" t="s">
        <v>18</v>
      </c>
      <c r="B772" s="72" t="s">
        <v>47</v>
      </c>
      <c r="C772" s="72" t="s">
        <v>47</v>
      </c>
      <c r="D772" s="72"/>
      <c r="E772" s="72"/>
      <c r="F772" s="72"/>
      <c r="G772" s="90"/>
      <c r="H772" s="90"/>
      <c r="I772" s="90"/>
    </row>
    <row r="773" spans="1:13" x14ac:dyDescent="0.25">
      <c r="A773" s="68" t="s">
        <v>19</v>
      </c>
      <c r="B773" s="262"/>
      <c r="C773" s="262"/>
      <c r="D773" s="262"/>
      <c r="E773" s="262"/>
      <c r="F773" s="262"/>
      <c r="G773" s="90"/>
      <c r="H773" s="90"/>
      <c r="I773" s="90"/>
    </row>
    <row r="774" spans="1:13" x14ac:dyDescent="0.25">
      <c r="A774" s="68" t="s">
        <v>20</v>
      </c>
      <c r="B774" s="72">
        <v>2633.56</v>
      </c>
      <c r="C774" s="72">
        <v>2463.83</v>
      </c>
      <c r="D774" s="72">
        <v>1518</v>
      </c>
      <c r="E774" s="72">
        <v>1491.84</v>
      </c>
      <c r="F774" s="72">
        <v>1499.98</v>
      </c>
      <c r="G774" s="72">
        <v>1396.63</v>
      </c>
      <c r="H774" s="90">
        <v>1542.47</v>
      </c>
      <c r="I774" s="90"/>
    </row>
    <row r="775" spans="1:13" x14ac:dyDescent="0.25">
      <c r="A775" s="68" t="s">
        <v>21</v>
      </c>
      <c r="B775" s="72" t="s">
        <v>47</v>
      </c>
      <c r="C775" s="72" t="s">
        <v>47</v>
      </c>
      <c r="D775" s="72">
        <f>D771-D774</f>
        <v>34.769999999999982</v>
      </c>
      <c r="E775" s="72">
        <f>E771-E774</f>
        <v>36.085680000000139</v>
      </c>
      <c r="F775" s="72">
        <f>F771-F774</f>
        <v>40.367840000000115</v>
      </c>
      <c r="G775" s="72">
        <f t="shared" ref="G775:I775" si="36">G771-G774</f>
        <v>143.71784000000002</v>
      </c>
      <c r="H775" s="72">
        <f t="shared" si="36"/>
        <v>10.529999999999973</v>
      </c>
      <c r="I775" s="72">
        <f t="shared" si="36"/>
        <v>1980</v>
      </c>
    </row>
    <row r="776" spans="1:13" x14ac:dyDescent="0.25">
      <c r="A776" s="92" t="s">
        <v>22</v>
      </c>
      <c r="B776" s="270"/>
      <c r="C776" s="270"/>
      <c r="D776" s="270"/>
      <c r="E776" s="270"/>
      <c r="F776" s="270"/>
      <c r="G776" s="62"/>
      <c r="H776" s="62"/>
      <c r="I776" s="62"/>
    </row>
    <row r="777" spans="1:13" x14ac:dyDescent="0.25">
      <c r="A777" s="732" t="s">
        <v>786</v>
      </c>
      <c r="B777" s="733"/>
      <c r="C777" s="733"/>
      <c r="D777" s="733"/>
      <c r="E777" s="733"/>
      <c r="F777" s="256"/>
      <c r="G777" s="256"/>
      <c r="H777" s="256"/>
      <c r="I777" s="63"/>
    </row>
    <row r="778" spans="1:13" x14ac:dyDescent="0.25">
      <c r="A778" s="39" t="s">
        <v>787</v>
      </c>
      <c r="I778" s="64"/>
    </row>
    <row r="779" spans="1:13" x14ac:dyDescent="0.25">
      <c r="A779" s="41" t="s">
        <v>789</v>
      </c>
      <c r="B779" s="34"/>
      <c r="C779" s="34"/>
      <c r="D779" s="34"/>
      <c r="E779" s="34"/>
      <c r="F779" s="34"/>
      <c r="G779" s="34"/>
      <c r="H779" s="34"/>
      <c r="I779" s="48"/>
    </row>
    <row r="781" spans="1:13" ht="13.2" customHeight="1" x14ac:dyDescent="0.25"/>
    <row r="782" spans="1:13" x14ac:dyDescent="0.25">
      <c r="A782" s="6" t="s">
        <v>12</v>
      </c>
      <c r="B782" s="171" t="s">
        <v>39</v>
      </c>
    </row>
    <row r="783" spans="1:13" x14ac:dyDescent="0.25">
      <c r="A783" s="149" t="s">
        <v>14</v>
      </c>
      <c r="B783" s="271" t="s">
        <v>624</v>
      </c>
      <c r="C783" s="7" t="s">
        <v>15</v>
      </c>
    </row>
    <row r="784" spans="1:13" x14ac:dyDescent="0.25">
      <c r="A784" s="41" t="s">
        <v>16</v>
      </c>
      <c r="B784" s="272">
        <v>2014</v>
      </c>
      <c r="C784" s="152">
        <v>2015</v>
      </c>
      <c r="D784" s="152">
        <v>2016</v>
      </c>
      <c r="E784" s="152">
        <v>2017</v>
      </c>
      <c r="F784" s="152">
        <v>2018</v>
      </c>
      <c r="G784" s="152">
        <v>2019</v>
      </c>
      <c r="H784" s="152">
        <v>2020</v>
      </c>
      <c r="I784" s="152">
        <v>2021</v>
      </c>
      <c r="J784" s="152">
        <v>2022</v>
      </c>
      <c r="K784" s="152">
        <v>2023</v>
      </c>
      <c r="L784" s="152">
        <v>2024</v>
      </c>
      <c r="M784" s="152">
        <v>2025</v>
      </c>
    </row>
    <row r="785" spans="1:14" x14ac:dyDescent="0.25">
      <c r="A785" s="10" t="s">
        <v>17</v>
      </c>
      <c r="B785" s="273">
        <v>21551.3</v>
      </c>
      <c r="C785" s="273">
        <v>21551.3</v>
      </c>
      <c r="D785" s="273">
        <v>21551.3</v>
      </c>
      <c r="E785" s="273">
        <v>21551.3</v>
      </c>
      <c r="F785" s="273">
        <v>25861.599999999999</v>
      </c>
      <c r="G785" s="273">
        <v>25861.599999999999</v>
      </c>
      <c r="H785" s="273">
        <v>25861.599999999999</v>
      </c>
      <c r="I785" s="12">
        <v>29095.1</v>
      </c>
      <c r="J785" s="12">
        <v>29095.1</v>
      </c>
      <c r="K785" s="12">
        <v>29095.1</v>
      </c>
      <c r="L785" s="12">
        <v>35815.9</v>
      </c>
      <c r="M785" s="12">
        <v>35815.9</v>
      </c>
    </row>
    <row r="786" spans="1:14" x14ac:dyDescent="0.25">
      <c r="A786" s="10" t="s">
        <v>18</v>
      </c>
      <c r="B786" s="273">
        <v>26534.959999999999</v>
      </c>
      <c r="C786" s="273">
        <v>26939.13</v>
      </c>
      <c r="D786" s="273">
        <v>24541.7</v>
      </c>
      <c r="E786" s="273">
        <v>26939.125</v>
      </c>
      <c r="F786" s="273">
        <v>26094.649999999998</v>
      </c>
      <c r="G786" s="273">
        <v>29536.849000000002</v>
      </c>
      <c r="H786" s="273">
        <v>26869.420999999995</v>
      </c>
      <c r="I786" s="12">
        <f>I785+G789-434.04</f>
        <v>28121.021000000001</v>
      </c>
      <c r="J786" s="12">
        <f>J785+H789-0.0152*J785</f>
        <v>29941.571479999991</v>
      </c>
      <c r="K786" s="12">
        <f>K785+I789-0.0152*I785</f>
        <v>30678.782479999994</v>
      </c>
      <c r="L786" s="12">
        <f>L785+J789</f>
        <v>38912.721479999993</v>
      </c>
      <c r="M786" s="12">
        <f>M785+K789</f>
        <v>43134.292479999996</v>
      </c>
    </row>
    <row r="787" spans="1:14" ht="52.8" x14ac:dyDescent="0.25">
      <c r="A787" s="10" t="s">
        <v>19</v>
      </c>
      <c r="B787" s="274" t="s">
        <v>40</v>
      </c>
      <c r="C787" s="274" t="s">
        <v>41</v>
      </c>
      <c r="D787" s="274" t="s">
        <v>42</v>
      </c>
      <c r="E787" s="275" t="s">
        <v>43</v>
      </c>
      <c r="F787" s="275" t="s">
        <v>44</v>
      </c>
      <c r="G787" s="275" t="s">
        <v>45</v>
      </c>
      <c r="H787" s="275" t="s">
        <v>46</v>
      </c>
      <c r="I787" s="276" t="s">
        <v>471</v>
      </c>
      <c r="J787" s="276" t="s">
        <v>472</v>
      </c>
      <c r="K787" s="276" t="s">
        <v>634</v>
      </c>
      <c r="L787" s="276" t="s">
        <v>1000</v>
      </c>
      <c r="M787" s="276" t="s">
        <v>1117</v>
      </c>
    </row>
    <row r="788" spans="1:14" ht="12.6" customHeight="1" x14ac:dyDescent="0.25">
      <c r="A788" s="10" t="s">
        <v>20</v>
      </c>
      <c r="B788" s="12">
        <v>23544.560000000001</v>
      </c>
      <c r="C788" s="12">
        <v>20891.8</v>
      </c>
      <c r="D788" s="12">
        <v>24308.65</v>
      </c>
      <c r="E788" s="12">
        <v>23263.875999999997</v>
      </c>
      <c r="F788" s="12">
        <v>25086.829000000002</v>
      </c>
      <c r="G788" s="12">
        <v>30076.887999999999</v>
      </c>
      <c r="H788" s="12">
        <v>25580.704000000002</v>
      </c>
      <c r="I788" s="12">
        <v>26095.093000000004</v>
      </c>
      <c r="J788" s="12">
        <v>26844.75</v>
      </c>
      <c r="K788" s="12">
        <v>23360.39</v>
      </c>
      <c r="L788" s="12">
        <v>19901.083999999999</v>
      </c>
      <c r="M788" s="12"/>
    </row>
    <row r="789" spans="1:14" x14ac:dyDescent="0.25">
      <c r="A789" s="10" t="s">
        <v>21</v>
      </c>
      <c r="B789" s="12">
        <v>2990.4</v>
      </c>
      <c r="C789" s="12">
        <v>6047.33</v>
      </c>
      <c r="D789" s="12">
        <v>233.04999999999927</v>
      </c>
      <c r="E789" s="12">
        <v>3675.2490000000034</v>
      </c>
      <c r="F789" s="12">
        <v>1007.8209999999963</v>
      </c>
      <c r="G789" s="12">
        <f t="shared" ref="G789:L789" si="37">G786-G788</f>
        <v>-540.03899999999703</v>
      </c>
      <c r="H789" s="12">
        <f t="shared" si="37"/>
        <v>1288.7169999999933</v>
      </c>
      <c r="I789" s="12">
        <f t="shared" si="37"/>
        <v>2025.9279999999962</v>
      </c>
      <c r="J789" s="12">
        <f t="shared" si="37"/>
        <v>3096.8214799999914</v>
      </c>
      <c r="K789" s="12">
        <f t="shared" si="37"/>
        <v>7318.392479999995</v>
      </c>
      <c r="L789" s="12">
        <f t="shared" si="37"/>
        <v>19011.637479999994</v>
      </c>
      <c r="M789" s="12"/>
    </row>
    <row r="790" spans="1:14" x14ac:dyDescent="0.25">
      <c r="A790" s="16" t="s">
        <v>22</v>
      </c>
      <c r="B790" s="157">
        <v>2016</v>
      </c>
      <c r="C790" s="157">
        <v>2017</v>
      </c>
      <c r="D790" s="157">
        <v>2018</v>
      </c>
      <c r="E790" s="157">
        <v>2019</v>
      </c>
      <c r="F790" s="157">
        <v>2020</v>
      </c>
      <c r="G790" s="157">
        <v>2021</v>
      </c>
      <c r="H790" s="157">
        <v>2022</v>
      </c>
      <c r="I790" s="157">
        <v>2023</v>
      </c>
      <c r="J790" s="157">
        <v>2024</v>
      </c>
      <c r="K790" s="157">
        <v>2025</v>
      </c>
      <c r="L790" s="157">
        <v>2026</v>
      </c>
      <c r="M790" s="157">
        <v>2027</v>
      </c>
    </row>
    <row r="791" spans="1:14" x14ac:dyDescent="0.25">
      <c r="A791" s="18" t="s">
        <v>469</v>
      </c>
      <c r="B791" s="277"/>
      <c r="C791" s="277"/>
      <c r="D791" s="277"/>
      <c r="E791" s="277"/>
      <c r="F791" s="277"/>
      <c r="G791" s="277"/>
      <c r="H791" s="277"/>
      <c r="I791" s="277"/>
      <c r="J791" s="19"/>
      <c r="K791" s="19"/>
      <c r="L791" s="19"/>
      <c r="M791" s="63"/>
    </row>
    <row r="792" spans="1:14" x14ac:dyDescent="0.25">
      <c r="A792" s="39" t="s">
        <v>470</v>
      </c>
      <c r="B792" s="278"/>
      <c r="C792" s="278"/>
      <c r="D792" s="278"/>
      <c r="E792" s="278"/>
      <c r="F792" s="278"/>
      <c r="G792" s="278"/>
      <c r="H792" s="278"/>
      <c r="I792" s="278"/>
      <c r="M792" s="64"/>
    </row>
    <row r="793" spans="1:14" x14ac:dyDescent="0.25">
      <c r="A793" s="39" t="s">
        <v>473</v>
      </c>
      <c r="B793" s="278"/>
      <c r="C793" s="278"/>
      <c r="D793" s="278"/>
      <c r="E793" s="278"/>
      <c r="F793" s="278"/>
      <c r="G793" s="278"/>
      <c r="H793" s="278"/>
      <c r="I793" s="278"/>
      <c r="M793" s="64"/>
    </row>
    <row r="794" spans="1:14" x14ac:dyDescent="0.25">
      <c r="A794" s="39" t="s">
        <v>474</v>
      </c>
      <c r="B794" s="278"/>
      <c r="C794" s="278"/>
      <c r="D794" s="278"/>
      <c r="E794" s="278"/>
      <c r="F794" s="278"/>
      <c r="G794" s="278"/>
      <c r="H794" s="278"/>
      <c r="I794" s="278"/>
      <c r="M794" s="64"/>
    </row>
    <row r="795" spans="1:14" x14ac:dyDescent="0.25">
      <c r="A795" s="41" t="s">
        <v>635</v>
      </c>
      <c r="B795" s="279"/>
      <c r="C795" s="279"/>
      <c r="D795" s="279"/>
      <c r="E795" s="279"/>
      <c r="F795" s="279"/>
      <c r="G795" s="279"/>
      <c r="H795" s="279"/>
      <c r="I795" s="279"/>
      <c r="J795" s="34"/>
      <c r="K795" s="34"/>
      <c r="L795" s="34"/>
      <c r="M795" s="48"/>
    </row>
    <row r="797" spans="1:14" x14ac:dyDescent="0.25">
      <c r="A797" s="6" t="s">
        <v>14</v>
      </c>
      <c r="B797" s="171" t="s">
        <v>638</v>
      </c>
      <c r="C797" s="7" t="s">
        <v>15</v>
      </c>
    </row>
    <row r="798" spans="1:14" x14ac:dyDescent="0.25">
      <c r="A798" s="41" t="s">
        <v>16</v>
      </c>
      <c r="B798" s="272">
        <v>2014</v>
      </c>
      <c r="C798" s="152">
        <v>2015</v>
      </c>
      <c r="D798" s="152">
        <v>2016</v>
      </c>
      <c r="E798" s="152">
        <v>2017</v>
      </c>
      <c r="F798" s="152">
        <v>2018</v>
      </c>
      <c r="G798" s="152">
        <v>2019</v>
      </c>
      <c r="H798" s="152">
        <v>2020</v>
      </c>
      <c r="I798" s="152">
        <v>2021</v>
      </c>
      <c r="J798" s="152">
        <v>2022</v>
      </c>
      <c r="K798" s="152">
        <v>2023</v>
      </c>
      <c r="L798" s="152">
        <v>2024</v>
      </c>
      <c r="M798" s="152">
        <v>2025</v>
      </c>
      <c r="N798" s="152">
        <v>2026</v>
      </c>
    </row>
    <row r="799" spans="1:14" x14ac:dyDescent="0.25">
      <c r="A799" s="10" t="s">
        <v>17</v>
      </c>
      <c r="B799" s="273">
        <v>1470</v>
      </c>
      <c r="C799" s="273">
        <v>1470</v>
      </c>
      <c r="D799" s="273">
        <v>1470</v>
      </c>
      <c r="E799" s="273">
        <v>1470</v>
      </c>
      <c r="F799" s="273">
        <v>1470</v>
      </c>
      <c r="G799" s="273">
        <v>1470</v>
      </c>
      <c r="H799" s="273">
        <v>1470</v>
      </c>
      <c r="I799" s="12">
        <v>1470</v>
      </c>
      <c r="J799" s="12">
        <v>1470</v>
      </c>
      <c r="K799" s="12">
        <v>1765</v>
      </c>
      <c r="L799" s="12">
        <v>1765</v>
      </c>
      <c r="M799" s="12">
        <v>1765</v>
      </c>
      <c r="N799" s="12">
        <v>1765</v>
      </c>
    </row>
    <row r="800" spans="1:14" x14ac:dyDescent="0.25">
      <c r="A800" s="10" t="s">
        <v>18</v>
      </c>
      <c r="B800" s="273">
        <v>1470</v>
      </c>
      <c r="C800" s="273">
        <v>1719</v>
      </c>
      <c r="D800" s="273">
        <v>1837.5</v>
      </c>
      <c r="E800" s="273">
        <v>1837.5</v>
      </c>
      <c r="F800" s="273">
        <v>1837.5</v>
      </c>
      <c r="G800" s="273">
        <v>1837.5</v>
      </c>
      <c r="H800" s="273">
        <v>1837.5</v>
      </c>
      <c r="I800" s="273">
        <f>+I799+G799*0.25</f>
        <v>1837.5</v>
      </c>
      <c r="J800" s="273">
        <f>+J799+H799*0.25</f>
        <v>1837.5</v>
      </c>
      <c r="K800" s="273">
        <f>K799+I799*0.25</f>
        <v>2132.5</v>
      </c>
      <c r="L800" s="273">
        <v>2132.5</v>
      </c>
      <c r="M800" s="273">
        <f>M799+0.25*K799</f>
        <v>2206.25</v>
      </c>
      <c r="N800" s="273">
        <f>N799+0.25*L799</f>
        <v>2206.25</v>
      </c>
    </row>
    <row r="801" spans="1:14" ht="26.4" x14ac:dyDescent="0.25">
      <c r="A801" s="10" t="s">
        <v>19</v>
      </c>
      <c r="B801" s="274" t="s">
        <v>47</v>
      </c>
      <c r="C801" s="274" t="s">
        <v>48</v>
      </c>
      <c r="D801" s="274" t="s">
        <v>49</v>
      </c>
      <c r="E801" s="275" t="s">
        <v>43</v>
      </c>
      <c r="F801" s="275" t="s">
        <v>50</v>
      </c>
      <c r="G801" s="275" t="s">
        <v>51</v>
      </c>
      <c r="H801" s="275" t="s">
        <v>52</v>
      </c>
      <c r="I801" s="276" t="s">
        <v>263</v>
      </c>
      <c r="J801" s="276" t="s">
        <v>478</v>
      </c>
      <c r="K801" s="276" t="s">
        <v>710</v>
      </c>
      <c r="L801" s="280" t="s">
        <v>543</v>
      </c>
      <c r="M801" s="276" t="s">
        <v>1099</v>
      </c>
      <c r="N801" s="276" t="s">
        <v>1122</v>
      </c>
    </row>
    <row r="802" spans="1:14" x14ac:dyDescent="0.25">
      <c r="A802" s="10" t="s">
        <v>20</v>
      </c>
      <c r="B802" s="12">
        <v>335.36</v>
      </c>
      <c r="C802" s="12">
        <v>472.71</v>
      </c>
      <c r="D802" s="12">
        <v>54.77</v>
      </c>
      <c r="E802" s="12">
        <v>178.2</v>
      </c>
      <c r="F802" s="12">
        <v>102.81099999999999</v>
      </c>
      <c r="G802" s="275">
        <v>81.733813276999982</v>
      </c>
      <c r="H802" s="12">
        <v>60.466000000000008</v>
      </c>
      <c r="I802" s="12">
        <v>70.94</v>
      </c>
      <c r="J802" s="12">
        <v>71.53</v>
      </c>
      <c r="K802" s="12">
        <v>41.71</v>
      </c>
      <c r="L802" s="12">
        <v>67.03</v>
      </c>
      <c r="M802" s="12"/>
      <c r="N802" s="12"/>
    </row>
    <row r="803" spans="1:14" x14ac:dyDescent="0.25">
      <c r="A803" s="10" t="s">
        <v>21</v>
      </c>
      <c r="B803" s="12">
        <v>1135</v>
      </c>
      <c r="C803" s="12">
        <v>1246.29</v>
      </c>
      <c r="D803" s="12">
        <v>1782.73</v>
      </c>
      <c r="E803" s="12">
        <v>1659.3</v>
      </c>
      <c r="F803" s="12">
        <v>1734.6890000000001</v>
      </c>
      <c r="G803" s="275">
        <f t="shared" ref="G803:L803" si="38">G800-G802</f>
        <v>1755.7661867229999</v>
      </c>
      <c r="H803" s="12">
        <f t="shared" si="38"/>
        <v>1777.0340000000001</v>
      </c>
      <c r="I803" s="12">
        <f t="shared" si="38"/>
        <v>1766.56</v>
      </c>
      <c r="J803" s="12">
        <f t="shared" si="38"/>
        <v>1765.97</v>
      </c>
      <c r="K803" s="12">
        <f t="shared" si="38"/>
        <v>2090.79</v>
      </c>
      <c r="L803" s="12">
        <f t="shared" si="38"/>
        <v>2065.4699999999998</v>
      </c>
      <c r="M803" s="12"/>
      <c r="N803" s="12"/>
    </row>
    <row r="804" spans="1:14" x14ac:dyDescent="0.25">
      <c r="A804" s="16" t="s">
        <v>22</v>
      </c>
      <c r="B804" s="157">
        <v>2016</v>
      </c>
      <c r="C804" s="157">
        <v>2017</v>
      </c>
      <c r="D804" s="157">
        <v>2018</v>
      </c>
      <c r="E804" s="157">
        <v>2019</v>
      </c>
      <c r="F804" s="157">
        <v>2020</v>
      </c>
      <c r="G804" s="157">
        <v>2021</v>
      </c>
      <c r="H804" s="157">
        <v>2022</v>
      </c>
      <c r="I804" s="157">
        <v>2023</v>
      </c>
      <c r="J804" s="157">
        <v>2024</v>
      </c>
      <c r="K804" s="157">
        <v>2025</v>
      </c>
      <c r="L804" s="157">
        <v>2026</v>
      </c>
      <c r="M804" s="157">
        <v>2027</v>
      </c>
      <c r="N804" s="157">
        <v>2028</v>
      </c>
    </row>
    <row r="805" spans="1:14" x14ac:dyDescent="0.25">
      <c r="A805" s="18" t="s">
        <v>476</v>
      </c>
      <c r="B805" s="277"/>
      <c r="C805" s="277"/>
      <c r="D805" s="277"/>
      <c r="E805" s="277"/>
      <c r="F805" s="277"/>
      <c r="G805" s="277"/>
      <c r="H805" s="277"/>
      <c r="I805" s="277"/>
      <c r="J805" s="19"/>
      <c r="K805" s="19"/>
      <c r="L805" s="19"/>
      <c r="M805" s="19"/>
      <c r="N805" s="63"/>
    </row>
    <row r="806" spans="1:14" x14ac:dyDescent="0.25">
      <c r="A806" s="39" t="s">
        <v>475</v>
      </c>
      <c r="N806" s="64"/>
    </row>
    <row r="807" spans="1:14" x14ac:dyDescent="0.25">
      <c r="A807" s="39" t="s">
        <v>477</v>
      </c>
      <c r="N807" s="64"/>
    </row>
    <row r="808" spans="1:14" x14ac:dyDescent="0.25">
      <c r="A808" s="39" t="s">
        <v>711</v>
      </c>
      <c r="N808" s="64"/>
    </row>
    <row r="809" spans="1:14" x14ac:dyDescent="0.25">
      <c r="A809" s="39" t="s">
        <v>1025</v>
      </c>
      <c r="N809" s="64"/>
    </row>
    <row r="810" spans="1:14" x14ac:dyDescent="0.25">
      <c r="A810" s="39" t="s">
        <v>1100</v>
      </c>
      <c r="N810" s="64"/>
    </row>
    <row r="811" spans="1:14" x14ac:dyDescent="0.25">
      <c r="A811" s="42" t="s">
        <v>1258</v>
      </c>
      <c r="B811" s="34"/>
      <c r="C811" s="34"/>
      <c r="D811" s="34"/>
      <c r="E811" s="34"/>
      <c r="F811" s="34"/>
      <c r="G811" s="34"/>
      <c r="H811" s="34"/>
      <c r="I811" s="34"/>
      <c r="J811" s="34"/>
      <c r="K811" s="34"/>
      <c r="L811" s="34"/>
      <c r="M811" s="34"/>
      <c r="N811" s="48"/>
    </row>
    <row r="813" spans="1:14" x14ac:dyDescent="0.25">
      <c r="A813" s="6" t="s">
        <v>14</v>
      </c>
      <c r="B813" s="171" t="s">
        <v>623</v>
      </c>
      <c r="C813" s="7" t="s">
        <v>15</v>
      </c>
    </row>
    <row r="814" spans="1:14" x14ac:dyDescent="0.25">
      <c r="A814" s="41" t="s">
        <v>16</v>
      </c>
      <c r="B814" s="272">
        <v>2014</v>
      </c>
      <c r="C814" s="152">
        <v>2015</v>
      </c>
      <c r="D814" s="152">
        <v>2016</v>
      </c>
      <c r="E814" s="152">
        <v>2017</v>
      </c>
      <c r="F814" s="152">
        <v>2018</v>
      </c>
      <c r="G814" s="152">
        <v>2019</v>
      </c>
      <c r="H814" s="152">
        <v>2020</v>
      </c>
      <c r="I814" s="152">
        <v>2021</v>
      </c>
      <c r="J814" s="152">
        <v>2022</v>
      </c>
      <c r="K814" s="152">
        <v>2023</v>
      </c>
      <c r="L814" s="152">
        <v>2024</v>
      </c>
      <c r="M814" s="281">
        <v>2025</v>
      </c>
    </row>
    <row r="815" spans="1:14" x14ac:dyDescent="0.25">
      <c r="A815" s="10" t="s">
        <v>17</v>
      </c>
      <c r="B815" s="273">
        <v>6718</v>
      </c>
      <c r="C815" s="273">
        <v>6718</v>
      </c>
      <c r="D815" s="273">
        <v>6718</v>
      </c>
      <c r="E815" s="273">
        <v>6718</v>
      </c>
      <c r="F815" s="273">
        <v>6718</v>
      </c>
      <c r="G815" s="273">
        <v>6718</v>
      </c>
      <c r="H815" s="273">
        <v>6718</v>
      </c>
      <c r="I815" s="12">
        <v>6718</v>
      </c>
      <c r="J815" s="12">
        <v>6718</v>
      </c>
      <c r="K815" s="12">
        <v>6717.33</v>
      </c>
      <c r="L815" s="12">
        <v>6717.33</v>
      </c>
      <c r="M815" s="90">
        <v>7408.33</v>
      </c>
    </row>
    <row r="816" spans="1:14" x14ac:dyDescent="0.25">
      <c r="A816" s="10" t="s">
        <v>18</v>
      </c>
      <c r="B816" s="273">
        <v>7887.5</v>
      </c>
      <c r="C816" s="273">
        <v>7897.5</v>
      </c>
      <c r="D816" s="273">
        <v>7390.7</v>
      </c>
      <c r="E816" s="273">
        <v>7425.7</v>
      </c>
      <c r="F816" s="273">
        <v>7385.7</v>
      </c>
      <c r="G816" s="273">
        <v>7385.7</v>
      </c>
      <c r="H816" s="273">
        <f>H815+F815*0.15-100-40</f>
        <v>7585.7</v>
      </c>
      <c r="I816" s="273">
        <f>I815+0.15*G815-40-200-0.67</f>
        <v>7485.03</v>
      </c>
      <c r="J816" s="273">
        <f>J815+0.15*H815-40-250-0.0001*J815</f>
        <v>7435.0281999999997</v>
      </c>
      <c r="K816" s="273">
        <f>K815+0.15*I815-327</f>
        <v>7398.03</v>
      </c>
      <c r="L816" s="273">
        <f>L815+0.15*J815-280-40</f>
        <v>7405.03</v>
      </c>
      <c r="M816" s="90">
        <v>7302.37</v>
      </c>
    </row>
    <row r="817" spans="1:13" ht="39.6" x14ac:dyDescent="0.25">
      <c r="A817" s="10" t="s">
        <v>19</v>
      </c>
      <c r="B817" s="274" t="s">
        <v>53</v>
      </c>
      <c r="C817" s="274" t="s">
        <v>54</v>
      </c>
      <c r="D817" s="274" t="s">
        <v>55</v>
      </c>
      <c r="E817" s="275" t="s">
        <v>56</v>
      </c>
      <c r="F817" s="275" t="s">
        <v>57</v>
      </c>
      <c r="G817" s="275" t="s">
        <v>58</v>
      </c>
      <c r="H817" s="275" t="s">
        <v>517</v>
      </c>
      <c r="I817" s="282" t="s">
        <v>518</v>
      </c>
      <c r="J817" s="282" t="s">
        <v>637</v>
      </c>
      <c r="K817" s="282" t="s">
        <v>1001</v>
      </c>
      <c r="L817" s="282" t="s">
        <v>1167</v>
      </c>
      <c r="M817" s="283" t="s">
        <v>1168</v>
      </c>
    </row>
    <row r="818" spans="1:13" s="267" customFormat="1" x14ac:dyDescent="0.25">
      <c r="A818" s="284" t="s">
        <v>20</v>
      </c>
      <c r="B818" s="12">
        <v>5020.43</v>
      </c>
      <c r="C818" s="12">
        <v>5449.08</v>
      </c>
      <c r="D818" s="12">
        <v>5765.63</v>
      </c>
      <c r="E818" s="12">
        <v>5573.6610000000001</v>
      </c>
      <c r="F818" s="12">
        <v>4966.4159999999993</v>
      </c>
      <c r="G818" s="12">
        <v>5740.2240000000002</v>
      </c>
      <c r="H818" s="12">
        <v>5960.2599999999993</v>
      </c>
      <c r="I818" s="12">
        <v>5522.9264400000002</v>
      </c>
      <c r="J818" s="12">
        <v>5527.68</v>
      </c>
      <c r="K818" s="12">
        <v>7263.99</v>
      </c>
      <c r="L818" s="12">
        <v>6685.085</v>
      </c>
      <c r="M818" s="129"/>
    </row>
    <row r="819" spans="1:13" x14ac:dyDescent="0.25">
      <c r="A819" s="10" t="s">
        <v>21</v>
      </c>
      <c r="B819" s="12">
        <v>2867.0699999999997</v>
      </c>
      <c r="C819" s="12">
        <v>2448.42</v>
      </c>
      <c r="D819" s="12">
        <v>1625.0699999999997</v>
      </c>
      <c r="E819" s="12">
        <v>1852.039</v>
      </c>
      <c r="F819" s="12">
        <v>2419.2840000000006</v>
      </c>
      <c r="G819" s="12">
        <v>1645.4759999999997</v>
      </c>
      <c r="H819" s="12">
        <f>H816-H818</f>
        <v>1625.4400000000005</v>
      </c>
      <c r="I819" s="12">
        <f>I816-I818</f>
        <v>1962.1035599999996</v>
      </c>
      <c r="J819" s="12">
        <f>J816-J818</f>
        <v>1907.3481999999995</v>
      </c>
      <c r="K819" s="12">
        <f>K816-K818</f>
        <v>134.03999999999996</v>
      </c>
      <c r="L819" s="12">
        <f>L816-L818</f>
        <v>719.94499999999971</v>
      </c>
      <c r="M819" s="90"/>
    </row>
    <row r="820" spans="1:13" x14ac:dyDescent="0.25">
      <c r="A820" s="16" t="s">
        <v>22</v>
      </c>
      <c r="B820" s="157">
        <v>2016</v>
      </c>
      <c r="C820" s="157">
        <v>2017</v>
      </c>
      <c r="D820" s="157">
        <v>2018</v>
      </c>
      <c r="E820" s="157">
        <v>2019</v>
      </c>
      <c r="F820" s="157">
        <v>2020</v>
      </c>
      <c r="G820" s="157">
        <v>2021</v>
      </c>
      <c r="H820" s="157">
        <v>2022</v>
      </c>
      <c r="I820" s="157">
        <v>2023</v>
      </c>
      <c r="J820" s="157">
        <v>2024</v>
      </c>
      <c r="K820" s="157">
        <v>2025</v>
      </c>
      <c r="L820" s="157">
        <v>2025</v>
      </c>
      <c r="M820" s="90">
        <v>2025</v>
      </c>
    </row>
    <row r="821" spans="1:13" x14ac:dyDescent="0.25">
      <c r="A821" s="18" t="s">
        <v>479</v>
      </c>
      <c r="B821" s="285"/>
      <c r="C821" s="285"/>
      <c r="D821" s="285"/>
      <c r="E821" s="285"/>
      <c r="F821" s="285"/>
      <c r="G821" s="285"/>
      <c r="H821" s="285"/>
      <c r="I821" s="285"/>
      <c r="J821" s="19"/>
      <c r="K821" s="19"/>
      <c r="L821" s="19"/>
      <c r="M821" s="63"/>
    </row>
    <row r="822" spans="1:13" x14ac:dyDescent="0.25">
      <c r="A822" s="39" t="s">
        <v>519</v>
      </c>
      <c r="B822" s="2"/>
      <c r="C822" s="2"/>
      <c r="D822" s="2"/>
      <c r="E822" s="2"/>
      <c r="F822" s="2"/>
      <c r="G822" s="2"/>
      <c r="H822" s="2"/>
      <c r="I822" s="2"/>
      <c r="M822" s="64"/>
    </row>
    <row r="823" spans="1:13" x14ac:dyDescent="0.25">
      <c r="A823" s="39" t="s">
        <v>480</v>
      </c>
      <c r="B823" s="2"/>
      <c r="C823" s="2"/>
      <c r="D823" s="2"/>
      <c r="E823" s="2"/>
      <c r="F823" s="2"/>
      <c r="G823" s="2"/>
      <c r="H823" s="2"/>
      <c r="I823" s="2"/>
      <c r="M823" s="64"/>
    </row>
    <row r="824" spans="1:13" x14ac:dyDescent="0.25">
      <c r="A824" s="39" t="s">
        <v>520</v>
      </c>
      <c r="B824" s="2"/>
      <c r="C824" s="2"/>
      <c r="D824" s="2"/>
      <c r="E824" s="2"/>
      <c r="F824" s="2"/>
      <c r="G824" s="2"/>
      <c r="H824" s="2"/>
      <c r="I824" s="2"/>
      <c r="M824" s="64"/>
    </row>
    <row r="825" spans="1:13" x14ac:dyDescent="0.25">
      <c r="A825" s="39" t="s">
        <v>481</v>
      </c>
      <c r="B825" s="2"/>
      <c r="C825" s="2"/>
      <c r="D825" s="2"/>
      <c r="E825" s="2"/>
      <c r="F825" s="2"/>
      <c r="G825" s="2"/>
      <c r="H825" s="2"/>
      <c r="I825" s="2"/>
      <c r="M825" s="64"/>
    </row>
    <row r="826" spans="1:13" x14ac:dyDescent="0.25">
      <c r="A826" s="39" t="s">
        <v>483</v>
      </c>
      <c r="B826" s="2"/>
      <c r="C826" s="2"/>
      <c r="D826" s="2"/>
      <c r="E826" s="2"/>
      <c r="F826" s="2"/>
      <c r="G826" s="2"/>
      <c r="H826" s="2"/>
      <c r="I826" s="2"/>
      <c r="M826" s="64"/>
    </row>
    <row r="827" spans="1:13" x14ac:dyDescent="0.25">
      <c r="A827" s="39" t="s">
        <v>482</v>
      </c>
      <c r="B827" s="2"/>
      <c r="C827" s="2"/>
      <c r="D827" s="2"/>
      <c r="E827" s="2"/>
      <c r="F827" s="2"/>
      <c r="G827" s="2"/>
      <c r="H827" s="2"/>
      <c r="I827" s="2"/>
      <c r="M827" s="64"/>
    </row>
    <row r="828" spans="1:13" ht="44.25" customHeight="1" x14ac:dyDescent="0.25">
      <c r="A828" s="694" t="s">
        <v>636</v>
      </c>
      <c r="B828" s="695"/>
      <c r="C828" s="695"/>
      <c r="D828" s="695"/>
      <c r="E828" s="695"/>
      <c r="F828" s="695"/>
      <c r="G828" s="695"/>
      <c r="H828" s="695"/>
      <c r="I828" s="695"/>
      <c r="J828" s="695"/>
      <c r="K828" s="695"/>
      <c r="L828" s="695"/>
      <c r="M828" s="64"/>
    </row>
    <row r="829" spans="1:13" x14ac:dyDescent="0.25">
      <c r="A829" s="159" t="s">
        <v>999</v>
      </c>
      <c r="B829" s="32"/>
      <c r="C829" s="32"/>
      <c r="D829" s="32"/>
      <c r="E829" s="32"/>
      <c r="F829" s="32"/>
      <c r="G829" s="32"/>
      <c r="H829" s="32"/>
      <c r="I829" s="32"/>
      <c r="J829" s="32"/>
      <c r="M829" s="64"/>
    </row>
    <row r="830" spans="1:13" x14ac:dyDescent="0.25">
      <c r="A830" s="286" t="s">
        <v>1002</v>
      </c>
      <c r="B830" s="287"/>
      <c r="C830" s="287"/>
      <c r="D830" s="287"/>
      <c r="E830" s="287"/>
      <c r="F830" s="287"/>
      <c r="G830" s="287"/>
      <c r="H830" s="287"/>
      <c r="I830" s="287"/>
      <c r="J830" s="34"/>
      <c r="K830" s="34"/>
      <c r="L830" s="34"/>
      <c r="M830" s="48"/>
    </row>
    <row r="832" spans="1:13" x14ac:dyDescent="0.25">
      <c r="A832" s="6" t="s">
        <v>14</v>
      </c>
      <c r="B832" s="171" t="s">
        <v>641</v>
      </c>
      <c r="C832" s="7" t="s">
        <v>15</v>
      </c>
    </row>
    <row r="833" spans="1:13" x14ac:dyDescent="0.25">
      <c r="A833" s="41" t="s">
        <v>16</v>
      </c>
      <c r="B833" s="272">
        <v>2014</v>
      </c>
      <c r="C833" s="152">
        <v>2015</v>
      </c>
      <c r="D833" s="152">
        <v>2016</v>
      </c>
      <c r="E833" s="152">
        <v>2017</v>
      </c>
      <c r="F833" s="152">
        <v>2018</v>
      </c>
      <c r="G833" s="152">
        <v>2019</v>
      </c>
      <c r="H833" s="152">
        <v>2020</v>
      </c>
      <c r="I833" s="152">
        <v>2021</v>
      </c>
      <c r="J833" s="152">
        <v>2022</v>
      </c>
      <c r="K833" s="152">
        <v>2023</v>
      </c>
      <c r="L833" s="152">
        <v>2024</v>
      </c>
      <c r="M833" s="152">
        <v>2025</v>
      </c>
    </row>
    <row r="834" spans="1:13" x14ac:dyDescent="0.25">
      <c r="A834" s="10" t="s">
        <v>17</v>
      </c>
      <c r="B834" s="273">
        <v>4824</v>
      </c>
      <c r="C834" s="273">
        <v>4824</v>
      </c>
      <c r="D834" s="273">
        <v>4824</v>
      </c>
      <c r="E834" s="273">
        <v>4824</v>
      </c>
      <c r="F834" s="273">
        <v>4824</v>
      </c>
      <c r="G834" s="273">
        <v>4824</v>
      </c>
      <c r="H834" s="273">
        <v>4824</v>
      </c>
      <c r="I834" s="273">
        <v>4824</v>
      </c>
      <c r="J834" s="273">
        <v>4824</v>
      </c>
      <c r="K834" s="273">
        <v>4824</v>
      </c>
      <c r="L834" s="273">
        <v>4824</v>
      </c>
      <c r="M834" s="288">
        <v>4824</v>
      </c>
    </row>
    <row r="835" spans="1:13" x14ac:dyDescent="0.25">
      <c r="A835" s="10" t="s">
        <v>18</v>
      </c>
      <c r="B835" s="273">
        <v>5141.7</v>
      </c>
      <c r="C835" s="273">
        <v>5695.4</v>
      </c>
      <c r="D835" s="273">
        <v>5601.06</v>
      </c>
      <c r="E835" s="273">
        <v>5224.38</v>
      </c>
      <c r="F835" s="273">
        <v>4963.5200000000004</v>
      </c>
      <c r="G835" s="273">
        <v>4928.1499999999996</v>
      </c>
      <c r="H835" s="273">
        <v>5011.2030000000004</v>
      </c>
      <c r="I835" s="273">
        <f>I834+G838</f>
        <v>5243.19</v>
      </c>
      <c r="J835" s="273">
        <f>J834+H838</f>
        <v>5085.0014400000018</v>
      </c>
      <c r="K835" s="273">
        <f>K834+0.1*I834</f>
        <v>5306.4</v>
      </c>
      <c r="L835" s="273">
        <f>L834+0.1*J834</f>
        <v>5306.4</v>
      </c>
      <c r="M835" s="288">
        <f>K838+M834</f>
        <v>4852.4709999999995</v>
      </c>
    </row>
    <row r="836" spans="1:13" ht="26.4" x14ac:dyDescent="0.25">
      <c r="A836" s="10" t="s">
        <v>19</v>
      </c>
      <c r="B836" s="274" t="s">
        <v>59</v>
      </c>
      <c r="C836" s="274" t="s">
        <v>60</v>
      </c>
      <c r="D836" s="274" t="s">
        <v>61</v>
      </c>
      <c r="E836" s="289" t="s">
        <v>62</v>
      </c>
      <c r="F836" s="289" t="s">
        <v>63</v>
      </c>
      <c r="G836" s="289" t="s">
        <v>64</v>
      </c>
      <c r="H836" s="289" t="s">
        <v>65</v>
      </c>
      <c r="I836" s="193" t="s">
        <v>264</v>
      </c>
      <c r="J836" s="193" t="s">
        <v>487</v>
      </c>
      <c r="K836" s="193" t="s">
        <v>879</v>
      </c>
      <c r="L836" s="193" t="s">
        <v>1004</v>
      </c>
      <c r="M836" s="290" t="s">
        <v>1169</v>
      </c>
    </row>
    <row r="837" spans="1:13" s="267" customFormat="1" x14ac:dyDescent="0.25">
      <c r="A837" s="284" t="s">
        <v>20</v>
      </c>
      <c r="B837" s="12">
        <v>4364.6400000000003</v>
      </c>
      <c r="C837" s="12">
        <v>5295.02</v>
      </c>
      <c r="D837" s="12">
        <v>5461.54</v>
      </c>
      <c r="E837" s="12">
        <v>5120.2</v>
      </c>
      <c r="F837" s="12">
        <v>4776.317</v>
      </c>
      <c r="G837" s="12">
        <v>4508.96</v>
      </c>
      <c r="H837" s="12">
        <v>4750.2015599999986</v>
      </c>
      <c r="I837" s="12">
        <v>4695.1249299999999</v>
      </c>
      <c r="J837" s="12">
        <v>3802.12</v>
      </c>
      <c r="K837" s="12">
        <v>5277.9290000000001</v>
      </c>
      <c r="L837" s="12">
        <v>4818.67</v>
      </c>
      <c r="M837" s="291"/>
    </row>
    <row r="838" spans="1:13" x14ac:dyDescent="0.25">
      <c r="A838" s="10" t="s">
        <v>21</v>
      </c>
      <c r="B838" s="12">
        <v>777.06</v>
      </c>
      <c r="C838" s="12">
        <v>400.38</v>
      </c>
      <c r="D838" s="12">
        <v>139.52000000000001</v>
      </c>
      <c r="E838" s="12">
        <v>104.2</v>
      </c>
      <c r="F838" s="12">
        <v>187.20300000000043</v>
      </c>
      <c r="G838" s="12">
        <v>419.1899999999996</v>
      </c>
      <c r="H838" s="12">
        <v>261.00144000000182</v>
      </c>
      <c r="I838" s="12">
        <f>I835-I837</f>
        <v>548.06506999999965</v>
      </c>
      <c r="J838" s="12">
        <f>J835-J837</f>
        <v>1282.8814400000019</v>
      </c>
      <c r="K838" s="12">
        <f>K835-K837</f>
        <v>28.470999999999549</v>
      </c>
      <c r="L838" s="12">
        <f>L835-L837</f>
        <v>487.72999999999956</v>
      </c>
      <c r="M838" s="292"/>
    </row>
    <row r="839" spans="1:13" x14ac:dyDescent="0.25">
      <c r="A839" s="16" t="s">
        <v>22</v>
      </c>
      <c r="B839" s="157">
        <v>2016</v>
      </c>
      <c r="C839" s="157">
        <v>2017</v>
      </c>
      <c r="D839" s="157">
        <v>2018</v>
      </c>
      <c r="E839" s="157">
        <v>2019</v>
      </c>
      <c r="F839" s="157">
        <v>2020</v>
      </c>
      <c r="G839" s="157">
        <v>2021</v>
      </c>
      <c r="H839" s="157">
        <v>2022</v>
      </c>
      <c r="I839" s="157">
        <v>2023</v>
      </c>
      <c r="J839" s="157">
        <v>2024</v>
      </c>
      <c r="K839" s="157">
        <v>2025</v>
      </c>
      <c r="L839" s="157">
        <v>2026</v>
      </c>
      <c r="M839" s="293">
        <v>2027</v>
      </c>
    </row>
    <row r="840" spans="1:13" x14ac:dyDescent="0.25">
      <c r="A840" s="18" t="s">
        <v>484</v>
      </c>
      <c r="B840" s="277"/>
      <c r="C840" s="277"/>
      <c r="D840" s="277"/>
      <c r="E840" s="277"/>
      <c r="F840" s="277"/>
      <c r="G840" s="277"/>
      <c r="H840" s="277"/>
      <c r="I840" s="277"/>
      <c r="J840" s="19"/>
      <c r="K840" s="19"/>
      <c r="L840" s="19"/>
      <c r="M840" s="63"/>
    </row>
    <row r="841" spans="1:13" x14ac:dyDescent="0.25">
      <c r="A841" s="39" t="s">
        <v>485</v>
      </c>
      <c r="B841" s="278"/>
      <c r="C841" s="278"/>
      <c r="D841" s="278"/>
      <c r="E841" s="278"/>
      <c r="F841" s="278"/>
      <c r="G841" s="278"/>
      <c r="H841" s="278"/>
      <c r="I841" s="278"/>
      <c r="M841" s="64"/>
    </row>
    <row r="842" spans="1:13" x14ac:dyDescent="0.25">
      <c r="A842" s="39" t="s">
        <v>486</v>
      </c>
      <c r="B842" s="278"/>
      <c r="C842" s="278"/>
      <c r="D842" s="278"/>
      <c r="E842" s="278"/>
      <c r="F842" s="278"/>
      <c r="G842" s="278"/>
      <c r="H842" s="278"/>
      <c r="I842" s="278"/>
      <c r="M842" s="64"/>
    </row>
    <row r="843" spans="1:13" x14ac:dyDescent="0.25">
      <c r="A843" s="734" t="s">
        <v>878</v>
      </c>
      <c r="B843" s="735"/>
      <c r="C843" s="735"/>
      <c r="D843" s="735"/>
      <c r="E843" s="735"/>
      <c r="F843" s="735"/>
      <c r="G843" s="735"/>
      <c r="H843" s="735"/>
      <c r="I843" s="735"/>
      <c r="J843" s="735"/>
      <c r="M843" s="64"/>
    </row>
    <row r="844" spans="1:13" x14ac:dyDescent="0.25">
      <c r="A844" s="294" t="s">
        <v>1003</v>
      </c>
      <c r="B844" s="295"/>
      <c r="C844" s="295"/>
      <c r="D844" s="295"/>
      <c r="E844" s="295"/>
      <c r="F844" s="295"/>
      <c r="G844" s="295"/>
      <c r="H844" s="295"/>
      <c r="I844" s="295"/>
      <c r="J844" s="295"/>
      <c r="K844" s="34"/>
      <c r="L844" s="34"/>
      <c r="M844" s="48"/>
    </row>
    <row r="845" spans="1:13" s="50" customFormat="1" ht="14.4" x14ac:dyDescent="0.3">
      <c r="A845" s="3"/>
      <c r="B845" s="3"/>
      <c r="C845" s="3"/>
      <c r="D845" s="3"/>
      <c r="E845" s="3"/>
      <c r="F845" s="3"/>
      <c r="G845" s="3"/>
      <c r="H845" s="3"/>
      <c r="I845" s="3"/>
      <c r="J845" s="3"/>
      <c r="K845" s="3"/>
    </row>
    <row r="846" spans="1:13" s="50" customFormat="1" ht="14.4" x14ac:dyDescent="0.3">
      <c r="A846" s="6" t="s">
        <v>14</v>
      </c>
      <c r="B846" s="171" t="s">
        <v>642</v>
      </c>
      <c r="C846" s="7" t="s">
        <v>15</v>
      </c>
      <c r="D846" s="3"/>
      <c r="E846" s="3"/>
      <c r="F846" s="3"/>
      <c r="G846" s="3"/>
      <c r="H846" s="3"/>
      <c r="I846" s="3"/>
      <c r="J846" s="3"/>
      <c r="K846" s="3"/>
    </row>
    <row r="847" spans="1:13" s="50" customFormat="1" ht="14.4" x14ac:dyDescent="0.3">
      <c r="A847" s="41" t="s">
        <v>16</v>
      </c>
      <c r="B847" s="272">
        <v>2020</v>
      </c>
      <c r="C847" s="152">
        <v>2021</v>
      </c>
      <c r="D847" s="152">
        <v>2022</v>
      </c>
      <c r="E847" s="152">
        <v>2023</v>
      </c>
      <c r="F847" s="152">
        <v>2024</v>
      </c>
      <c r="G847" s="152">
        <v>2025</v>
      </c>
      <c r="H847" s="152">
        <v>2026</v>
      </c>
      <c r="I847" s="152"/>
      <c r="J847" s="152"/>
      <c r="K847" s="3"/>
    </row>
    <row r="848" spans="1:13" s="50" customFormat="1" ht="14.4" x14ac:dyDescent="0.3">
      <c r="A848" s="10" t="s">
        <v>17</v>
      </c>
      <c r="B848" s="296">
        <v>19460</v>
      </c>
      <c r="C848" s="296">
        <v>19460</v>
      </c>
      <c r="D848" s="296">
        <v>19460</v>
      </c>
      <c r="E848" s="273">
        <v>21503</v>
      </c>
      <c r="F848" s="273">
        <v>21503</v>
      </c>
      <c r="G848" s="273">
        <v>21503</v>
      </c>
      <c r="H848" s="273">
        <v>21503</v>
      </c>
      <c r="I848" s="11"/>
      <c r="J848" s="11"/>
      <c r="K848" s="3"/>
    </row>
    <row r="849" spans="1:11" s="50" customFormat="1" ht="14.4" x14ac:dyDescent="0.3">
      <c r="A849" s="10" t="s">
        <v>18</v>
      </c>
      <c r="B849" s="273"/>
      <c r="C849" s="273">
        <f>C848+B852-48.4</f>
        <v>19737.565544000001</v>
      </c>
      <c r="D849" s="12">
        <f>D848+C852-19360*0.0025</f>
        <v>19985.500093000002</v>
      </c>
      <c r="E849" s="273">
        <f>E848+0.05*D848</f>
        <v>22476</v>
      </c>
      <c r="F849" s="273">
        <f>F848+0.05*E848</f>
        <v>22578.15</v>
      </c>
      <c r="G849" s="273">
        <f>G848+0.05*F848+200</f>
        <v>22778.15</v>
      </c>
      <c r="H849" s="273">
        <f>H848+0.05*G848</f>
        <v>22578.15</v>
      </c>
      <c r="I849" s="12"/>
      <c r="J849" s="12"/>
      <c r="K849" s="3"/>
    </row>
    <row r="850" spans="1:11" s="50" customFormat="1" ht="27" x14ac:dyDescent="0.3">
      <c r="A850" s="10" t="s">
        <v>19</v>
      </c>
      <c r="B850" s="289"/>
      <c r="C850" s="193" t="s">
        <v>873</v>
      </c>
      <c r="D850" s="297" t="s">
        <v>874</v>
      </c>
      <c r="E850" s="289" t="s">
        <v>948</v>
      </c>
      <c r="F850" s="289" t="s">
        <v>1005</v>
      </c>
      <c r="G850" s="289" t="s">
        <v>1267</v>
      </c>
      <c r="H850" s="289" t="s">
        <v>1265</v>
      </c>
      <c r="I850" s="193"/>
      <c r="J850" s="193"/>
      <c r="K850" s="3"/>
    </row>
    <row r="851" spans="1:11" s="50" customFormat="1" ht="14.4" x14ac:dyDescent="0.3">
      <c r="A851" s="284" t="s">
        <v>20</v>
      </c>
      <c r="B851" s="12">
        <v>19134.034455999998</v>
      </c>
      <c r="C851" s="12">
        <v>19163.665450999997</v>
      </c>
      <c r="D851" s="12">
        <v>18950.900000000001</v>
      </c>
      <c r="E851" s="12">
        <v>21104.23</v>
      </c>
      <c r="F851" s="12">
        <v>20865.420999999998</v>
      </c>
      <c r="G851" s="12"/>
      <c r="H851" s="12"/>
      <c r="I851" s="12"/>
      <c r="J851" s="12"/>
      <c r="K851" s="3"/>
    </row>
    <row r="852" spans="1:11" s="50" customFormat="1" ht="14.4" x14ac:dyDescent="0.3">
      <c r="A852" s="284" t="s">
        <v>21</v>
      </c>
      <c r="B852" s="12">
        <f>B848-B851</f>
        <v>325.96554400000241</v>
      </c>
      <c r="C852" s="12">
        <f>C849-C851</f>
        <v>573.90009300000384</v>
      </c>
      <c r="D852" s="12">
        <f>D849-D851</f>
        <v>1034.6000930000009</v>
      </c>
      <c r="E852" s="12">
        <f>E849-E851</f>
        <v>1371.7700000000004</v>
      </c>
      <c r="F852" s="12">
        <f>F849-F851</f>
        <v>1712.729000000003</v>
      </c>
      <c r="G852" s="12"/>
      <c r="H852" s="12"/>
      <c r="I852" s="12"/>
      <c r="J852" s="12"/>
      <c r="K852" s="3"/>
    </row>
    <row r="853" spans="1:11" s="50" customFormat="1" ht="14.4" x14ac:dyDescent="0.3">
      <c r="A853" s="16" t="s">
        <v>22</v>
      </c>
      <c r="B853" s="157">
        <v>2021</v>
      </c>
      <c r="C853" s="157">
        <v>2022</v>
      </c>
      <c r="D853" s="157">
        <v>2023</v>
      </c>
      <c r="E853" s="298"/>
      <c r="F853" s="298"/>
      <c r="G853" s="298"/>
      <c r="H853" s="298"/>
      <c r="I853" s="298"/>
      <c r="J853" s="298"/>
      <c r="K853" s="3"/>
    </row>
    <row r="854" spans="1:11" s="50" customFormat="1" ht="14.4" x14ac:dyDescent="0.3">
      <c r="A854" s="18" t="s">
        <v>872</v>
      </c>
      <c r="B854" s="277"/>
      <c r="C854" s="277"/>
      <c r="D854" s="277"/>
      <c r="E854" s="277"/>
      <c r="F854" s="277"/>
      <c r="G854" s="277"/>
      <c r="H854" s="277"/>
      <c r="I854" s="277"/>
      <c r="J854" s="299"/>
      <c r="K854" s="3"/>
    </row>
    <row r="855" spans="1:11" s="50" customFormat="1" ht="14.4" x14ac:dyDescent="0.3">
      <c r="A855" s="39" t="s">
        <v>875</v>
      </c>
      <c r="B855" s="278"/>
      <c r="C855" s="278"/>
      <c r="D855" s="278"/>
      <c r="E855" s="278"/>
      <c r="F855" s="278"/>
      <c r="G855" s="278"/>
      <c r="H855" s="278"/>
      <c r="I855" s="278"/>
      <c r="J855" s="300"/>
      <c r="K855" s="3"/>
    </row>
    <row r="856" spans="1:11" s="50" customFormat="1" ht="14.4" x14ac:dyDescent="0.3">
      <c r="A856" s="39" t="s">
        <v>495</v>
      </c>
      <c r="B856" s="278"/>
      <c r="C856" s="278"/>
      <c r="D856" s="278"/>
      <c r="E856" s="278"/>
      <c r="F856" s="278"/>
      <c r="G856" s="278"/>
      <c r="H856" s="278"/>
      <c r="I856" s="278"/>
      <c r="J856" s="300"/>
      <c r="K856" s="3"/>
    </row>
    <row r="857" spans="1:11" s="50" customFormat="1" ht="14.4" x14ac:dyDescent="0.3">
      <c r="A857" s="39" t="s">
        <v>496</v>
      </c>
      <c r="B857" s="278"/>
      <c r="C857" s="278"/>
      <c r="D857" s="278"/>
      <c r="E857" s="278"/>
      <c r="F857" s="278"/>
      <c r="G857" s="278"/>
      <c r="H857" s="278"/>
      <c r="I857" s="278"/>
      <c r="J857" s="300"/>
      <c r="K857" s="3"/>
    </row>
    <row r="858" spans="1:11" s="50" customFormat="1" ht="14.4" x14ac:dyDescent="0.3">
      <c r="A858" s="39" t="s">
        <v>876</v>
      </c>
      <c r="B858" s="278"/>
      <c r="C858" s="278"/>
      <c r="D858" s="278"/>
      <c r="E858" s="278"/>
      <c r="F858" s="278"/>
      <c r="G858" s="278"/>
      <c r="H858" s="278"/>
      <c r="I858" s="278"/>
      <c r="J858" s="300"/>
      <c r="K858" s="3"/>
    </row>
    <row r="859" spans="1:11" s="50" customFormat="1" ht="14.4" x14ac:dyDescent="0.3">
      <c r="A859" s="301" t="s">
        <v>1006</v>
      </c>
      <c r="B859" s="302"/>
      <c r="C859" s="302"/>
      <c r="D859" s="302"/>
      <c r="E859" s="302"/>
      <c r="F859" s="302"/>
      <c r="G859" s="302"/>
      <c r="H859" s="302"/>
      <c r="I859" s="302"/>
      <c r="J859" s="303"/>
      <c r="K859" s="3"/>
    </row>
    <row r="860" spans="1:11" s="50" customFormat="1" ht="14.4" x14ac:dyDescent="0.3">
      <c r="A860" s="301" t="s">
        <v>1007</v>
      </c>
      <c r="B860" s="302"/>
      <c r="C860" s="302"/>
      <c r="D860" s="302"/>
      <c r="E860" s="302"/>
      <c r="F860" s="302"/>
      <c r="G860" s="302"/>
      <c r="H860" s="302"/>
      <c r="I860" s="302"/>
      <c r="J860" s="303"/>
      <c r="K860" s="3"/>
    </row>
    <row r="861" spans="1:11" s="50" customFormat="1" ht="14.4" x14ac:dyDescent="0.3">
      <c r="A861" s="301" t="s">
        <v>1170</v>
      </c>
      <c r="B861" s="302"/>
      <c r="C861" s="302"/>
      <c r="D861" s="302"/>
      <c r="E861" s="302"/>
      <c r="F861" s="302"/>
      <c r="G861" s="302"/>
      <c r="H861" s="302"/>
      <c r="I861" s="302"/>
      <c r="J861" s="303"/>
      <c r="K861" s="3"/>
    </row>
    <row r="862" spans="1:11" s="59" customFormat="1" ht="14.4" x14ac:dyDescent="0.3">
      <c r="A862" s="304" t="s">
        <v>1266</v>
      </c>
      <c r="B862" s="305"/>
      <c r="C862" s="305"/>
      <c r="D862" s="305"/>
      <c r="E862" s="305"/>
      <c r="F862" s="305"/>
      <c r="G862" s="305"/>
      <c r="H862" s="305"/>
      <c r="I862" s="305"/>
      <c r="J862" s="306"/>
      <c r="K862" s="34"/>
    </row>
    <row r="864" spans="1:11" x14ac:dyDescent="0.25">
      <c r="A864" s="6" t="s">
        <v>14</v>
      </c>
      <c r="B864" s="171" t="s">
        <v>66</v>
      </c>
      <c r="C864" s="7" t="s">
        <v>15</v>
      </c>
    </row>
    <row r="865" spans="1:13" x14ac:dyDescent="0.25">
      <c r="A865" s="41" t="s">
        <v>16</v>
      </c>
      <c r="B865" s="272">
        <v>2014</v>
      </c>
      <c r="C865" s="152">
        <v>2015</v>
      </c>
      <c r="D865" s="152">
        <v>2016</v>
      </c>
      <c r="E865" s="152">
        <v>2017</v>
      </c>
      <c r="F865" s="152">
        <v>2018</v>
      </c>
      <c r="G865" s="152">
        <v>2019</v>
      </c>
      <c r="H865" s="152">
        <v>2020</v>
      </c>
      <c r="I865" s="152">
        <v>2021</v>
      </c>
      <c r="J865" s="152">
        <v>2022</v>
      </c>
      <c r="K865" s="152">
        <v>2023</v>
      </c>
      <c r="L865" s="152">
        <v>2024</v>
      </c>
      <c r="M865" s="152">
        <v>2025</v>
      </c>
    </row>
    <row r="866" spans="1:13" x14ac:dyDescent="0.25">
      <c r="A866" s="10" t="s">
        <v>17</v>
      </c>
      <c r="B866" s="273">
        <v>22667</v>
      </c>
      <c r="C866" s="273">
        <v>22667</v>
      </c>
      <c r="D866" s="273">
        <v>16989</v>
      </c>
      <c r="E866" s="273">
        <v>16989</v>
      </c>
      <c r="F866" s="273">
        <v>16989</v>
      </c>
      <c r="G866" s="273">
        <v>16989</v>
      </c>
      <c r="H866" s="307">
        <v>13421.3</v>
      </c>
      <c r="I866" s="11">
        <v>13206.57</v>
      </c>
      <c r="J866" s="11">
        <v>13313.94</v>
      </c>
      <c r="K866" s="11">
        <v>13313.94</v>
      </c>
      <c r="L866" s="12">
        <v>13313.93952</v>
      </c>
      <c r="M866" s="11">
        <v>13576.29</v>
      </c>
    </row>
    <row r="867" spans="1:13" x14ac:dyDescent="0.25">
      <c r="A867" s="10" t="s">
        <v>18</v>
      </c>
      <c r="B867" s="273">
        <v>29467.1</v>
      </c>
      <c r="C867" s="273">
        <v>29467.1</v>
      </c>
      <c r="D867" s="273">
        <v>23789.1</v>
      </c>
      <c r="E867" s="273">
        <v>20389.099999999999</v>
      </c>
      <c r="F867" s="273">
        <v>19537.400000000001</v>
      </c>
      <c r="G867" s="273">
        <v>17157.5</v>
      </c>
      <c r="H867" s="273">
        <f>H866+F870+300</f>
        <v>15842.646000000001</v>
      </c>
      <c r="I867" s="12">
        <f>I866+G870</f>
        <v>13453.544999999998</v>
      </c>
      <c r="J867" s="12">
        <f>J866+0.1*H866</f>
        <v>14656.07</v>
      </c>
      <c r="K867" s="12">
        <f>K866+0.1*I866</f>
        <v>14634.597000000002</v>
      </c>
      <c r="L867" s="12">
        <f>L866+0.1*J866</f>
        <v>14645.33352</v>
      </c>
      <c r="M867" s="12">
        <f>M866+0.1*K866</f>
        <v>14907.684000000001</v>
      </c>
    </row>
    <row r="868" spans="1:13" ht="26.4" x14ac:dyDescent="0.25">
      <c r="A868" s="10" t="s">
        <v>19</v>
      </c>
      <c r="B868" s="274" t="s">
        <v>67</v>
      </c>
      <c r="C868" s="274" t="s">
        <v>67</v>
      </c>
      <c r="D868" s="274" t="s">
        <v>68</v>
      </c>
      <c r="E868" s="289" t="s">
        <v>69</v>
      </c>
      <c r="F868" s="289" t="s">
        <v>70</v>
      </c>
      <c r="G868" s="289" t="s">
        <v>71</v>
      </c>
      <c r="H868" s="289" t="s">
        <v>265</v>
      </c>
      <c r="I868" s="193" t="s">
        <v>266</v>
      </c>
      <c r="J868" s="193" t="s">
        <v>582</v>
      </c>
      <c r="K868" s="193" t="s">
        <v>877</v>
      </c>
      <c r="L868" s="193" t="s">
        <v>1008</v>
      </c>
      <c r="M868" s="193" t="s">
        <v>1219</v>
      </c>
    </row>
    <row r="869" spans="1:13" x14ac:dyDescent="0.25">
      <c r="A869" s="284" t="s">
        <v>20</v>
      </c>
      <c r="B869" s="12">
        <v>18152.900000000001</v>
      </c>
      <c r="C869" s="12">
        <v>15741.23</v>
      </c>
      <c r="D869" s="12">
        <v>18059.400000000001</v>
      </c>
      <c r="E869" s="12">
        <v>20220.53</v>
      </c>
      <c r="F869" s="12">
        <v>17416.054</v>
      </c>
      <c r="G869" s="12">
        <v>16910.525000000001</v>
      </c>
      <c r="H869" s="12">
        <v>11285.478270000007</v>
      </c>
      <c r="I869" s="12">
        <v>11445.933670000008</v>
      </c>
      <c r="J869" s="12">
        <v>12588.91</v>
      </c>
      <c r="K869" s="12">
        <v>11864.06</v>
      </c>
      <c r="L869" s="12">
        <v>9157.4519999999993</v>
      </c>
      <c r="M869" s="12"/>
    </row>
    <row r="870" spans="1:13" x14ac:dyDescent="0.25">
      <c r="A870" s="308" t="s">
        <v>21</v>
      </c>
      <c r="B870" s="309">
        <v>11314.2</v>
      </c>
      <c r="C870" s="309">
        <v>13725.87</v>
      </c>
      <c r="D870" s="309">
        <v>5729.68</v>
      </c>
      <c r="E870" s="309">
        <v>168.52</v>
      </c>
      <c r="F870" s="309">
        <v>2121.3460000000014</v>
      </c>
      <c r="G870" s="309">
        <f t="shared" ref="G870:L870" si="39">G867-G869</f>
        <v>246.97499999999854</v>
      </c>
      <c r="H870" s="309">
        <f t="shared" si="39"/>
        <v>4557.1677299999938</v>
      </c>
      <c r="I870" s="309">
        <f t="shared" si="39"/>
        <v>2007.6113299999906</v>
      </c>
      <c r="J870" s="309">
        <f t="shared" si="39"/>
        <v>2067.16</v>
      </c>
      <c r="K870" s="309">
        <f t="shared" si="39"/>
        <v>2770.5370000000021</v>
      </c>
      <c r="L870" s="309">
        <f t="shared" si="39"/>
        <v>5487.8815200000008</v>
      </c>
      <c r="M870" s="309"/>
    </row>
    <row r="871" spans="1:13" x14ac:dyDescent="0.25">
      <c r="A871" s="17" t="s">
        <v>22</v>
      </c>
      <c r="B871" s="157">
        <v>2016</v>
      </c>
      <c r="C871" s="157">
        <v>2017</v>
      </c>
      <c r="D871" s="157">
        <v>2018</v>
      </c>
      <c r="E871" s="157">
        <v>2019</v>
      </c>
      <c r="F871" s="157" t="s">
        <v>72</v>
      </c>
      <c r="G871" s="157" t="s">
        <v>73</v>
      </c>
      <c r="H871" s="157">
        <v>2022</v>
      </c>
      <c r="I871" s="157">
        <v>2023</v>
      </c>
      <c r="J871" s="157">
        <v>2024</v>
      </c>
      <c r="K871" s="157">
        <v>2025</v>
      </c>
      <c r="L871" s="157">
        <v>2026</v>
      </c>
      <c r="M871" s="195">
        <v>2027</v>
      </c>
    </row>
    <row r="872" spans="1:13" x14ac:dyDescent="0.25">
      <c r="A872" s="18" t="s">
        <v>488</v>
      </c>
      <c r="B872" s="277"/>
      <c r="C872" s="277"/>
      <c r="D872" s="277"/>
      <c r="E872" s="277"/>
      <c r="F872" s="277"/>
      <c r="G872" s="277"/>
      <c r="H872" s="277"/>
      <c r="I872" s="277"/>
      <c r="J872" s="19"/>
      <c r="K872" s="19"/>
      <c r="L872" s="19"/>
      <c r="M872" s="63"/>
    </row>
    <row r="873" spans="1:13" x14ac:dyDescent="0.25">
      <c r="A873" s="39" t="s">
        <v>489</v>
      </c>
      <c r="B873" s="278"/>
      <c r="C873" s="278"/>
      <c r="D873" s="278"/>
      <c r="E873" s="278"/>
      <c r="F873" s="278"/>
      <c r="G873" s="278"/>
      <c r="H873" s="278"/>
      <c r="I873" s="278"/>
      <c r="M873" s="64"/>
    </row>
    <row r="874" spans="1:13" ht="14.4" x14ac:dyDescent="0.25">
      <c r="A874" s="39" t="s">
        <v>732</v>
      </c>
      <c r="B874" s="278"/>
      <c r="C874" s="278"/>
      <c r="D874" s="278"/>
      <c r="E874" s="278"/>
      <c r="F874" s="278"/>
      <c r="G874" s="278"/>
      <c r="H874" s="278"/>
      <c r="I874" s="278"/>
      <c r="M874" s="64"/>
    </row>
    <row r="875" spans="1:13" x14ac:dyDescent="0.25">
      <c r="A875" s="41" t="s">
        <v>583</v>
      </c>
      <c r="B875" s="279"/>
      <c r="C875" s="279"/>
      <c r="D875" s="279"/>
      <c r="E875" s="279"/>
      <c r="F875" s="279"/>
      <c r="G875" s="279"/>
      <c r="H875" s="279"/>
      <c r="I875" s="279"/>
      <c r="J875" s="34"/>
      <c r="K875" s="34"/>
      <c r="L875" s="34"/>
      <c r="M875" s="48"/>
    </row>
    <row r="876" spans="1:13" x14ac:dyDescent="0.25">
      <c r="B876" s="4"/>
      <c r="C876" s="4"/>
      <c r="D876" s="4"/>
      <c r="E876" s="4"/>
      <c r="F876" s="4"/>
      <c r="G876" s="4"/>
      <c r="H876" s="4"/>
      <c r="I876" s="4"/>
    </row>
    <row r="878" spans="1:13" x14ac:dyDescent="0.25">
      <c r="A878" s="6" t="s">
        <v>14</v>
      </c>
      <c r="B878" s="171" t="s">
        <v>74</v>
      </c>
      <c r="C878" s="7" t="s">
        <v>15</v>
      </c>
    </row>
    <row r="879" spans="1:13" x14ac:dyDescent="0.25">
      <c r="A879" s="41" t="s">
        <v>16</v>
      </c>
      <c r="B879" s="272">
        <v>2014</v>
      </c>
      <c r="C879" s="152">
        <v>2015</v>
      </c>
      <c r="D879" s="152">
        <v>2016</v>
      </c>
      <c r="E879" s="152">
        <v>2017</v>
      </c>
      <c r="F879" s="152">
        <v>2018</v>
      </c>
      <c r="G879" s="152">
        <v>2019</v>
      </c>
      <c r="H879" s="152">
        <v>2020</v>
      </c>
      <c r="I879" s="152">
        <v>2021</v>
      </c>
      <c r="J879" s="152">
        <v>2022</v>
      </c>
      <c r="K879" s="152">
        <v>2023</v>
      </c>
      <c r="L879" s="152">
        <v>2024</v>
      </c>
      <c r="M879" s="152">
        <v>2025</v>
      </c>
    </row>
    <row r="880" spans="1:13" x14ac:dyDescent="0.25">
      <c r="A880" s="10" t="s">
        <v>17</v>
      </c>
      <c r="B880" s="273">
        <v>480</v>
      </c>
      <c r="C880" s="273">
        <v>480</v>
      </c>
      <c r="D880" s="273">
        <v>480</v>
      </c>
      <c r="E880" s="273">
        <v>480</v>
      </c>
      <c r="F880" s="273">
        <v>480</v>
      </c>
      <c r="G880" s="273">
        <v>480</v>
      </c>
      <c r="H880" s="296">
        <v>403.8</v>
      </c>
      <c r="I880" s="11">
        <v>403.8</v>
      </c>
      <c r="J880" s="11">
        <v>403.8</v>
      </c>
      <c r="K880" s="11">
        <v>403.8</v>
      </c>
      <c r="L880" s="11">
        <v>403.8</v>
      </c>
      <c r="M880" s="90">
        <v>403.8</v>
      </c>
    </row>
    <row r="881" spans="1:13" x14ac:dyDescent="0.25">
      <c r="A881" s="10" t="s">
        <v>18</v>
      </c>
      <c r="B881" s="273">
        <v>480</v>
      </c>
      <c r="C881" s="273">
        <v>528</v>
      </c>
      <c r="D881" s="273">
        <v>407.63</v>
      </c>
      <c r="E881" s="273">
        <v>414.75</v>
      </c>
      <c r="F881" s="273">
        <v>462.75</v>
      </c>
      <c r="G881" s="273">
        <v>528</v>
      </c>
      <c r="H881" s="273">
        <v>449.8</v>
      </c>
      <c r="I881" s="11">
        <f>I880+0.1*G880-2</f>
        <v>449.8</v>
      </c>
      <c r="J881" s="11">
        <v>401.8</v>
      </c>
      <c r="K881" s="11">
        <v>401.8</v>
      </c>
      <c r="L881" s="11">
        <v>401.8</v>
      </c>
      <c r="M881" s="90">
        <v>401.8</v>
      </c>
    </row>
    <row r="882" spans="1:13" ht="26.4" x14ac:dyDescent="0.25">
      <c r="A882" s="10" t="s">
        <v>19</v>
      </c>
      <c r="B882" s="274">
        <v>480</v>
      </c>
      <c r="C882" s="274">
        <v>528</v>
      </c>
      <c r="D882" s="274" t="s">
        <v>75</v>
      </c>
      <c r="E882" s="289" t="s">
        <v>76</v>
      </c>
      <c r="F882" s="289" t="s">
        <v>77</v>
      </c>
      <c r="G882" s="289" t="s">
        <v>78</v>
      </c>
      <c r="H882" s="289" t="s">
        <v>267</v>
      </c>
      <c r="I882" s="297" t="s">
        <v>268</v>
      </c>
      <c r="J882" s="297" t="s">
        <v>490</v>
      </c>
      <c r="K882" s="297" t="s">
        <v>880</v>
      </c>
      <c r="L882" s="297" t="s">
        <v>1009</v>
      </c>
      <c r="M882" s="90" t="s">
        <v>1171</v>
      </c>
    </row>
    <row r="883" spans="1:13" x14ac:dyDescent="0.25">
      <c r="A883" s="10" t="s">
        <v>20</v>
      </c>
      <c r="B883" s="12">
        <v>552.37</v>
      </c>
      <c r="C883" s="12">
        <v>658.51</v>
      </c>
      <c r="D883" s="12">
        <v>355.07</v>
      </c>
      <c r="E883" s="12">
        <v>338.75</v>
      </c>
      <c r="F883" s="12">
        <v>120.791</v>
      </c>
      <c r="G883" s="12">
        <v>79.62</v>
      </c>
      <c r="H883" s="12">
        <v>138.81700000000001</v>
      </c>
      <c r="I883" s="11">
        <v>105.06</v>
      </c>
      <c r="J883" s="11">
        <v>282.19</v>
      </c>
      <c r="K883" s="11">
        <v>191.54</v>
      </c>
      <c r="L883" s="11">
        <v>135.71</v>
      </c>
      <c r="M883" s="90"/>
    </row>
    <row r="884" spans="1:13" x14ac:dyDescent="0.25">
      <c r="A884" s="10" t="s">
        <v>21</v>
      </c>
      <c r="B884" s="12">
        <v>-72.37</v>
      </c>
      <c r="C884" s="12">
        <v>-130.51</v>
      </c>
      <c r="D884" s="12">
        <f>D881-D883</f>
        <v>52.56</v>
      </c>
      <c r="E884" s="12">
        <f>E881-E883</f>
        <v>76</v>
      </c>
      <c r="F884" s="12">
        <v>341.959</v>
      </c>
      <c r="G884" s="12">
        <f t="shared" ref="G884:L884" si="40">G881-G883</f>
        <v>448.38</v>
      </c>
      <c r="H884" s="12">
        <f t="shared" si="40"/>
        <v>310.983</v>
      </c>
      <c r="I884" s="11">
        <f t="shared" si="40"/>
        <v>344.74</v>
      </c>
      <c r="J884" s="11">
        <f t="shared" si="40"/>
        <v>119.61000000000001</v>
      </c>
      <c r="K884" s="11">
        <f t="shared" si="40"/>
        <v>210.26000000000002</v>
      </c>
      <c r="L884" s="11">
        <f t="shared" si="40"/>
        <v>266.09000000000003</v>
      </c>
      <c r="M884" s="90"/>
    </row>
    <row r="885" spans="1:13" x14ac:dyDescent="0.25">
      <c r="A885" s="16" t="s">
        <v>22</v>
      </c>
      <c r="B885" s="157">
        <v>2016</v>
      </c>
      <c r="C885" s="157">
        <v>2017</v>
      </c>
      <c r="D885" s="157">
        <v>2018</v>
      </c>
      <c r="E885" s="157">
        <v>2019</v>
      </c>
      <c r="F885" s="157" t="s">
        <v>72</v>
      </c>
      <c r="G885" s="157" t="s">
        <v>73</v>
      </c>
      <c r="H885" s="157" t="s">
        <v>161</v>
      </c>
      <c r="I885" s="157" t="s">
        <v>161</v>
      </c>
      <c r="J885" s="157" t="s">
        <v>161</v>
      </c>
      <c r="K885" s="157" t="s">
        <v>161</v>
      </c>
      <c r="L885" s="157" t="s">
        <v>161</v>
      </c>
      <c r="M885" s="178" t="s">
        <v>161</v>
      </c>
    </row>
    <row r="886" spans="1:13" x14ac:dyDescent="0.25">
      <c r="A886" s="18" t="s">
        <v>491</v>
      </c>
      <c r="B886" s="277"/>
      <c r="C886" s="277"/>
      <c r="D886" s="277"/>
      <c r="E886" s="277"/>
      <c r="F886" s="277"/>
      <c r="G886" s="277"/>
      <c r="H886" s="277"/>
      <c r="I886" s="277"/>
      <c r="J886" s="277"/>
      <c r="K886" s="277"/>
      <c r="L886" s="277"/>
      <c r="M886" s="63"/>
    </row>
    <row r="887" spans="1:13" x14ac:dyDescent="0.25">
      <c r="A887" s="39" t="s">
        <v>492</v>
      </c>
      <c r="B887" s="278"/>
      <c r="C887" s="278"/>
      <c r="D887" s="278"/>
      <c r="E887" s="278"/>
      <c r="F887" s="278"/>
      <c r="G887" s="278"/>
      <c r="H887" s="278"/>
      <c r="I887" s="278"/>
      <c r="J887" s="278"/>
      <c r="K887" s="278"/>
      <c r="L887" s="278"/>
      <c r="M887" s="64"/>
    </row>
    <row r="888" spans="1:13" x14ac:dyDescent="0.25">
      <c r="A888" s="310" t="s">
        <v>1063</v>
      </c>
      <c r="B888" s="311"/>
      <c r="C888" s="311"/>
      <c r="D888" s="311"/>
      <c r="E888" s="311"/>
      <c r="F888" s="311"/>
      <c r="G888" s="311"/>
      <c r="H888" s="311"/>
      <c r="I888" s="34"/>
      <c r="J888" s="34"/>
      <c r="K888" s="34"/>
      <c r="L888" s="34"/>
      <c r="M888" s="48"/>
    </row>
    <row r="890" spans="1:13" x14ac:dyDescent="0.25">
      <c r="A890" s="6" t="s">
        <v>14</v>
      </c>
      <c r="B890" s="171" t="s">
        <v>79</v>
      </c>
      <c r="C890" s="7" t="s">
        <v>15</v>
      </c>
    </row>
    <row r="891" spans="1:13" x14ac:dyDescent="0.25">
      <c r="A891" s="41" t="s">
        <v>16</v>
      </c>
      <c r="B891" s="272">
        <v>2014</v>
      </c>
      <c r="C891" s="152">
        <v>2015</v>
      </c>
      <c r="D891" s="152">
        <v>2016</v>
      </c>
      <c r="E891" s="152">
        <v>2017</v>
      </c>
      <c r="F891" s="152">
        <v>2018</v>
      </c>
      <c r="G891" s="152">
        <v>2019</v>
      </c>
      <c r="H891" s="152">
        <v>2020</v>
      </c>
      <c r="I891" s="152">
        <v>2021</v>
      </c>
      <c r="J891" s="152">
        <v>2022</v>
      </c>
    </row>
    <row r="892" spans="1:13" x14ac:dyDescent="0.25">
      <c r="A892" s="10" t="s">
        <v>17</v>
      </c>
      <c r="B892" s="273">
        <v>50</v>
      </c>
      <c r="C892" s="273">
        <v>50</v>
      </c>
      <c r="D892" s="273">
        <v>50</v>
      </c>
      <c r="E892" s="273">
        <v>50</v>
      </c>
      <c r="F892" s="273">
        <v>50</v>
      </c>
      <c r="G892" s="273">
        <v>50</v>
      </c>
      <c r="H892" s="296">
        <v>50</v>
      </c>
      <c r="I892" s="12">
        <v>50</v>
      </c>
      <c r="J892" s="12">
        <v>50</v>
      </c>
    </row>
    <row r="893" spans="1:13" x14ac:dyDescent="0.25">
      <c r="A893" s="10" t="s">
        <v>18</v>
      </c>
      <c r="B893" s="273">
        <v>50</v>
      </c>
      <c r="C893" s="273">
        <v>52.5</v>
      </c>
      <c r="D893" s="273">
        <v>23.9</v>
      </c>
      <c r="E893" s="273">
        <v>23.9</v>
      </c>
      <c r="F893" s="273">
        <v>27.6</v>
      </c>
      <c r="G893" s="273">
        <v>27.6</v>
      </c>
      <c r="H893" s="273">
        <v>32.6</v>
      </c>
      <c r="I893" s="12">
        <v>55</v>
      </c>
      <c r="J893" s="12">
        <v>50</v>
      </c>
    </row>
    <row r="894" spans="1:13" ht="26.4" x14ac:dyDescent="0.25">
      <c r="A894" s="10" t="s">
        <v>19</v>
      </c>
      <c r="B894" s="312">
        <v>50</v>
      </c>
      <c r="C894" s="312">
        <v>52.5</v>
      </c>
      <c r="D894" s="274" t="s">
        <v>80</v>
      </c>
      <c r="E894" s="289" t="s">
        <v>81</v>
      </c>
      <c r="F894" s="289" t="s">
        <v>82</v>
      </c>
      <c r="G894" s="289" t="s">
        <v>83</v>
      </c>
      <c r="H894" s="289" t="s">
        <v>84</v>
      </c>
      <c r="I894" s="193" t="s">
        <v>269</v>
      </c>
      <c r="J894" s="193" t="s">
        <v>572</v>
      </c>
    </row>
    <row r="895" spans="1:13" x14ac:dyDescent="0.25">
      <c r="A895" s="10" t="s">
        <v>20</v>
      </c>
      <c r="B895" s="12">
        <v>102.21</v>
      </c>
      <c r="C895" s="12">
        <v>119.69</v>
      </c>
      <c r="D895" s="12">
        <v>101.54</v>
      </c>
      <c r="E895" s="12">
        <v>14.67</v>
      </c>
      <c r="F895" s="12">
        <v>0.17</v>
      </c>
      <c r="G895" s="12">
        <v>0.7</v>
      </c>
      <c r="H895" s="12">
        <v>3.0670000000000002</v>
      </c>
      <c r="I895" s="12">
        <v>14.32</v>
      </c>
      <c r="J895" s="12">
        <v>1.1000000000000001</v>
      </c>
    </row>
    <row r="896" spans="1:13" x14ac:dyDescent="0.25">
      <c r="A896" s="10" t="s">
        <v>21</v>
      </c>
      <c r="B896" s="12">
        <v>-52.21</v>
      </c>
      <c r="C896" s="12">
        <v>-67.19</v>
      </c>
      <c r="D896" s="12">
        <v>-77.640000000000015</v>
      </c>
      <c r="E896" s="12">
        <f t="shared" ref="E896:J896" si="41">E893-E895</f>
        <v>9.2299999999999986</v>
      </c>
      <c r="F896" s="12">
        <f t="shared" si="41"/>
        <v>27.43</v>
      </c>
      <c r="G896" s="12">
        <f t="shared" si="41"/>
        <v>26.900000000000002</v>
      </c>
      <c r="H896" s="12">
        <f t="shared" si="41"/>
        <v>29.533000000000001</v>
      </c>
      <c r="I896" s="12">
        <f t="shared" si="41"/>
        <v>40.68</v>
      </c>
      <c r="J896" s="12">
        <f t="shared" si="41"/>
        <v>48.9</v>
      </c>
    </row>
    <row r="897" spans="1:12" x14ac:dyDescent="0.25">
      <c r="A897" s="16" t="s">
        <v>22</v>
      </c>
      <c r="B897" s="157">
        <v>2016</v>
      </c>
      <c r="C897" s="157">
        <v>2017</v>
      </c>
      <c r="D897" s="157">
        <v>2018</v>
      </c>
      <c r="E897" s="157">
        <v>2019</v>
      </c>
      <c r="F897" s="157" t="s">
        <v>72</v>
      </c>
      <c r="G897" s="157" t="s">
        <v>73</v>
      </c>
      <c r="H897" s="157" t="s">
        <v>161</v>
      </c>
      <c r="I897" s="157" t="s">
        <v>161</v>
      </c>
      <c r="J897" s="157" t="s">
        <v>161</v>
      </c>
    </row>
    <row r="898" spans="1:12" x14ac:dyDescent="0.25">
      <c r="A898" s="16" t="s">
        <v>493</v>
      </c>
      <c r="B898" s="176"/>
      <c r="C898" s="176"/>
      <c r="D898" s="176"/>
      <c r="E898" s="176"/>
      <c r="F898" s="176"/>
      <c r="G898" s="176"/>
      <c r="H898" s="176"/>
      <c r="I898" s="176"/>
      <c r="J898" s="177"/>
    </row>
    <row r="899" spans="1:12" x14ac:dyDescent="0.25">
      <c r="A899" s="310" t="s">
        <v>494</v>
      </c>
      <c r="B899" s="311"/>
      <c r="C899" s="311"/>
      <c r="D899" s="311"/>
      <c r="E899" s="311"/>
      <c r="F899" s="311"/>
      <c r="G899" s="311"/>
      <c r="H899" s="311"/>
      <c r="I899" s="311"/>
      <c r="J899" s="48"/>
    </row>
    <row r="900" spans="1:12" x14ac:dyDescent="0.25">
      <c r="A900" s="313"/>
      <c r="B900" s="313"/>
      <c r="C900" s="313"/>
      <c r="D900" s="313"/>
      <c r="E900" s="313"/>
      <c r="F900" s="313"/>
      <c r="G900" s="313"/>
      <c r="H900" s="313"/>
      <c r="I900" s="313"/>
    </row>
    <row r="902" spans="1:12" x14ac:dyDescent="0.25">
      <c r="A902" s="6" t="s">
        <v>11</v>
      </c>
      <c r="B902" s="7" t="s">
        <v>361</v>
      </c>
      <c r="C902" s="2"/>
    </row>
    <row r="903" spans="1:12" x14ac:dyDescent="0.25">
      <c r="A903" s="149" t="s">
        <v>1</v>
      </c>
      <c r="B903" s="24" t="s">
        <v>624</v>
      </c>
      <c r="C903" s="9" t="s">
        <v>2</v>
      </c>
    </row>
    <row r="904" spans="1:12" x14ac:dyDescent="0.25">
      <c r="A904" s="10" t="s">
        <v>3</v>
      </c>
      <c r="B904" s="152">
        <v>2015</v>
      </c>
      <c r="C904" s="152">
        <v>2016</v>
      </c>
      <c r="D904" s="170">
        <v>2017</v>
      </c>
      <c r="E904" s="152">
        <v>2018</v>
      </c>
      <c r="F904" s="152">
        <v>2019</v>
      </c>
      <c r="G904" s="152">
        <v>2020</v>
      </c>
      <c r="H904" s="152">
        <v>2021</v>
      </c>
      <c r="I904" s="152">
        <v>2022</v>
      </c>
      <c r="J904" s="152">
        <v>2023</v>
      </c>
      <c r="K904" s="152">
        <v>2024</v>
      </c>
      <c r="L904" s="152">
        <v>2025</v>
      </c>
    </row>
    <row r="905" spans="1:12" x14ac:dyDescent="0.25">
      <c r="A905" s="10" t="s">
        <v>4</v>
      </c>
      <c r="B905" s="154">
        <v>200</v>
      </c>
      <c r="C905" s="172">
        <v>200</v>
      </c>
      <c r="D905" s="154">
        <v>200</v>
      </c>
      <c r="E905" s="173">
        <v>200</v>
      </c>
      <c r="F905" s="173">
        <v>215</v>
      </c>
      <c r="G905" s="173">
        <v>215</v>
      </c>
      <c r="H905" s="173">
        <v>242</v>
      </c>
      <c r="I905" s="173">
        <v>242</v>
      </c>
      <c r="J905" s="173">
        <v>242</v>
      </c>
      <c r="K905" s="173">
        <v>302</v>
      </c>
      <c r="L905" s="173">
        <v>302</v>
      </c>
    </row>
    <row r="906" spans="1:12" x14ac:dyDescent="0.25">
      <c r="A906" s="10" t="s">
        <v>5</v>
      </c>
      <c r="B906" s="154">
        <f>200+(200*25%)</f>
        <v>250</v>
      </c>
      <c r="C906" s="154">
        <f>200+(200*25%)</f>
        <v>250</v>
      </c>
      <c r="D906" s="154">
        <f>200+(200*25%)</f>
        <v>250</v>
      </c>
      <c r="E906" s="154">
        <f>200+(200*25%)</f>
        <v>250</v>
      </c>
      <c r="F906" s="173">
        <f t="shared" ref="F906:J906" si="42">F905+0.25*E905</f>
        <v>265</v>
      </c>
      <c r="G906" s="173">
        <f t="shared" si="42"/>
        <v>268.75</v>
      </c>
      <c r="H906" s="173">
        <f t="shared" si="42"/>
        <v>295.75</v>
      </c>
      <c r="I906" s="173">
        <f t="shared" si="42"/>
        <v>302.5</v>
      </c>
      <c r="J906" s="173">
        <f t="shared" si="42"/>
        <v>302.5</v>
      </c>
      <c r="K906" s="173">
        <f>K905+0.25*J905</f>
        <v>362.5</v>
      </c>
      <c r="L906" s="173">
        <f>L905+0.25*K905</f>
        <v>377.5</v>
      </c>
    </row>
    <row r="907" spans="1:12" x14ac:dyDescent="0.25">
      <c r="A907" s="10" t="s">
        <v>6</v>
      </c>
      <c r="B907" s="13">
        <v>2</v>
      </c>
      <c r="C907" s="314">
        <v>3</v>
      </c>
      <c r="D907" s="13">
        <v>4</v>
      </c>
      <c r="E907" s="315">
        <v>5</v>
      </c>
      <c r="F907" s="315">
        <v>6</v>
      </c>
      <c r="G907" s="13">
        <v>7</v>
      </c>
      <c r="H907" s="13">
        <v>8</v>
      </c>
      <c r="I907" s="13">
        <v>9</v>
      </c>
      <c r="J907" s="13">
        <v>10</v>
      </c>
      <c r="K907" s="13">
        <v>11</v>
      </c>
      <c r="L907" s="13">
        <v>12</v>
      </c>
    </row>
    <row r="908" spans="1:12" x14ac:dyDescent="0.25">
      <c r="A908" s="10" t="s">
        <v>7</v>
      </c>
      <c r="B908" s="12">
        <v>0</v>
      </c>
      <c r="C908" s="186">
        <v>0</v>
      </c>
      <c r="D908" s="12">
        <v>0</v>
      </c>
      <c r="E908" s="187">
        <v>0</v>
      </c>
      <c r="F908" s="187">
        <v>0</v>
      </c>
      <c r="G908" s="12">
        <v>0</v>
      </c>
      <c r="H908" s="12">
        <v>0</v>
      </c>
      <c r="I908" s="12">
        <v>0</v>
      </c>
      <c r="J908" s="12">
        <v>0</v>
      </c>
      <c r="K908" s="12">
        <v>0</v>
      </c>
      <c r="L908" s="12"/>
    </row>
    <row r="909" spans="1:12" x14ac:dyDescent="0.25">
      <c r="A909" s="10" t="s">
        <v>8</v>
      </c>
      <c r="B909" s="154">
        <f>B906-B908</f>
        <v>250</v>
      </c>
      <c r="C909" s="154">
        <f>C906-C908</f>
        <v>250</v>
      </c>
      <c r="D909" s="154">
        <f>D906-D908</f>
        <v>250</v>
      </c>
      <c r="E909" s="173">
        <v>250</v>
      </c>
      <c r="F909" s="173">
        <f t="shared" ref="F909:J909" si="43">F906-F908</f>
        <v>265</v>
      </c>
      <c r="G909" s="173">
        <f t="shared" si="43"/>
        <v>268.75</v>
      </c>
      <c r="H909" s="173">
        <f t="shared" si="43"/>
        <v>295.75</v>
      </c>
      <c r="I909" s="173">
        <f t="shared" si="43"/>
        <v>302.5</v>
      </c>
      <c r="J909" s="173">
        <f t="shared" si="43"/>
        <v>302.5</v>
      </c>
      <c r="K909" s="173">
        <f>K906-K908</f>
        <v>362.5</v>
      </c>
      <c r="L909" s="173"/>
    </row>
    <row r="910" spans="1:12" x14ac:dyDescent="0.25">
      <c r="A910" s="10" t="s">
        <v>9</v>
      </c>
      <c r="B910" s="316">
        <v>2016</v>
      </c>
      <c r="C910" s="316">
        <v>2017</v>
      </c>
      <c r="D910" s="316">
        <v>2018</v>
      </c>
      <c r="E910" s="316">
        <v>2019</v>
      </c>
      <c r="F910" s="316">
        <v>2020</v>
      </c>
      <c r="G910" s="316">
        <v>2021</v>
      </c>
      <c r="H910" s="316">
        <v>2022</v>
      </c>
      <c r="I910" s="316">
        <v>2023</v>
      </c>
      <c r="J910" s="316">
        <v>2024</v>
      </c>
      <c r="K910" s="316">
        <v>2025</v>
      </c>
      <c r="L910" s="317">
        <v>2026</v>
      </c>
    </row>
    <row r="911" spans="1:12" x14ac:dyDescent="0.25">
      <c r="A911" s="16" t="s">
        <v>10</v>
      </c>
      <c r="B911" s="16"/>
      <c r="C911" s="46"/>
      <c r="D911" s="46"/>
      <c r="E911" s="46"/>
      <c r="F911" s="46"/>
      <c r="G911" s="47"/>
      <c r="H911" s="47"/>
      <c r="I911" s="47"/>
      <c r="J911" s="47"/>
      <c r="K911" s="47"/>
      <c r="L911" s="90"/>
    </row>
    <row r="912" spans="1:12" x14ac:dyDescent="0.25">
      <c r="A912" s="18" t="s">
        <v>362</v>
      </c>
      <c r="B912" s="19"/>
      <c r="C912" s="19"/>
      <c r="D912" s="19"/>
      <c r="E912" s="19"/>
      <c r="F912" s="19"/>
      <c r="G912" s="19"/>
      <c r="H912" s="19"/>
      <c r="I912" s="19"/>
      <c r="J912" s="19"/>
      <c r="K912" s="19"/>
      <c r="L912" s="63"/>
    </row>
    <row r="913" spans="1:12" x14ac:dyDescent="0.25">
      <c r="A913" s="39" t="s">
        <v>793</v>
      </c>
      <c r="L913" s="64"/>
    </row>
    <row r="914" spans="1:12" x14ac:dyDescent="0.25">
      <c r="A914" s="39" t="s">
        <v>794</v>
      </c>
      <c r="L914" s="64"/>
    </row>
    <row r="915" spans="1:12" x14ac:dyDescent="0.25">
      <c r="A915" s="39" t="s">
        <v>795</v>
      </c>
      <c r="L915" s="64"/>
    </row>
    <row r="916" spans="1:12" x14ac:dyDescent="0.25">
      <c r="A916" s="39" t="s">
        <v>796</v>
      </c>
      <c r="L916" s="64"/>
    </row>
    <row r="917" spans="1:12" x14ac:dyDescent="0.25">
      <c r="A917" s="39" t="s">
        <v>797</v>
      </c>
      <c r="L917" s="64"/>
    </row>
    <row r="918" spans="1:12" x14ac:dyDescent="0.25">
      <c r="A918" s="39" t="s">
        <v>798</v>
      </c>
      <c r="L918" s="64"/>
    </row>
    <row r="919" spans="1:12" x14ac:dyDescent="0.25">
      <c r="A919" s="39" t="s">
        <v>799</v>
      </c>
      <c r="L919" s="64"/>
    </row>
    <row r="920" spans="1:12" x14ac:dyDescent="0.25">
      <c r="A920" s="39" t="s">
        <v>800</v>
      </c>
      <c r="L920" s="64"/>
    </row>
    <row r="921" spans="1:12" x14ac:dyDescent="0.25">
      <c r="A921" s="39" t="s">
        <v>801</v>
      </c>
      <c r="L921" s="64"/>
    </row>
    <row r="922" spans="1:12" x14ac:dyDescent="0.25">
      <c r="A922" s="39" t="s">
        <v>966</v>
      </c>
      <c r="L922" s="64"/>
    </row>
    <row r="923" spans="1:12" x14ac:dyDescent="0.25">
      <c r="A923" s="42" t="s">
        <v>1249</v>
      </c>
      <c r="B923" s="34"/>
      <c r="C923" s="34"/>
      <c r="D923" s="34"/>
      <c r="E923" s="34"/>
      <c r="F923" s="34"/>
      <c r="G923" s="34"/>
      <c r="H923" s="34"/>
      <c r="I923" s="34"/>
      <c r="J923" s="34"/>
      <c r="K923" s="34"/>
      <c r="L923" s="48"/>
    </row>
    <row r="925" spans="1:12" s="4" customFormat="1" x14ac:dyDescent="0.25">
      <c r="A925" s="318" t="s">
        <v>1</v>
      </c>
      <c r="B925" s="319" t="s">
        <v>623</v>
      </c>
      <c r="C925" s="320" t="s">
        <v>2</v>
      </c>
    </row>
    <row r="926" spans="1:12" s="4" customFormat="1" x14ac:dyDescent="0.25">
      <c r="A926" s="321" t="s">
        <v>3</v>
      </c>
      <c r="B926" s="322">
        <v>2015</v>
      </c>
      <c r="C926" s="322">
        <v>2016</v>
      </c>
      <c r="D926" s="323">
        <v>2017</v>
      </c>
      <c r="E926" s="322">
        <v>2018</v>
      </c>
      <c r="F926" s="322">
        <v>2019</v>
      </c>
      <c r="G926" s="322">
        <v>2020</v>
      </c>
      <c r="H926" s="322">
        <v>2021</v>
      </c>
      <c r="I926" s="322">
        <v>2022</v>
      </c>
      <c r="J926" s="322">
        <v>2023</v>
      </c>
      <c r="K926" s="322">
        <v>2024</v>
      </c>
      <c r="L926" s="322">
        <v>2025</v>
      </c>
    </row>
    <row r="927" spans="1:12" s="4" customFormat="1" x14ac:dyDescent="0.25">
      <c r="A927" s="321" t="s">
        <v>4</v>
      </c>
      <c r="B927" s="282">
        <v>40</v>
      </c>
      <c r="C927" s="282">
        <v>40</v>
      </c>
      <c r="D927" s="324">
        <v>40</v>
      </c>
      <c r="E927" s="282">
        <v>40</v>
      </c>
      <c r="F927" s="325">
        <v>40</v>
      </c>
      <c r="G927" s="325">
        <v>40</v>
      </c>
      <c r="H927" s="325">
        <v>40</v>
      </c>
      <c r="I927" s="325">
        <v>40</v>
      </c>
      <c r="J927" s="325">
        <v>40</v>
      </c>
      <c r="K927" s="325">
        <v>40</v>
      </c>
      <c r="L927" s="325">
        <v>40</v>
      </c>
    </row>
    <row r="928" spans="1:12" s="4" customFormat="1" x14ac:dyDescent="0.25">
      <c r="A928" s="321" t="s">
        <v>5</v>
      </c>
      <c r="B928" s="282">
        <f>40+(40*50%)+40</f>
        <v>100</v>
      </c>
      <c r="C928" s="282">
        <f>40+(40*50%)+40</f>
        <v>100</v>
      </c>
      <c r="D928" s="282">
        <v>112.75</v>
      </c>
      <c r="E928" s="282">
        <v>108.75</v>
      </c>
      <c r="F928" s="282">
        <v>108.75</v>
      </c>
      <c r="G928" s="282">
        <v>108.75</v>
      </c>
      <c r="H928" s="282">
        <v>108.75</v>
      </c>
      <c r="I928" s="282">
        <f>I927+0.4*G927+40</f>
        <v>96</v>
      </c>
      <c r="J928" s="326">
        <v>96</v>
      </c>
      <c r="K928" s="282">
        <f>K927+0.4*I927+40</f>
        <v>96</v>
      </c>
      <c r="L928" s="282">
        <f>L927+0.4*J927+40</f>
        <v>96</v>
      </c>
    </row>
    <row r="929" spans="1:12" s="4" customFormat="1" x14ac:dyDescent="0.25">
      <c r="A929" s="321" t="s">
        <v>6</v>
      </c>
      <c r="B929" s="193">
        <v>1</v>
      </c>
      <c r="C929" s="193">
        <v>2</v>
      </c>
      <c r="D929" s="327">
        <v>3</v>
      </c>
      <c r="E929" s="193">
        <v>4</v>
      </c>
      <c r="F929" s="328">
        <v>5</v>
      </c>
      <c r="G929" s="193">
        <v>6</v>
      </c>
      <c r="H929" s="193">
        <v>7</v>
      </c>
      <c r="I929" s="193">
        <v>8</v>
      </c>
      <c r="J929" s="193">
        <v>9</v>
      </c>
      <c r="K929" s="193">
        <v>10</v>
      </c>
      <c r="L929" s="193">
        <v>11</v>
      </c>
    </row>
    <row r="930" spans="1:12" s="4" customFormat="1" x14ac:dyDescent="0.25">
      <c r="A930" s="321" t="s">
        <v>7</v>
      </c>
      <c r="B930" s="282">
        <v>0</v>
      </c>
      <c r="C930" s="282">
        <v>0</v>
      </c>
      <c r="D930" s="324">
        <v>0</v>
      </c>
      <c r="E930" s="282">
        <v>0</v>
      </c>
      <c r="F930" s="325">
        <v>0</v>
      </c>
      <c r="G930" s="282">
        <v>0</v>
      </c>
      <c r="H930" s="282">
        <v>0</v>
      </c>
      <c r="I930" s="282">
        <v>78</v>
      </c>
      <c r="J930" s="282">
        <v>0</v>
      </c>
      <c r="K930" s="282">
        <v>0</v>
      </c>
      <c r="L930" s="282"/>
    </row>
    <row r="931" spans="1:12" s="4" customFormat="1" x14ac:dyDescent="0.25">
      <c r="A931" s="321" t="s">
        <v>8</v>
      </c>
      <c r="B931" s="282">
        <f t="shared" ref="B931:G931" si="44">B928-B930</f>
        <v>100</v>
      </c>
      <c r="C931" s="282">
        <f t="shared" si="44"/>
        <v>100</v>
      </c>
      <c r="D931" s="282">
        <f t="shared" si="44"/>
        <v>112.75</v>
      </c>
      <c r="E931" s="282">
        <f t="shared" si="44"/>
        <v>108.75</v>
      </c>
      <c r="F931" s="282">
        <f t="shared" si="44"/>
        <v>108.75</v>
      </c>
      <c r="G931" s="282">
        <f t="shared" si="44"/>
        <v>108.75</v>
      </c>
      <c r="H931" s="282">
        <v>108.75</v>
      </c>
      <c r="I931" s="282">
        <f>I928-I930</f>
        <v>18</v>
      </c>
      <c r="J931" s="282">
        <f>J928-J930</f>
        <v>96</v>
      </c>
      <c r="K931" s="282">
        <f>K928-K930</f>
        <v>96</v>
      </c>
      <c r="L931" s="282">
        <f>L928-L930</f>
        <v>96</v>
      </c>
    </row>
    <row r="932" spans="1:12" s="4" customFormat="1" x14ac:dyDescent="0.25">
      <c r="A932" s="329" t="s">
        <v>9</v>
      </c>
      <c r="B932" s="330">
        <v>2017</v>
      </c>
      <c r="C932" s="330">
        <v>2018</v>
      </c>
      <c r="D932" s="330">
        <v>2019</v>
      </c>
      <c r="E932" s="330">
        <v>2020</v>
      </c>
      <c r="F932" s="330">
        <v>2021</v>
      </c>
      <c r="G932" s="330">
        <v>2022</v>
      </c>
      <c r="H932" s="330">
        <v>2023</v>
      </c>
      <c r="I932" s="330">
        <v>2024</v>
      </c>
      <c r="J932" s="330">
        <v>2025</v>
      </c>
      <c r="K932" s="330">
        <v>2026</v>
      </c>
      <c r="L932" s="330">
        <v>2027</v>
      </c>
    </row>
    <row r="933" spans="1:12" s="4" customFormat="1" x14ac:dyDescent="0.25">
      <c r="A933" s="698" t="s">
        <v>10</v>
      </c>
      <c r="B933" s="699"/>
      <c r="C933" s="699"/>
      <c r="D933" s="699"/>
      <c r="E933" s="699"/>
      <c r="F933" s="699"/>
      <c r="G933" s="583"/>
      <c r="H933" s="583"/>
      <c r="I933" s="583"/>
      <c r="J933" s="583"/>
      <c r="K933" s="583"/>
      <c r="L933" s="668"/>
    </row>
    <row r="934" spans="1:12" s="4" customFormat="1" x14ac:dyDescent="0.25">
      <c r="A934" s="670" t="s">
        <v>362</v>
      </c>
      <c r="B934" s="583"/>
      <c r="C934" s="583"/>
      <c r="D934" s="583"/>
      <c r="E934" s="583"/>
      <c r="F934" s="583"/>
      <c r="G934" s="583"/>
      <c r="H934" s="583"/>
      <c r="I934" s="583"/>
      <c r="J934" s="583"/>
      <c r="K934" s="583"/>
      <c r="L934" s="668"/>
    </row>
    <row r="935" spans="1:12" s="4" customFormat="1" x14ac:dyDescent="0.25">
      <c r="A935" s="694" t="s">
        <v>363</v>
      </c>
      <c r="B935" s="695"/>
      <c r="C935" s="695"/>
      <c r="D935" s="695"/>
      <c r="E935" s="695"/>
      <c r="F935" s="695"/>
      <c r="L935" s="331"/>
    </row>
    <row r="936" spans="1:12" s="4" customFormat="1" x14ac:dyDescent="0.25">
      <c r="A936" s="694" t="s">
        <v>364</v>
      </c>
      <c r="B936" s="695"/>
      <c r="C936" s="695"/>
      <c r="D936" s="695"/>
      <c r="E936" s="695"/>
      <c r="F936" s="695"/>
      <c r="L936" s="331"/>
    </row>
    <row r="937" spans="1:12" s="4" customFormat="1" ht="45" customHeight="1" x14ac:dyDescent="0.25">
      <c r="A937" s="694" t="s">
        <v>365</v>
      </c>
      <c r="B937" s="695"/>
      <c r="C937" s="695"/>
      <c r="D937" s="695"/>
      <c r="E937" s="695"/>
      <c r="F937" s="695"/>
      <c r="G937" s="695"/>
      <c r="L937" s="331"/>
    </row>
    <row r="938" spans="1:12" s="4" customFormat="1" ht="30" customHeight="1" x14ac:dyDescent="0.25">
      <c r="A938" s="694" t="s">
        <v>971</v>
      </c>
      <c r="B938" s="695"/>
      <c r="C938" s="695"/>
      <c r="D938" s="695"/>
      <c r="E938" s="695"/>
      <c r="F938" s="695"/>
      <c r="G938" s="695"/>
      <c r="L938" s="331"/>
    </row>
    <row r="939" spans="1:12" s="4" customFormat="1" ht="30" customHeight="1" x14ac:dyDescent="0.25">
      <c r="A939" s="694" t="s">
        <v>970</v>
      </c>
      <c r="B939" s="695"/>
      <c r="C939" s="695"/>
      <c r="D939" s="695"/>
      <c r="E939" s="695"/>
      <c r="F939" s="695"/>
      <c r="G939" s="695"/>
      <c r="L939" s="331"/>
    </row>
    <row r="940" spans="1:12" s="4" customFormat="1" ht="30" customHeight="1" x14ac:dyDescent="0.25">
      <c r="A940" s="694" t="s">
        <v>969</v>
      </c>
      <c r="B940" s="695"/>
      <c r="C940" s="695"/>
      <c r="D940" s="695"/>
      <c r="E940" s="695"/>
      <c r="F940" s="695"/>
      <c r="G940" s="695"/>
      <c r="L940" s="331"/>
    </row>
    <row r="941" spans="1:12" s="4" customFormat="1" ht="30" customHeight="1" x14ac:dyDescent="0.25">
      <c r="A941" s="694" t="s">
        <v>968</v>
      </c>
      <c r="B941" s="695"/>
      <c r="C941" s="695"/>
      <c r="D941" s="695"/>
      <c r="E941" s="695"/>
      <c r="F941" s="695"/>
      <c r="G941" s="695"/>
      <c r="L941" s="331"/>
    </row>
    <row r="942" spans="1:12" s="4" customFormat="1" ht="30" customHeight="1" x14ac:dyDescent="0.25">
      <c r="A942" s="159" t="s">
        <v>967</v>
      </c>
      <c r="B942" s="32"/>
      <c r="C942" s="32"/>
      <c r="D942" s="32"/>
      <c r="E942" s="32"/>
      <c r="F942" s="32"/>
      <c r="G942" s="32"/>
      <c r="L942" s="331"/>
    </row>
    <row r="943" spans="1:12" s="333" customFormat="1" ht="30" customHeight="1" x14ac:dyDescent="0.25">
      <c r="A943" s="332" t="s">
        <v>1140</v>
      </c>
      <c r="B943" s="669"/>
      <c r="C943" s="669"/>
      <c r="D943" s="669"/>
      <c r="E943" s="669"/>
      <c r="F943" s="669"/>
      <c r="G943" s="669"/>
      <c r="L943" s="334"/>
    </row>
    <row r="944" spans="1:12" s="333" customFormat="1" ht="30" customHeight="1" x14ac:dyDescent="0.25">
      <c r="A944" s="332" t="s">
        <v>972</v>
      </c>
      <c r="B944" s="669"/>
      <c r="C944" s="669"/>
      <c r="D944" s="669"/>
      <c r="E944" s="669"/>
      <c r="F944" s="669"/>
      <c r="G944" s="669"/>
      <c r="L944" s="334"/>
    </row>
    <row r="945" spans="1:12" s="4" customFormat="1" ht="30" customHeight="1" x14ac:dyDescent="0.25">
      <c r="A945" s="692" t="s">
        <v>1248</v>
      </c>
      <c r="B945" s="693"/>
      <c r="C945" s="693"/>
      <c r="D945" s="693"/>
      <c r="E945" s="693"/>
      <c r="F945" s="693"/>
      <c r="G945" s="693"/>
      <c r="H945" s="335"/>
      <c r="I945" s="335"/>
      <c r="J945" s="335"/>
      <c r="K945" s="335"/>
      <c r="L945" s="336"/>
    </row>
    <row r="947" spans="1:12" x14ac:dyDescent="0.25">
      <c r="A947" s="6" t="s">
        <v>1</v>
      </c>
      <c r="B947" s="7" t="s">
        <v>645</v>
      </c>
      <c r="C947" s="320" t="s">
        <v>2</v>
      </c>
    </row>
    <row r="948" spans="1:12" x14ac:dyDescent="0.25">
      <c r="A948" s="10" t="s">
        <v>3</v>
      </c>
      <c r="B948" s="152">
        <v>2015</v>
      </c>
      <c r="C948" s="152">
        <v>2016</v>
      </c>
      <c r="D948" s="170">
        <v>2017</v>
      </c>
      <c r="E948" s="152">
        <v>2018</v>
      </c>
      <c r="F948" s="152">
        <v>2019</v>
      </c>
      <c r="G948" s="152">
        <v>2020</v>
      </c>
      <c r="H948" s="152">
        <v>2021</v>
      </c>
      <c r="I948" s="152">
        <v>2022</v>
      </c>
      <c r="J948" s="152">
        <v>2023</v>
      </c>
      <c r="K948" s="152">
        <v>2024</v>
      </c>
      <c r="L948" s="491">
        <v>2025</v>
      </c>
    </row>
    <row r="949" spans="1:12" x14ac:dyDescent="0.25">
      <c r="A949" s="10" t="s">
        <v>4</v>
      </c>
      <c r="B949" s="12">
        <v>4.51</v>
      </c>
      <c r="C949" s="12">
        <v>4.51</v>
      </c>
      <c r="D949" s="186">
        <v>4.51</v>
      </c>
      <c r="E949" s="12">
        <v>5.31</v>
      </c>
      <c r="F949" s="187">
        <v>5.31</v>
      </c>
      <c r="G949" s="12">
        <v>5.31</v>
      </c>
      <c r="H949" s="12">
        <v>5.31</v>
      </c>
      <c r="I949" s="12">
        <v>6.18</v>
      </c>
      <c r="J949" s="12">
        <v>6.18</v>
      </c>
      <c r="K949" s="12">
        <v>6.18</v>
      </c>
      <c r="L949" s="129">
        <v>6.18</v>
      </c>
    </row>
    <row r="950" spans="1:12" x14ac:dyDescent="0.25">
      <c r="A950" s="10" t="s">
        <v>5</v>
      </c>
      <c r="B950" s="12">
        <v>8.51</v>
      </c>
      <c r="C950" s="12">
        <v>9.02</v>
      </c>
      <c r="D950" s="12">
        <v>4.1899999999999995</v>
      </c>
      <c r="E950" s="12">
        <v>9.5</v>
      </c>
      <c r="F950" s="12">
        <f>2*F949-9.62</f>
        <v>1</v>
      </c>
      <c r="G950" s="12">
        <f>G949+F953-4.78</f>
        <v>1.5299999999999994</v>
      </c>
      <c r="H950" s="12">
        <f>H949+G953-4.78</f>
        <v>2.0599999999999987</v>
      </c>
      <c r="I950" s="12">
        <f>I949+H953-4.78</f>
        <v>3.4599999999999982</v>
      </c>
      <c r="J950" s="12">
        <f>J949+I953-5.18</f>
        <v>4.4599999999999973</v>
      </c>
      <c r="K950" s="12">
        <f>K949+J953</f>
        <v>10.639999999999997</v>
      </c>
      <c r="L950" s="129">
        <f>L949+K949</f>
        <v>12.36</v>
      </c>
    </row>
    <row r="951" spans="1:12" x14ac:dyDescent="0.25">
      <c r="A951" s="10" t="s">
        <v>6</v>
      </c>
      <c r="B951" s="11">
        <v>1</v>
      </c>
      <c r="C951" s="11">
        <v>2</v>
      </c>
      <c r="D951" s="36">
        <v>3</v>
      </c>
      <c r="E951" s="11">
        <v>4</v>
      </c>
      <c r="F951" s="37">
        <v>5</v>
      </c>
      <c r="G951" s="11">
        <v>6</v>
      </c>
      <c r="H951" s="11">
        <v>7</v>
      </c>
      <c r="I951" s="11">
        <v>8</v>
      </c>
      <c r="J951" s="11">
        <v>9</v>
      </c>
      <c r="K951" s="11">
        <v>10</v>
      </c>
      <c r="L951" s="90">
        <v>11</v>
      </c>
    </row>
    <row r="952" spans="1:12" x14ac:dyDescent="0.25">
      <c r="A952" s="10" t="s">
        <v>7</v>
      </c>
      <c r="B952" s="12">
        <v>0.17</v>
      </c>
      <c r="C952" s="12">
        <v>9.34</v>
      </c>
      <c r="D952" s="186">
        <v>0</v>
      </c>
      <c r="E952" s="12">
        <v>0</v>
      </c>
      <c r="F952" s="187">
        <v>0</v>
      </c>
      <c r="G952" s="12">
        <v>0</v>
      </c>
      <c r="H952" s="12">
        <v>0</v>
      </c>
      <c r="I952" s="12">
        <v>0</v>
      </c>
      <c r="J952" s="12">
        <v>0</v>
      </c>
      <c r="K952" s="12">
        <v>0</v>
      </c>
      <c r="L952" s="129"/>
    </row>
    <row r="953" spans="1:12" x14ac:dyDescent="0.25">
      <c r="A953" s="10" t="s">
        <v>8</v>
      </c>
      <c r="B953" s="12">
        <v>8.34</v>
      </c>
      <c r="C953" s="12">
        <v>-0.32000000000000028</v>
      </c>
      <c r="D953" s="12">
        <v>4.1899999999999995</v>
      </c>
      <c r="E953" s="12">
        <v>9.5</v>
      </c>
      <c r="F953" s="187">
        <f>F950-F952</f>
        <v>1</v>
      </c>
      <c r="G953" s="12">
        <f>G950</f>
        <v>1.5299999999999994</v>
      </c>
      <c r="H953" s="12">
        <f>H950</f>
        <v>2.0599999999999987</v>
      </c>
      <c r="I953" s="12">
        <f>I950-I952</f>
        <v>3.4599999999999982</v>
      </c>
      <c r="J953" s="12">
        <f>J950-J952</f>
        <v>4.4599999999999973</v>
      </c>
      <c r="K953" s="12">
        <f>K950-K952</f>
        <v>10.639999999999997</v>
      </c>
      <c r="L953" s="129"/>
    </row>
    <row r="954" spans="1:12" x14ac:dyDescent="0.25">
      <c r="A954" s="16" t="s">
        <v>9</v>
      </c>
      <c r="B954" s="17">
        <v>2016</v>
      </c>
      <c r="C954" s="17">
        <v>2017</v>
      </c>
      <c r="D954" s="17">
        <v>2018</v>
      </c>
      <c r="E954" s="17">
        <v>2019</v>
      </c>
      <c r="F954" s="17">
        <v>2020</v>
      </c>
      <c r="G954" s="17">
        <v>2021</v>
      </c>
      <c r="H954" s="17">
        <v>2022</v>
      </c>
      <c r="I954" s="17">
        <v>2023</v>
      </c>
      <c r="J954" s="17">
        <v>2024</v>
      </c>
      <c r="K954" s="17">
        <v>2025</v>
      </c>
      <c r="L954" s="62">
        <v>2026</v>
      </c>
    </row>
    <row r="955" spans="1:12" x14ac:dyDescent="0.25">
      <c r="A955" s="682" t="s">
        <v>10</v>
      </c>
      <c r="B955" s="680"/>
      <c r="C955" s="680"/>
      <c r="D955" s="680"/>
      <c r="E955" s="680"/>
      <c r="F955" s="680"/>
      <c r="G955" s="680"/>
      <c r="H955" s="680"/>
      <c r="I955" s="680"/>
      <c r="J955" s="680"/>
      <c r="K955" s="680"/>
      <c r="L955" s="681"/>
    </row>
    <row r="956" spans="1:12" x14ac:dyDescent="0.25">
      <c r="A956" s="682" t="s">
        <v>366</v>
      </c>
      <c r="B956" s="680"/>
      <c r="C956" s="680"/>
      <c r="D956" s="680"/>
      <c r="E956" s="680"/>
      <c r="F956" s="680"/>
      <c r="G956" s="680"/>
      <c r="H956" s="680"/>
      <c r="I956" s="680"/>
      <c r="J956" s="680"/>
      <c r="K956" s="680"/>
      <c r="L956" s="681"/>
    </row>
    <row r="957" spans="1:12" x14ac:dyDescent="0.25">
      <c r="A957" s="39" t="s">
        <v>367</v>
      </c>
      <c r="L957" s="64"/>
    </row>
    <row r="958" spans="1:12" x14ac:dyDescent="0.25">
      <c r="A958" s="39" t="s">
        <v>368</v>
      </c>
      <c r="L958" s="64"/>
    </row>
    <row r="959" spans="1:12" x14ac:dyDescent="0.25">
      <c r="A959" s="39" t="s">
        <v>369</v>
      </c>
      <c r="L959" s="64"/>
    </row>
    <row r="960" spans="1:12" x14ac:dyDescent="0.25">
      <c r="A960" s="39" t="s">
        <v>596</v>
      </c>
      <c r="L960" s="64"/>
    </row>
    <row r="961" spans="1:12" x14ac:dyDescent="0.25">
      <c r="A961" s="39" t="s">
        <v>589</v>
      </c>
      <c r="L961" s="64"/>
    </row>
    <row r="962" spans="1:12" x14ac:dyDescent="0.25">
      <c r="A962" s="39" t="s">
        <v>588</v>
      </c>
      <c r="L962" s="64"/>
    </row>
    <row r="963" spans="1:12" x14ac:dyDescent="0.25">
      <c r="A963" s="39" t="s">
        <v>597</v>
      </c>
      <c r="L963" s="64"/>
    </row>
    <row r="964" spans="1:12" x14ac:dyDescent="0.25">
      <c r="A964" s="39" t="s">
        <v>802</v>
      </c>
      <c r="L964" s="64"/>
    </row>
    <row r="965" spans="1:12" x14ac:dyDescent="0.25">
      <c r="A965" s="39" t="s">
        <v>973</v>
      </c>
      <c r="L965" s="64"/>
    </row>
    <row r="966" spans="1:12" s="45" customFormat="1" x14ac:dyDescent="0.25">
      <c r="A966" s="42" t="s">
        <v>1262</v>
      </c>
      <c r="B966" s="43"/>
      <c r="C966" s="43"/>
      <c r="D966" s="43"/>
      <c r="E966" s="43"/>
      <c r="F966" s="43"/>
      <c r="G966" s="43"/>
      <c r="H966" s="43"/>
      <c r="I966" s="43"/>
      <c r="J966" s="43"/>
      <c r="K966" s="43"/>
      <c r="L966" s="44"/>
    </row>
    <row r="968" spans="1:12" x14ac:dyDescent="0.25">
      <c r="A968" s="98" t="s">
        <v>12</v>
      </c>
      <c r="B968" s="66" t="s">
        <v>249</v>
      </c>
      <c r="C968" s="337"/>
      <c r="D968" s="8"/>
      <c r="E968" s="8"/>
      <c r="F968" s="8"/>
    </row>
    <row r="969" spans="1:12" x14ac:dyDescent="0.25">
      <c r="A969" s="98" t="s">
        <v>14</v>
      </c>
      <c r="B969" s="66" t="s">
        <v>66</v>
      </c>
      <c r="C969" s="67" t="s">
        <v>15</v>
      </c>
      <c r="D969" s="8"/>
      <c r="E969" s="8"/>
      <c r="F969" s="8"/>
    </row>
    <row r="970" spans="1:12" x14ac:dyDescent="0.25">
      <c r="A970" s="68" t="s">
        <v>16</v>
      </c>
      <c r="B970" s="261">
        <v>2015</v>
      </c>
      <c r="C970" s="261">
        <v>2016</v>
      </c>
      <c r="D970" s="338">
        <v>2017</v>
      </c>
      <c r="E970" s="261">
        <v>2018</v>
      </c>
      <c r="F970" s="339">
        <v>2019</v>
      </c>
      <c r="G970" s="339">
        <v>2020</v>
      </c>
      <c r="H970" s="339">
        <v>2021</v>
      </c>
      <c r="I970" s="339">
        <v>2022</v>
      </c>
      <c r="J970" s="339">
        <v>2023</v>
      </c>
      <c r="K970" s="340">
        <v>2024</v>
      </c>
    </row>
    <row r="971" spans="1:12" x14ac:dyDescent="0.25">
      <c r="A971" s="68" t="s">
        <v>17</v>
      </c>
      <c r="B971" s="12">
        <v>4722</v>
      </c>
      <c r="C971" s="12">
        <v>4250</v>
      </c>
      <c r="D971" s="12">
        <v>4250</v>
      </c>
      <c r="E971" s="12">
        <v>4250</v>
      </c>
      <c r="F971" s="12">
        <v>4250</v>
      </c>
      <c r="G971" s="12">
        <v>3968.23</v>
      </c>
      <c r="H971" s="12">
        <v>3904.7383199999999</v>
      </c>
      <c r="I971" s="12">
        <v>3936.48416</v>
      </c>
      <c r="J971" s="12">
        <v>3936.48416</v>
      </c>
      <c r="K971" s="129">
        <v>3936.48416</v>
      </c>
    </row>
    <row r="972" spans="1:12" x14ac:dyDescent="0.25">
      <c r="A972" s="68" t="s">
        <v>18</v>
      </c>
      <c r="B972" s="12">
        <v>6614.6</v>
      </c>
      <c r="C972" s="12">
        <f>C971+70+583-337</f>
        <v>4566</v>
      </c>
      <c r="D972" s="12">
        <f>D971-337+70+B975+C975</f>
        <v>4433.3230000000003</v>
      </c>
      <c r="E972" s="12">
        <f>E971-337+70</f>
        <v>3983</v>
      </c>
      <c r="F972" s="12">
        <f>F971+70+D975</f>
        <v>4667.3230000000003</v>
      </c>
      <c r="G972" s="12">
        <f>G971+E975</f>
        <v>4380.2299999999996</v>
      </c>
      <c r="H972" s="12">
        <f>H971+425</f>
        <v>4329.7383200000004</v>
      </c>
      <c r="I972" s="12">
        <f>I971+396.82</f>
        <v>4333.3041599999997</v>
      </c>
      <c r="J972" s="12">
        <v>4326.9541600000002</v>
      </c>
      <c r="K972" s="129">
        <v>4330.1319999999996</v>
      </c>
    </row>
    <row r="973" spans="1:12" x14ac:dyDescent="0.25">
      <c r="A973" s="68" t="s">
        <v>19</v>
      </c>
      <c r="B973" s="13"/>
      <c r="C973" s="13">
        <v>1</v>
      </c>
      <c r="D973" s="13">
        <v>2</v>
      </c>
      <c r="E973" s="13">
        <v>3</v>
      </c>
      <c r="F973" s="13">
        <v>4</v>
      </c>
      <c r="G973" s="13">
        <v>5</v>
      </c>
      <c r="H973" s="13">
        <v>6</v>
      </c>
      <c r="I973" s="13">
        <v>7</v>
      </c>
      <c r="J973" s="13">
        <v>8</v>
      </c>
      <c r="K973" s="341">
        <v>9</v>
      </c>
    </row>
    <row r="974" spans="1:12" x14ac:dyDescent="0.25">
      <c r="A974" s="68" t="s">
        <v>20</v>
      </c>
      <c r="B974" s="12">
        <v>5917.6769999999997</v>
      </c>
      <c r="C974" s="12">
        <v>4812.6000000000004</v>
      </c>
      <c r="D974" s="12">
        <v>4086</v>
      </c>
      <c r="E974" s="12">
        <v>3571</v>
      </c>
      <c r="F974" s="12">
        <v>2864.5</v>
      </c>
      <c r="G974" s="12">
        <v>2932.5</v>
      </c>
      <c r="H974" s="12">
        <v>1925</v>
      </c>
      <c r="I974" s="12">
        <v>3672</v>
      </c>
      <c r="J974" s="12">
        <v>2371</v>
      </c>
      <c r="K974" s="129">
        <v>2345</v>
      </c>
    </row>
    <row r="975" spans="1:12" x14ac:dyDescent="0.25">
      <c r="A975" s="68" t="s">
        <v>21</v>
      </c>
      <c r="B975" s="12">
        <f t="shared" ref="B975:H975" si="45">B972-B974</f>
        <v>696.92300000000068</v>
      </c>
      <c r="C975" s="12">
        <f t="shared" si="45"/>
        <v>-246.60000000000036</v>
      </c>
      <c r="D975" s="12">
        <f t="shared" si="45"/>
        <v>347.32300000000032</v>
      </c>
      <c r="E975" s="12">
        <f t="shared" si="45"/>
        <v>412</v>
      </c>
      <c r="F975" s="12">
        <f t="shared" si="45"/>
        <v>1802.8230000000003</v>
      </c>
      <c r="G975" s="12">
        <f t="shared" si="45"/>
        <v>1447.7299999999996</v>
      </c>
      <c r="H975" s="12">
        <f t="shared" si="45"/>
        <v>2404.7383200000004</v>
      </c>
      <c r="I975" s="12">
        <f>I972-I974</f>
        <v>661.30415999999968</v>
      </c>
      <c r="J975" s="12">
        <f>J972-J974</f>
        <v>1955.9541600000002</v>
      </c>
      <c r="K975" s="129">
        <f>K972-K974</f>
        <v>1985.1319999999996</v>
      </c>
    </row>
    <row r="976" spans="1:12" x14ac:dyDescent="0.25">
      <c r="A976" s="73" t="s">
        <v>22</v>
      </c>
      <c r="B976" s="342">
        <v>2017</v>
      </c>
      <c r="C976" s="342">
        <v>2018</v>
      </c>
      <c r="D976" s="342">
        <v>2019</v>
      </c>
      <c r="E976" s="342">
        <v>2020</v>
      </c>
      <c r="F976" s="342">
        <v>2021</v>
      </c>
      <c r="G976" s="342">
        <v>2022</v>
      </c>
      <c r="H976" s="342">
        <v>2023</v>
      </c>
      <c r="I976" s="342">
        <v>2024</v>
      </c>
      <c r="J976" s="342">
        <v>2025</v>
      </c>
      <c r="K976" s="343">
        <v>2026</v>
      </c>
    </row>
    <row r="977" spans="1:12" x14ac:dyDescent="0.25">
      <c r="A977" s="344"/>
      <c r="B977" s="19"/>
      <c r="C977" s="345"/>
      <c r="D977" s="19"/>
      <c r="E977" s="19"/>
      <c r="F977" s="19"/>
      <c r="G977" s="19"/>
      <c r="H977" s="19"/>
      <c r="I977" s="19"/>
      <c r="J977" s="19"/>
      <c r="K977" s="63"/>
    </row>
    <row r="978" spans="1:12" x14ac:dyDescent="0.25">
      <c r="A978" s="39" t="s">
        <v>598</v>
      </c>
      <c r="K978" s="64"/>
    </row>
    <row r="979" spans="1:12" x14ac:dyDescent="0.25">
      <c r="A979" s="39" t="s">
        <v>599</v>
      </c>
      <c r="K979" s="64"/>
    </row>
    <row r="980" spans="1:12" x14ac:dyDescent="0.25">
      <c r="A980" s="39" t="s">
        <v>600</v>
      </c>
      <c r="C980" s="346"/>
      <c r="K980" s="64"/>
    </row>
    <row r="981" spans="1:12" x14ac:dyDescent="0.25">
      <c r="A981" s="39" t="s">
        <v>601</v>
      </c>
      <c r="C981" s="346"/>
      <c r="K981" s="64"/>
    </row>
    <row r="982" spans="1:12" x14ac:dyDescent="0.25">
      <c r="A982" s="39" t="s">
        <v>602</v>
      </c>
      <c r="C982" s="346"/>
      <c r="K982" s="64"/>
    </row>
    <row r="983" spans="1:12" x14ac:dyDescent="0.25">
      <c r="A983" s="39" t="s">
        <v>501</v>
      </c>
      <c r="K983" s="64"/>
    </row>
    <row r="984" spans="1:12" x14ac:dyDescent="0.25">
      <c r="A984" s="39" t="s">
        <v>736</v>
      </c>
      <c r="K984" s="64"/>
    </row>
    <row r="985" spans="1:12" x14ac:dyDescent="0.25">
      <c r="A985" s="39" t="s">
        <v>735</v>
      </c>
      <c r="K985" s="64"/>
    </row>
    <row r="986" spans="1:12" x14ac:dyDescent="0.25">
      <c r="A986" s="39" t="s">
        <v>976</v>
      </c>
      <c r="K986" s="64"/>
    </row>
    <row r="987" spans="1:12" x14ac:dyDescent="0.25">
      <c r="A987" s="42" t="s">
        <v>1172</v>
      </c>
      <c r="B987" s="34"/>
      <c r="C987" s="34"/>
      <c r="D987" s="34"/>
      <c r="E987" s="34"/>
      <c r="F987" s="34"/>
      <c r="G987" s="34"/>
      <c r="H987" s="34"/>
      <c r="I987" s="34"/>
      <c r="J987" s="34"/>
      <c r="K987" s="48"/>
    </row>
    <row r="989" spans="1:12" ht="13.8" x14ac:dyDescent="0.3">
      <c r="A989" s="1"/>
      <c r="B989" s="2"/>
      <c r="C989" s="2"/>
      <c r="D989" s="2"/>
      <c r="E989" s="2"/>
      <c r="F989" s="1"/>
      <c r="G989" s="2"/>
    </row>
    <row r="990" spans="1:12" x14ac:dyDescent="0.25">
      <c r="A990" s="6" t="s">
        <v>12</v>
      </c>
      <c r="B990" s="7" t="s">
        <v>938</v>
      </c>
      <c r="C990" s="8"/>
    </row>
    <row r="991" spans="1:12" s="50" customFormat="1" ht="14.4" x14ac:dyDescent="0.3">
      <c r="A991" s="9" t="s">
        <v>14</v>
      </c>
      <c r="B991" s="9" t="s">
        <v>623</v>
      </c>
      <c r="C991" s="9" t="s">
        <v>15</v>
      </c>
      <c r="D991" s="49"/>
      <c r="E991" s="49"/>
      <c r="F991" s="49"/>
      <c r="G991" s="49"/>
      <c r="H991" s="49"/>
      <c r="I991" s="49"/>
      <c r="J991" s="49"/>
      <c r="K991" s="347"/>
      <c r="L991" s="347"/>
    </row>
    <row r="992" spans="1:12" s="50" customFormat="1" ht="14.4" x14ac:dyDescent="0.3">
      <c r="A992" s="11" t="s">
        <v>16</v>
      </c>
      <c r="B992" s="9">
        <v>2016</v>
      </c>
      <c r="C992" s="637">
        <v>2017</v>
      </c>
      <c r="D992" s="9">
        <v>2018</v>
      </c>
      <c r="E992" s="637">
        <v>2019</v>
      </c>
      <c r="F992" s="9">
        <v>2020</v>
      </c>
      <c r="G992" s="637">
        <v>2021</v>
      </c>
      <c r="H992" s="637">
        <v>2022</v>
      </c>
      <c r="I992" s="637">
        <v>2023</v>
      </c>
      <c r="J992" s="637">
        <v>2024</v>
      </c>
      <c r="K992" s="638">
        <v>2025</v>
      </c>
    </row>
    <row r="993" spans="1:12" s="50" customFormat="1" ht="14.4" x14ac:dyDescent="0.3">
      <c r="A993" s="11" t="s">
        <v>17</v>
      </c>
      <c r="B993" s="12">
        <v>0</v>
      </c>
      <c r="C993" s="12">
        <v>0</v>
      </c>
      <c r="D993" s="12">
        <v>0</v>
      </c>
      <c r="E993" s="12">
        <v>0</v>
      </c>
      <c r="F993" s="12">
        <v>0</v>
      </c>
      <c r="G993" s="12">
        <v>0</v>
      </c>
      <c r="H993" s="12">
        <v>0</v>
      </c>
      <c r="I993" s="12">
        <v>0</v>
      </c>
      <c r="J993" s="12">
        <v>0</v>
      </c>
      <c r="K993" s="129">
        <v>0</v>
      </c>
    </row>
    <row r="994" spans="1:12" s="50" customFormat="1" ht="14.4" x14ac:dyDescent="0.3">
      <c r="A994" s="11" t="s">
        <v>18</v>
      </c>
      <c r="B994" s="12"/>
      <c r="C994" s="12">
        <f>C993+B997</f>
        <v>-28.55546</v>
      </c>
      <c r="D994" s="12">
        <f>D993+C997</f>
        <v>-64.828410000000005</v>
      </c>
      <c r="E994" s="12">
        <f>E993+D997</f>
        <v>-100.71838</v>
      </c>
      <c r="F994" s="12">
        <f>F993+E997</f>
        <v>-122.58440999999999</v>
      </c>
      <c r="G994" s="12">
        <f>G993+F997</f>
        <v>-137.94472999999999</v>
      </c>
      <c r="H994" s="12">
        <f>H993+(G997)</f>
        <v>-142.25473</v>
      </c>
      <c r="I994" s="12">
        <f>I993+(H997)</f>
        <v>-149.03372999999999</v>
      </c>
      <c r="J994" s="12">
        <f>J993+(I997)</f>
        <v>-165.23183999999998</v>
      </c>
      <c r="K994" s="129">
        <f>K993+(J997)</f>
        <v>-171.79183999999998</v>
      </c>
    </row>
    <row r="995" spans="1:12" s="50" customFormat="1" ht="14.4" x14ac:dyDescent="0.3">
      <c r="A995" s="11" t="s">
        <v>19</v>
      </c>
      <c r="B995" s="11"/>
      <c r="C995" s="11">
        <v>1</v>
      </c>
      <c r="D995" s="11">
        <v>2</v>
      </c>
      <c r="E995" s="11">
        <v>3</v>
      </c>
      <c r="F995" s="11">
        <v>4</v>
      </c>
      <c r="G995" s="11">
        <v>5</v>
      </c>
      <c r="H995" s="11">
        <v>6</v>
      </c>
      <c r="I995" s="11">
        <v>7</v>
      </c>
      <c r="J995" s="11">
        <v>8</v>
      </c>
      <c r="K995" s="360">
        <v>9</v>
      </c>
    </row>
    <row r="996" spans="1:12" s="50" customFormat="1" ht="15" x14ac:dyDescent="0.3">
      <c r="A996" s="11" t="s">
        <v>20</v>
      </c>
      <c r="B996" s="348">
        <v>28.55546</v>
      </c>
      <c r="C996" s="348">
        <v>36.272950000000002</v>
      </c>
      <c r="D996" s="348">
        <v>35.889969999999998</v>
      </c>
      <c r="E996" s="348">
        <v>21.866029999999999</v>
      </c>
      <c r="F996" s="348">
        <v>15.36032</v>
      </c>
      <c r="G996" s="348">
        <v>4.3099999999999996</v>
      </c>
      <c r="H996" s="348">
        <v>6.7789999999999999</v>
      </c>
      <c r="I996" s="349">
        <v>16.19811</v>
      </c>
      <c r="J996" s="349">
        <v>6.56</v>
      </c>
      <c r="K996" s="360"/>
    </row>
    <row r="997" spans="1:12" s="50" customFormat="1" ht="14.4" x14ac:dyDescent="0.3">
      <c r="A997" s="11" t="s">
        <v>21</v>
      </c>
      <c r="B997" s="12">
        <f>B993-B996</f>
        <v>-28.55546</v>
      </c>
      <c r="C997" s="12">
        <f t="shared" ref="C997:J997" si="46">C994-C996</f>
        <v>-64.828410000000005</v>
      </c>
      <c r="D997" s="12">
        <f t="shared" si="46"/>
        <v>-100.71838</v>
      </c>
      <c r="E997" s="12">
        <f t="shared" si="46"/>
        <v>-122.58440999999999</v>
      </c>
      <c r="F997" s="12">
        <f t="shared" si="46"/>
        <v>-137.94472999999999</v>
      </c>
      <c r="G997" s="12">
        <f t="shared" si="46"/>
        <v>-142.25473</v>
      </c>
      <c r="H997" s="12">
        <f t="shared" si="46"/>
        <v>-149.03372999999999</v>
      </c>
      <c r="I997" s="12">
        <f t="shared" si="46"/>
        <v>-165.23183999999998</v>
      </c>
      <c r="J997" s="12">
        <f t="shared" si="46"/>
        <v>-171.79183999999998</v>
      </c>
      <c r="K997" s="360"/>
    </row>
    <row r="998" spans="1:12" s="50" customFormat="1" ht="14.4" x14ac:dyDescent="0.3">
      <c r="A998" s="62" t="s">
        <v>22</v>
      </c>
      <c r="B998" s="62">
        <v>2017</v>
      </c>
      <c r="C998" s="62">
        <v>2018</v>
      </c>
      <c r="D998" s="62">
        <v>2019</v>
      </c>
      <c r="E998" s="62">
        <v>2020</v>
      </c>
      <c r="F998" s="62">
        <v>2021</v>
      </c>
      <c r="G998" s="62">
        <v>2022</v>
      </c>
      <c r="H998" s="62">
        <v>2023</v>
      </c>
      <c r="I998" s="62">
        <v>2024</v>
      </c>
      <c r="J998" s="62">
        <v>2025</v>
      </c>
      <c r="K998" s="609"/>
    </row>
    <row r="999" spans="1:12" s="50" customFormat="1" ht="14.4" x14ac:dyDescent="0.3">
      <c r="A999" s="18">
        <v>1</v>
      </c>
      <c r="B999" s="53" t="s">
        <v>939</v>
      </c>
      <c r="C999" s="19"/>
      <c r="D999" s="19"/>
      <c r="E999" s="19"/>
      <c r="F999" s="19"/>
      <c r="G999" s="19"/>
      <c r="H999" s="19"/>
      <c r="I999" s="19"/>
      <c r="J999" s="19"/>
      <c r="K999" s="55"/>
      <c r="L999" s="3"/>
    </row>
    <row r="1000" spans="1:12" s="50" customFormat="1" ht="14.4" x14ac:dyDescent="0.3">
      <c r="A1000" s="39">
        <v>2</v>
      </c>
      <c r="B1000" s="49" t="s">
        <v>940</v>
      </c>
      <c r="C1000" s="3"/>
      <c r="D1000" s="3"/>
      <c r="E1000" s="3"/>
      <c r="F1000" s="3"/>
      <c r="G1000" s="3"/>
      <c r="H1000" s="3"/>
      <c r="I1000" s="3"/>
      <c r="J1000" s="3"/>
      <c r="K1000" s="57"/>
      <c r="L1000" s="3"/>
    </row>
    <row r="1001" spans="1:12" s="50" customFormat="1" ht="14.4" x14ac:dyDescent="0.3">
      <c r="A1001" s="39">
        <v>3</v>
      </c>
      <c r="B1001" s="49" t="s">
        <v>941</v>
      </c>
      <c r="C1001" s="3"/>
      <c r="D1001" s="3"/>
      <c r="E1001" s="3"/>
      <c r="F1001" s="3"/>
      <c r="G1001" s="3"/>
      <c r="H1001" s="3"/>
      <c r="I1001" s="3"/>
      <c r="J1001" s="3"/>
      <c r="K1001" s="57"/>
      <c r="L1001" s="3"/>
    </row>
    <row r="1002" spans="1:12" s="50" customFormat="1" ht="14.4" x14ac:dyDescent="0.3">
      <c r="A1002" s="39">
        <v>4</v>
      </c>
      <c r="B1002" s="49" t="s">
        <v>942</v>
      </c>
      <c r="C1002" s="3"/>
      <c r="D1002" s="3"/>
      <c r="E1002" s="3"/>
      <c r="F1002" s="3"/>
      <c r="G1002" s="3"/>
      <c r="H1002" s="3"/>
      <c r="I1002" s="3"/>
      <c r="J1002" s="3"/>
      <c r="K1002" s="57"/>
      <c r="L1002" s="3"/>
    </row>
    <row r="1003" spans="1:12" s="50" customFormat="1" ht="14.4" x14ac:dyDescent="0.3">
      <c r="A1003" s="39">
        <v>5</v>
      </c>
      <c r="B1003" s="49" t="s">
        <v>943</v>
      </c>
      <c r="C1003" s="3"/>
      <c r="D1003" s="3"/>
      <c r="E1003" s="3"/>
      <c r="F1003" s="3"/>
      <c r="G1003" s="3"/>
      <c r="H1003" s="3"/>
      <c r="I1003" s="3"/>
      <c r="J1003" s="3"/>
      <c r="K1003" s="57"/>
      <c r="L1003" s="3"/>
    </row>
    <row r="1004" spans="1:12" s="50" customFormat="1" ht="14.4" x14ac:dyDescent="0.3">
      <c r="A1004" s="39">
        <v>6</v>
      </c>
      <c r="B1004" s="49" t="s">
        <v>946</v>
      </c>
      <c r="C1004" s="3"/>
      <c r="D1004" s="3"/>
      <c r="E1004" s="3"/>
      <c r="F1004" s="3"/>
      <c r="G1004" s="3"/>
      <c r="H1004" s="3"/>
      <c r="I1004" s="3"/>
      <c r="J1004" s="3"/>
      <c r="K1004" s="57"/>
      <c r="L1004" s="3"/>
    </row>
    <row r="1005" spans="1:12" s="50" customFormat="1" ht="14.4" x14ac:dyDescent="0.3">
      <c r="A1005" s="39">
        <v>7</v>
      </c>
      <c r="B1005" s="49" t="s">
        <v>947</v>
      </c>
      <c r="C1005" s="3"/>
      <c r="D1005" s="3"/>
      <c r="E1005" s="3"/>
      <c r="F1005" s="3"/>
      <c r="G1005" s="3"/>
      <c r="H1005" s="3"/>
      <c r="I1005" s="3"/>
      <c r="J1005" s="3"/>
      <c r="K1005" s="57"/>
      <c r="L1005" s="3"/>
    </row>
    <row r="1006" spans="1:12" s="50" customFormat="1" ht="14.4" x14ac:dyDescent="0.3">
      <c r="A1006" s="39">
        <v>8</v>
      </c>
      <c r="B1006" s="49" t="s">
        <v>1088</v>
      </c>
      <c r="C1006" s="3"/>
      <c r="D1006" s="3"/>
      <c r="E1006" s="3"/>
      <c r="F1006" s="3"/>
      <c r="G1006" s="3"/>
      <c r="H1006" s="3"/>
      <c r="I1006" s="3"/>
      <c r="J1006" s="3"/>
      <c r="K1006" s="57"/>
      <c r="L1006" s="3"/>
    </row>
    <row r="1007" spans="1:12" s="580" customFormat="1" ht="14.4" x14ac:dyDescent="0.3">
      <c r="A1007" s="42">
        <v>9</v>
      </c>
      <c r="B1007" s="139" t="s">
        <v>1127</v>
      </c>
      <c r="C1007" s="43"/>
      <c r="D1007" s="43"/>
      <c r="E1007" s="43"/>
      <c r="F1007" s="43"/>
      <c r="G1007" s="43"/>
      <c r="H1007" s="43"/>
      <c r="I1007" s="43"/>
      <c r="J1007" s="43"/>
      <c r="K1007" s="639"/>
      <c r="L1007" s="45"/>
    </row>
    <row r="1009" spans="1:12" s="50" customFormat="1" ht="14.4" x14ac:dyDescent="0.3">
      <c r="A1009" s="9" t="s">
        <v>14</v>
      </c>
      <c r="B1009" s="9" t="s">
        <v>74</v>
      </c>
      <c r="C1009" s="9" t="s">
        <v>15</v>
      </c>
      <c r="D1009" s="49"/>
      <c r="E1009" s="49"/>
      <c r="F1009" s="49"/>
      <c r="G1009" s="49"/>
      <c r="H1009" s="49"/>
      <c r="I1009" s="49"/>
      <c r="J1009" s="49"/>
      <c r="K1009" s="347"/>
      <c r="L1009" s="347"/>
    </row>
    <row r="1010" spans="1:12" s="50" customFormat="1" ht="14.4" x14ac:dyDescent="0.3">
      <c r="A1010" s="11" t="s">
        <v>16</v>
      </c>
      <c r="B1010" s="11">
        <v>2016</v>
      </c>
      <c r="C1010" s="51">
        <v>2017</v>
      </c>
      <c r="D1010" s="11">
        <v>2018</v>
      </c>
      <c r="E1010" s="51">
        <v>2019</v>
      </c>
      <c r="F1010" s="11">
        <v>2020</v>
      </c>
      <c r="G1010" s="51">
        <v>2021</v>
      </c>
      <c r="H1010" s="51">
        <v>2022</v>
      </c>
      <c r="I1010" s="51">
        <v>2023</v>
      </c>
      <c r="J1010" s="51">
        <v>2024</v>
      </c>
      <c r="K1010" s="51">
        <v>2025</v>
      </c>
    </row>
    <row r="1011" spans="1:12" s="50" customFormat="1" ht="14.4" x14ac:dyDescent="0.3">
      <c r="A1011" s="11" t="s">
        <v>17</v>
      </c>
      <c r="B1011" s="12">
        <v>10</v>
      </c>
      <c r="C1011" s="12">
        <v>10</v>
      </c>
      <c r="D1011" s="12">
        <v>10</v>
      </c>
      <c r="E1011" s="12">
        <v>10</v>
      </c>
      <c r="F1011" s="12">
        <v>10</v>
      </c>
      <c r="G1011" s="12">
        <v>10</v>
      </c>
      <c r="H1011" s="12">
        <v>10</v>
      </c>
      <c r="I1011" s="12">
        <v>10</v>
      </c>
      <c r="J1011" s="12">
        <v>10</v>
      </c>
      <c r="K1011" s="12">
        <v>10</v>
      </c>
    </row>
    <row r="1012" spans="1:12" s="50" customFormat="1" ht="14.4" x14ac:dyDescent="0.3">
      <c r="A1012" s="11" t="s">
        <v>18</v>
      </c>
      <c r="B1012" s="12"/>
      <c r="C1012" s="12">
        <f>C1011+B1015</f>
        <v>-32.61403</v>
      </c>
      <c r="D1012" s="12">
        <f>D1011+C1015</f>
        <v>-76.433140000000009</v>
      </c>
      <c r="E1012" s="12">
        <f>E1011+D1015</f>
        <v>-128.10641000000001</v>
      </c>
      <c r="F1012" s="12">
        <f>F1011+E1015</f>
        <v>-187.27213</v>
      </c>
      <c r="G1012" s="12">
        <f>G1011+F1015</f>
        <v>-226.22134</v>
      </c>
      <c r="H1012" s="12">
        <f>H1011+(1.25*G1015)</f>
        <v>-295.64792499999999</v>
      </c>
      <c r="I1012" s="12">
        <f>I1011+(H1015)</f>
        <v>-304.77292499999999</v>
      </c>
      <c r="J1012" s="12">
        <f>J1011+(I1015)</f>
        <v>-363.07112499999999</v>
      </c>
      <c r="K1012" s="12">
        <f>K1011+(J1015)</f>
        <v>-379.58112499999999</v>
      </c>
    </row>
    <row r="1013" spans="1:12" s="50" customFormat="1" ht="14.4" x14ac:dyDescent="0.3">
      <c r="A1013" s="11" t="s">
        <v>19</v>
      </c>
      <c r="B1013" s="11"/>
      <c r="C1013" s="11">
        <v>1</v>
      </c>
      <c r="D1013" s="11">
        <v>2</v>
      </c>
      <c r="E1013" s="11">
        <v>3</v>
      </c>
      <c r="F1013" s="11">
        <v>4</v>
      </c>
      <c r="G1013" s="11">
        <v>5</v>
      </c>
      <c r="H1013" s="11">
        <v>6</v>
      </c>
      <c r="I1013" s="11">
        <v>7</v>
      </c>
      <c r="J1013" s="11">
        <v>8</v>
      </c>
      <c r="K1013" s="11">
        <v>9</v>
      </c>
    </row>
    <row r="1014" spans="1:12" s="50" customFormat="1" ht="15" x14ac:dyDescent="0.3">
      <c r="A1014" s="11" t="s">
        <v>20</v>
      </c>
      <c r="B1014" s="348">
        <v>52.61403</v>
      </c>
      <c r="C1014" s="348">
        <v>53.819110000000002</v>
      </c>
      <c r="D1014" s="348">
        <v>61.673270000000002</v>
      </c>
      <c r="E1014" s="348">
        <v>69.165719999999993</v>
      </c>
      <c r="F1014" s="348">
        <v>48.949210000000001</v>
      </c>
      <c r="G1014" s="348">
        <v>18.297000000000001</v>
      </c>
      <c r="H1014" s="348">
        <v>19.125</v>
      </c>
      <c r="I1014" s="349">
        <v>68.298199999999994</v>
      </c>
      <c r="J1014" s="349">
        <v>26.51</v>
      </c>
      <c r="K1014" s="349"/>
    </row>
    <row r="1015" spans="1:12" s="50" customFormat="1" ht="14.4" x14ac:dyDescent="0.3">
      <c r="A1015" s="11" t="s">
        <v>21</v>
      </c>
      <c r="B1015" s="12">
        <f>B1011-B1014</f>
        <v>-42.61403</v>
      </c>
      <c r="C1015" s="12">
        <f>C1012-C1014</f>
        <v>-86.433140000000009</v>
      </c>
      <c r="D1015" s="12">
        <f t="shared" ref="D1015:J1015" si="47">D1012-D1014</f>
        <v>-138.10641000000001</v>
      </c>
      <c r="E1015" s="12">
        <f t="shared" si="47"/>
        <v>-197.27213</v>
      </c>
      <c r="F1015" s="12">
        <f t="shared" si="47"/>
        <v>-236.22134</v>
      </c>
      <c r="G1015" s="12">
        <f t="shared" si="47"/>
        <v>-244.51833999999999</v>
      </c>
      <c r="H1015" s="12">
        <f t="shared" si="47"/>
        <v>-314.77292499999999</v>
      </c>
      <c r="I1015" s="12">
        <f t="shared" si="47"/>
        <v>-373.07112499999999</v>
      </c>
      <c r="J1015" s="12">
        <f t="shared" si="47"/>
        <v>-389.58112499999999</v>
      </c>
      <c r="K1015" s="12"/>
    </row>
    <row r="1016" spans="1:12" s="50" customFormat="1" ht="14.4" x14ac:dyDescent="0.3">
      <c r="A1016" s="62" t="s">
        <v>22</v>
      </c>
      <c r="B1016" s="62">
        <v>2017</v>
      </c>
      <c r="C1016" s="62">
        <v>2018</v>
      </c>
      <c r="D1016" s="62">
        <v>2019</v>
      </c>
      <c r="E1016" s="62">
        <v>2020</v>
      </c>
      <c r="F1016" s="62">
        <v>2021</v>
      </c>
      <c r="G1016" s="62">
        <v>2022</v>
      </c>
      <c r="H1016" s="62">
        <v>2023</v>
      </c>
      <c r="I1016" s="62">
        <v>2024</v>
      </c>
      <c r="J1016" s="62">
        <v>2025</v>
      </c>
      <c r="K1016" s="62">
        <v>2026</v>
      </c>
    </row>
    <row r="1017" spans="1:12" s="50" customFormat="1" ht="14.4" x14ac:dyDescent="0.3">
      <c r="A1017" s="18">
        <v>1</v>
      </c>
      <c r="B1017" s="53" t="s">
        <v>939</v>
      </c>
      <c r="C1017" s="19"/>
      <c r="D1017" s="19"/>
      <c r="E1017" s="19"/>
      <c r="F1017" s="19"/>
      <c r="G1017" s="19"/>
      <c r="H1017" s="19"/>
      <c r="I1017" s="19"/>
      <c r="J1017" s="19"/>
      <c r="K1017" s="55"/>
      <c r="L1017" s="3"/>
    </row>
    <row r="1018" spans="1:12" s="50" customFormat="1" ht="14.4" x14ac:dyDescent="0.3">
      <c r="A1018" s="39">
        <v>2</v>
      </c>
      <c r="B1018" s="49" t="s">
        <v>940</v>
      </c>
      <c r="C1018" s="3"/>
      <c r="D1018" s="3"/>
      <c r="E1018" s="3"/>
      <c r="F1018" s="3"/>
      <c r="G1018" s="3"/>
      <c r="H1018" s="3"/>
      <c r="I1018" s="3"/>
      <c r="J1018" s="3"/>
      <c r="K1018" s="57"/>
      <c r="L1018" s="3"/>
    </row>
    <row r="1019" spans="1:12" s="50" customFormat="1" ht="14.4" x14ac:dyDescent="0.3">
      <c r="A1019" s="39">
        <v>3</v>
      </c>
      <c r="B1019" s="49" t="s">
        <v>941</v>
      </c>
      <c r="C1019" s="3"/>
      <c r="D1019" s="3"/>
      <c r="E1019" s="3"/>
      <c r="F1019" s="3"/>
      <c r="G1019" s="3"/>
      <c r="H1019" s="3"/>
      <c r="I1019" s="3"/>
      <c r="J1019" s="3"/>
      <c r="K1019" s="57"/>
      <c r="L1019" s="3"/>
    </row>
    <row r="1020" spans="1:12" s="50" customFormat="1" ht="14.4" x14ac:dyDescent="0.3">
      <c r="A1020" s="39">
        <v>4</v>
      </c>
      <c r="B1020" s="49" t="s">
        <v>942</v>
      </c>
      <c r="C1020" s="3"/>
      <c r="D1020" s="3"/>
      <c r="E1020" s="3"/>
      <c r="F1020" s="3"/>
      <c r="G1020" s="3"/>
      <c r="H1020" s="3"/>
      <c r="I1020" s="3"/>
      <c r="J1020" s="3"/>
      <c r="K1020" s="57"/>
      <c r="L1020" s="3"/>
    </row>
    <row r="1021" spans="1:12" s="50" customFormat="1" ht="14.4" x14ac:dyDescent="0.3">
      <c r="A1021" s="39">
        <v>5</v>
      </c>
      <c r="B1021" s="49" t="s">
        <v>943</v>
      </c>
      <c r="C1021" s="3"/>
      <c r="D1021" s="3"/>
      <c r="E1021" s="3"/>
      <c r="F1021" s="3"/>
      <c r="G1021" s="3"/>
      <c r="H1021" s="3"/>
      <c r="I1021" s="3"/>
      <c r="J1021" s="3"/>
      <c r="K1021" s="57"/>
      <c r="L1021" s="3"/>
    </row>
    <row r="1022" spans="1:12" s="50" customFormat="1" ht="14.4" x14ac:dyDescent="0.3">
      <c r="A1022" s="39">
        <v>6</v>
      </c>
      <c r="B1022" s="49" t="s">
        <v>944</v>
      </c>
      <c r="C1022" s="3"/>
      <c r="D1022" s="3"/>
      <c r="E1022" s="3"/>
      <c r="F1022" s="3"/>
      <c r="G1022" s="3"/>
      <c r="H1022" s="3"/>
      <c r="I1022" s="3"/>
      <c r="J1022" s="3"/>
      <c r="K1022" s="57"/>
      <c r="L1022" s="3"/>
    </row>
    <row r="1023" spans="1:12" s="50" customFormat="1" ht="14.4" x14ac:dyDescent="0.3">
      <c r="A1023" s="39">
        <v>7</v>
      </c>
      <c r="B1023" s="49" t="s">
        <v>947</v>
      </c>
      <c r="C1023" s="3"/>
      <c r="D1023" s="3"/>
      <c r="E1023" s="3"/>
      <c r="F1023" s="3"/>
      <c r="G1023" s="3"/>
      <c r="H1023" s="3"/>
      <c r="I1023" s="3"/>
      <c r="J1023" s="3"/>
      <c r="K1023" s="57"/>
      <c r="L1023" s="3"/>
    </row>
    <row r="1024" spans="1:12" s="50" customFormat="1" ht="14.4" x14ac:dyDescent="0.3">
      <c r="A1024" s="39">
        <v>8</v>
      </c>
      <c r="B1024" s="49" t="s">
        <v>1088</v>
      </c>
      <c r="C1024" s="3"/>
      <c r="D1024" s="3"/>
      <c r="E1024" s="3"/>
      <c r="F1024" s="3"/>
      <c r="G1024" s="3"/>
      <c r="H1024" s="3"/>
      <c r="I1024" s="3"/>
      <c r="J1024" s="3"/>
      <c r="K1024" s="57"/>
      <c r="L1024" s="3"/>
    </row>
    <row r="1025" spans="1:12" s="59" customFormat="1" ht="14.4" x14ac:dyDescent="0.3">
      <c r="A1025" s="41">
        <v>9</v>
      </c>
      <c r="B1025" s="58" t="s">
        <v>1127</v>
      </c>
      <c r="C1025" s="34"/>
      <c r="D1025" s="34"/>
      <c r="E1025" s="34"/>
      <c r="F1025" s="34"/>
      <c r="G1025" s="34"/>
      <c r="H1025" s="34"/>
      <c r="I1025" s="34"/>
      <c r="J1025" s="34"/>
      <c r="K1025" s="60"/>
      <c r="L1025" s="34"/>
    </row>
    <row r="1027" spans="1:12" s="50" customFormat="1" ht="14.4" x14ac:dyDescent="0.3">
      <c r="A1027" s="9" t="s">
        <v>14</v>
      </c>
      <c r="B1027" s="9" t="s">
        <v>79</v>
      </c>
      <c r="C1027" s="9" t="s">
        <v>15</v>
      </c>
      <c r="D1027" s="49"/>
      <c r="E1027" s="49"/>
      <c r="F1027" s="49"/>
      <c r="G1027" s="49"/>
      <c r="H1027" s="49"/>
      <c r="I1027" s="49"/>
      <c r="J1027" s="49"/>
      <c r="K1027" s="347"/>
      <c r="L1027" s="347"/>
    </row>
    <row r="1028" spans="1:12" s="50" customFormat="1" ht="14.4" x14ac:dyDescent="0.3">
      <c r="A1028" s="11" t="s">
        <v>16</v>
      </c>
      <c r="B1028" s="11">
        <v>2016</v>
      </c>
      <c r="C1028" s="51">
        <v>2017</v>
      </c>
      <c r="D1028" s="11">
        <v>2018</v>
      </c>
      <c r="E1028" s="51">
        <v>2019</v>
      </c>
      <c r="F1028" s="11">
        <v>2020</v>
      </c>
      <c r="G1028" s="51">
        <v>2021</v>
      </c>
      <c r="H1028" s="51">
        <v>2022</v>
      </c>
      <c r="I1028" s="51">
        <v>2023</v>
      </c>
      <c r="J1028" s="51">
        <v>2024</v>
      </c>
      <c r="K1028" s="51">
        <v>2025</v>
      </c>
    </row>
    <row r="1029" spans="1:12" s="50" customFormat="1" ht="14.4" x14ac:dyDescent="0.3">
      <c r="A1029" s="11" t="s">
        <v>17</v>
      </c>
      <c r="B1029" s="12">
        <v>2</v>
      </c>
      <c r="C1029" s="12">
        <v>2</v>
      </c>
      <c r="D1029" s="12">
        <v>2</v>
      </c>
      <c r="E1029" s="12">
        <v>2</v>
      </c>
      <c r="F1029" s="12">
        <v>2</v>
      </c>
      <c r="G1029" s="12">
        <v>2</v>
      </c>
      <c r="H1029" s="12">
        <v>2</v>
      </c>
      <c r="I1029" s="12">
        <v>2</v>
      </c>
      <c r="J1029" s="12">
        <v>2</v>
      </c>
      <c r="K1029" s="12">
        <v>2</v>
      </c>
    </row>
    <row r="1030" spans="1:12" s="50" customFormat="1" ht="14.4" x14ac:dyDescent="0.3">
      <c r="A1030" s="11" t="s">
        <v>18</v>
      </c>
      <c r="B1030" s="12"/>
      <c r="C1030" s="12">
        <f>C1029+B1033</f>
        <v>-11.25929</v>
      </c>
      <c r="D1030" s="12">
        <f>D1029+C1033</f>
        <v>-18.250970000000002</v>
      </c>
      <c r="E1030" s="12">
        <f>E1029+D1033</f>
        <v>-26.929000000000002</v>
      </c>
      <c r="F1030" s="12">
        <f>F1029+E1033</f>
        <v>-43.615989999999996</v>
      </c>
      <c r="G1030" s="12">
        <f>G1029+F1033</f>
        <v>-55.136309999999995</v>
      </c>
      <c r="H1030" s="12">
        <f>H1029+(1.25*G1033)</f>
        <v>-68.606637499999991</v>
      </c>
      <c r="I1030" s="12">
        <f>I1029+(H1033)</f>
        <v>-71.317637499999989</v>
      </c>
      <c r="J1030" s="12">
        <f>J1029+(I1033)</f>
        <v>-81.973067499999985</v>
      </c>
      <c r="K1030" s="12">
        <f>K1029+(J1033)</f>
        <v>-84.527911499999988</v>
      </c>
    </row>
    <row r="1031" spans="1:12" s="50" customFormat="1" ht="14.4" x14ac:dyDescent="0.3">
      <c r="A1031" s="11" t="s">
        <v>19</v>
      </c>
      <c r="B1031" s="11"/>
      <c r="C1031" s="11">
        <v>1</v>
      </c>
      <c r="D1031" s="11">
        <v>2</v>
      </c>
      <c r="E1031" s="11">
        <v>3</v>
      </c>
      <c r="F1031" s="11">
        <v>4</v>
      </c>
      <c r="G1031" s="11">
        <v>5</v>
      </c>
      <c r="H1031" s="11">
        <v>6</v>
      </c>
      <c r="I1031" s="11">
        <v>7</v>
      </c>
      <c r="J1031" s="11">
        <v>8</v>
      </c>
      <c r="K1031" s="11">
        <v>9</v>
      </c>
    </row>
    <row r="1032" spans="1:12" s="50" customFormat="1" ht="15" x14ac:dyDescent="0.3">
      <c r="A1032" s="11" t="s">
        <v>20</v>
      </c>
      <c r="B1032" s="348">
        <v>15.25929</v>
      </c>
      <c r="C1032" s="348">
        <v>8.9916800000000006</v>
      </c>
      <c r="D1032" s="348">
        <v>10.67803</v>
      </c>
      <c r="E1032" s="348">
        <v>18.686989999999998</v>
      </c>
      <c r="F1032" s="348">
        <v>13.52032</v>
      </c>
      <c r="G1032" s="348">
        <v>1.349</v>
      </c>
      <c r="H1032" s="348">
        <v>4.7110000000000003</v>
      </c>
      <c r="I1032" s="349">
        <v>12.655430000000001</v>
      </c>
      <c r="J1032" s="349">
        <v>4.5548440000000001</v>
      </c>
      <c r="K1032" s="349"/>
    </row>
    <row r="1033" spans="1:12" s="50" customFormat="1" ht="14.4" x14ac:dyDescent="0.3">
      <c r="A1033" s="11" t="s">
        <v>21</v>
      </c>
      <c r="B1033" s="12">
        <f>B1029-B1032</f>
        <v>-13.25929</v>
      </c>
      <c r="C1033" s="12">
        <f>C1030-C1032</f>
        <v>-20.250970000000002</v>
      </c>
      <c r="D1033" s="12">
        <f t="shared" ref="D1033:J1033" si="48">D1030-D1032</f>
        <v>-28.929000000000002</v>
      </c>
      <c r="E1033" s="12">
        <f t="shared" si="48"/>
        <v>-45.615989999999996</v>
      </c>
      <c r="F1033" s="12">
        <f t="shared" si="48"/>
        <v>-57.136309999999995</v>
      </c>
      <c r="G1033" s="12">
        <f t="shared" si="48"/>
        <v>-56.485309999999991</v>
      </c>
      <c r="H1033" s="12">
        <f t="shared" si="48"/>
        <v>-73.317637499999989</v>
      </c>
      <c r="I1033" s="12">
        <f t="shared" si="48"/>
        <v>-83.973067499999985</v>
      </c>
      <c r="J1033" s="12">
        <f t="shared" si="48"/>
        <v>-86.527911499999988</v>
      </c>
      <c r="K1033" s="12"/>
    </row>
    <row r="1034" spans="1:12" s="50" customFormat="1" ht="14.4" x14ac:dyDescent="0.3">
      <c r="A1034" s="62" t="s">
        <v>22</v>
      </c>
      <c r="B1034" s="62">
        <v>2017</v>
      </c>
      <c r="C1034" s="62">
        <v>2018</v>
      </c>
      <c r="D1034" s="62">
        <v>2019</v>
      </c>
      <c r="E1034" s="62">
        <v>2020</v>
      </c>
      <c r="F1034" s="62">
        <v>2021</v>
      </c>
      <c r="G1034" s="62">
        <v>2022</v>
      </c>
      <c r="H1034" s="62">
        <v>2023</v>
      </c>
      <c r="I1034" s="62">
        <v>2024</v>
      </c>
      <c r="J1034" s="62">
        <v>2025</v>
      </c>
      <c r="K1034" s="62">
        <v>2026</v>
      </c>
    </row>
    <row r="1035" spans="1:12" s="50" customFormat="1" ht="14.4" x14ac:dyDescent="0.3">
      <c r="A1035" s="18">
        <v>1</v>
      </c>
      <c r="B1035" s="53" t="s">
        <v>939</v>
      </c>
      <c r="C1035" s="19"/>
      <c r="D1035" s="19"/>
      <c r="E1035" s="19"/>
      <c r="F1035" s="19"/>
      <c r="G1035" s="19"/>
      <c r="H1035" s="19"/>
      <c r="I1035" s="19"/>
      <c r="J1035" s="19"/>
      <c r="K1035" s="55"/>
      <c r="L1035" s="3"/>
    </row>
    <row r="1036" spans="1:12" s="50" customFormat="1" ht="14.4" x14ac:dyDescent="0.3">
      <c r="A1036" s="39">
        <v>2</v>
      </c>
      <c r="B1036" s="49" t="s">
        <v>940</v>
      </c>
      <c r="C1036" s="3"/>
      <c r="D1036" s="3"/>
      <c r="E1036" s="3"/>
      <c r="F1036" s="3"/>
      <c r="G1036" s="3"/>
      <c r="H1036" s="3"/>
      <c r="I1036" s="3"/>
      <c r="J1036" s="3"/>
      <c r="K1036" s="57"/>
      <c r="L1036" s="3"/>
    </row>
    <row r="1037" spans="1:12" s="50" customFormat="1" ht="14.4" x14ac:dyDescent="0.3">
      <c r="A1037" s="39">
        <v>3</v>
      </c>
      <c r="B1037" s="49" t="s">
        <v>941</v>
      </c>
      <c r="C1037" s="3"/>
      <c r="D1037" s="3"/>
      <c r="E1037" s="3"/>
      <c r="F1037" s="3"/>
      <c r="G1037" s="3"/>
      <c r="H1037" s="3"/>
      <c r="I1037" s="3"/>
      <c r="J1037" s="3"/>
      <c r="K1037" s="57"/>
      <c r="L1037" s="3"/>
    </row>
    <row r="1038" spans="1:12" s="50" customFormat="1" ht="14.4" x14ac:dyDescent="0.3">
      <c r="A1038" s="39">
        <v>4</v>
      </c>
      <c r="B1038" s="49" t="s">
        <v>942</v>
      </c>
      <c r="C1038" s="3"/>
      <c r="D1038" s="3"/>
      <c r="E1038" s="3"/>
      <c r="F1038" s="3"/>
      <c r="G1038" s="3"/>
      <c r="H1038" s="3"/>
      <c r="I1038" s="3"/>
      <c r="J1038" s="3"/>
      <c r="K1038" s="57"/>
      <c r="L1038" s="3"/>
    </row>
    <row r="1039" spans="1:12" s="50" customFormat="1" ht="14.4" x14ac:dyDescent="0.3">
      <c r="A1039" s="39">
        <v>5</v>
      </c>
      <c r="B1039" s="49" t="s">
        <v>943</v>
      </c>
      <c r="C1039" s="3"/>
      <c r="D1039" s="3"/>
      <c r="E1039" s="3"/>
      <c r="F1039" s="3"/>
      <c r="G1039" s="3"/>
      <c r="H1039" s="3"/>
      <c r="I1039" s="3"/>
      <c r="J1039" s="3"/>
      <c r="K1039" s="57"/>
      <c r="L1039" s="3"/>
    </row>
    <row r="1040" spans="1:12" s="50" customFormat="1" ht="14.4" x14ac:dyDescent="0.3">
      <c r="A1040" s="39">
        <v>6</v>
      </c>
      <c r="B1040" s="49" t="s">
        <v>944</v>
      </c>
      <c r="C1040" s="3"/>
      <c r="D1040" s="3"/>
      <c r="E1040" s="3"/>
      <c r="F1040" s="3"/>
      <c r="G1040" s="3"/>
      <c r="H1040" s="3"/>
      <c r="I1040" s="3"/>
      <c r="J1040" s="3"/>
      <c r="K1040" s="57"/>
      <c r="L1040" s="3"/>
    </row>
    <row r="1041" spans="1:19" s="50" customFormat="1" ht="14.4" x14ac:dyDescent="0.3">
      <c r="A1041" s="39">
        <v>7</v>
      </c>
      <c r="B1041" s="49" t="s">
        <v>945</v>
      </c>
      <c r="C1041" s="3"/>
      <c r="D1041" s="3"/>
      <c r="E1041" s="3"/>
      <c r="F1041" s="3"/>
      <c r="G1041" s="3"/>
      <c r="H1041" s="3"/>
      <c r="I1041" s="3"/>
      <c r="J1041" s="3"/>
      <c r="K1041" s="57"/>
      <c r="L1041" s="3"/>
    </row>
    <row r="1042" spans="1:19" s="50" customFormat="1" ht="14.4" x14ac:dyDescent="0.3">
      <c r="A1042" s="39">
        <v>8</v>
      </c>
      <c r="B1042" s="49" t="s">
        <v>1088</v>
      </c>
      <c r="C1042" s="3"/>
      <c r="D1042" s="3"/>
      <c r="E1042" s="3"/>
      <c r="F1042" s="3"/>
      <c r="G1042" s="3"/>
      <c r="H1042" s="3"/>
      <c r="I1042" s="3"/>
      <c r="J1042" s="3"/>
      <c r="K1042" s="57"/>
      <c r="L1042" s="3"/>
    </row>
    <row r="1043" spans="1:19" s="59" customFormat="1" ht="14.4" x14ac:dyDescent="0.3">
      <c r="A1043" s="41">
        <v>9</v>
      </c>
      <c r="B1043" s="58" t="s">
        <v>1088</v>
      </c>
      <c r="C1043" s="34"/>
      <c r="D1043" s="34"/>
      <c r="E1043" s="34"/>
      <c r="F1043" s="34"/>
      <c r="G1043" s="34"/>
      <c r="H1043" s="34"/>
      <c r="I1043" s="34"/>
      <c r="J1043" s="34"/>
      <c r="K1043" s="60"/>
      <c r="L1043" s="34"/>
    </row>
    <row r="1045" spans="1:19" x14ac:dyDescent="0.25">
      <c r="A1045" s="313"/>
      <c r="C1045" s="346"/>
    </row>
    <row r="1046" spans="1:19" x14ac:dyDescent="0.25">
      <c r="A1046" s="350" t="s">
        <v>12</v>
      </c>
      <c r="B1046" s="351" t="s">
        <v>173</v>
      </c>
      <c r="C1046" s="352" t="s">
        <v>1038</v>
      </c>
      <c r="D1046" s="337"/>
      <c r="E1046" s="337"/>
      <c r="F1046" s="337"/>
      <c r="G1046" s="337"/>
      <c r="H1046" s="337"/>
      <c r="I1046" s="337"/>
      <c r="J1046" s="337"/>
      <c r="K1046" s="337"/>
      <c r="L1046" s="337"/>
    </row>
    <row r="1047" spans="1:19" x14ac:dyDescent="0.25">
      <c r="A1047" s="353" t="s">
        <v>14</v>
      </c>
      <c r="B1047" s="354" t="s">
        <v>624</v>
      </c>
      <c r="C1047" s="351" t="s">
        <v>15</v>
      </c>
      <c r="D1047" s="337"/>
      <c r="E1047" s="337"/>
      <c r="F1047" s="337"/>
      <c r="G1047" s="337"/>
      <c r="H1047" s="337"/>
      <c r="I1047" s="337"/>
      <c r="J1047" s="337"/>
      <c r="K1047" s="337"/>
      <c r="L1047" s="337"/>
    </row>
    <row r="1048" spans="1:19" s="50" customFormat="1" ht="14.4" x14ac:dyDescent="0.3">
      <c r="A1048" s="355" t="s">
        <v>16</v>
      </c>
      <c r="B1048" s="356">
        <v>2009</v>
      </c>
      <c r="C1048" s="357">
        <v>2010</v>
      </c>
      <c r="D1048" s="357">
        <v>2011</v>
      </c>
      <c r="E1048" s="357">
        <v>2012</v>
      </c>
      <c r="F1048" s="357">
        <v>2013</v>
      </c>
      <c r="G1048" s="357">
        <v>2014</v>
      </c>
      <c r="H1048" s="357">
        <v>2015</v>
      </c>
      <c r="I1048" s="357">
        <v>2016</v>
      </c>
      <c r="J1048" s="357">
        <v>2017</v>
      </c>
      <c r="K1048" s="357">
        <v>2018</v>
      </c>
      <c r="L1048" s="357">
        <v>2019</v>
      </c>
      <c r="M1048" s="357">
        <v>2020</v>
      </c>
      <c r="N1048" s="357">
        <v>2021</v>
      </c>
      <c r="O1048" s="357">
        <v>2022</v>
      </c>
      <c r="P1048" s="357">
        <v>2023</v>
      </c>
      <c r="Q1048" s="357">
        <v>2024</v>
      </c>
      <c r="R1048" s="357">
        <v>2025</v>
      </c>
      <c r="S1048" s="357">
        <v>2026</v>
      </c>
    </row>
    <row r="1049" spans="1:19" s="50" customFormat="1" ht="14.4" x14ac:dyDescent="0.3">
      <c r="A1049" s="358" t="s">
        <v>17</v>
      </c>
      <c r="B1049" s="359"/>
      <c r="C1049" s="359"/>
      <c r="D1049" s="359"/>
      <c r="E1049" s="359"/>
      <c r="F1049" s="359"/>
      <c r="G1049" s="359"/>
      <c r="H1049" s="359"/>
      <c r="I1049" s="359"/>
      <c r="J1049" s="359"/>
      <c r="K1049" s="359"/>
      <c r="L1049" s="359"/>
      <c r="M1049" s="359"/>
      <c r="N1049" s="359"/>
      <c r="O1049" s="359"/>
      <c r="P1049" s="359"/>
      <c r="Q1049" s="360"/>
      <c r="R1049" s="360"/>
      <c r="S1049" s="360"/>
    </row>
    <row r="1050" spans="1:19" s="50" customFormat="1" ht="14.4" x14ac:dyDescent="0.3">
      <c r="A1050" s="358" t="s">
        <v>18</v>
      </c>
      <c r="B1050" s="359">
        <v>525.11158760000001</v>
      </c>
      <c r="C1050" s="359">
        <v>516.79334119999999</v>
      </c>
      <c r="D1050" s="359">
        <v>478.68400000000003</v>
      </c>
      <c r="E1050" s="359">
        <v>638.87599999999998</v>
      </c>
      <c r="F1050" s="359">
        <v>573.67999999999995</v>
      </c>
      <c r="G1050" s="359">
        <v>503.80800000000005</v>
      </c>
      <c r="H1050" s="359">
        <v>407.19200000000001</v>
      </c>
      <c r="I1050" s="359">
        <v>449.52</v>
      </c>
      <c r="J1050" s="359">
        <v>394.88799999999998</v>
      </c>
      <c r="K1050" s="359">
        <v>393.98364000000004</v>
      </c>
      <c r="L1050" s="359">
        <v>397.32737956000005</v>
      </c>
      <c r="M1050" s="359">
        <v>371.77199999999999</v>
      </c>
      <c r="N1050" s="359">
        <v>505.18</v>
      </c>
      <c r="O1050" s="359">
        <v>556.85249999999996</v>
      </c>
      <c r="P1050" s="359">
        <v>601.17999999999995</v>
      </c>
      <c r="Q1050" s="361">
        <v>496.62</v>
      </c>
      <c r="R1050" s="360" t="s">
        <v>1131</v>
      </c>
      <c r="S1050" s="360" t="s">
        <v>1131</v>
      </c>
    </row>
    <row r="1051" spans="1:19" s="50" customFormat="1" ht="14.4" x14ac:dyDescent="0.3">
      <c r="A1051" s="358" t="s">
        <v>19</v>
      </c>
      <c r="B1051" s="359"/>
      <c r="C1051" s="359"/>
      <c r="D1051" s="359"/>
      <c r="E1051" s="359"/>
      <c r="F1051" s="359"/>
      <c r="G1051" s="359"/>
      <c r="H1051" s="359"/>
      <c r="I1051" s="359"/>
      <c r="J1051" s="359"/>
      <c r="K1051" s="359"/>
      <c r="L1051" s="359"/>
      <c r="M1051" s="359"/>
      <c r="N1051" s="359"/>
      <c r="O1051" s="359"/>
      <c r="P1051" s="359"/>
      <c r="Q1051" s="361"/>
      <c r="R1051" s="360"/>
      <c r="S1051" s="360"/>
    </row>
    <row r="1052" spans="1:19" s="50" customFormat="1" ht="14.4" x14ac:dyDescent="0.3">
      <c r="A1052" s="358" t="s">
        <v>20</v>
      </c>
      <c r="B1052" s="359">
        <v>419.55900000000003</v>
      </c>
      <c r="C1052" s="359">
        <v>483.41500000000002</v>
      </c>
      <c r="D1052" s="359">
        <v>285.3</v>
      </c>
      <c r="E1052" s="359">
        <v>1822.1</v>
      </c>
      <c r="F1052" s="359">
        <v>266.39999999999998</v>
      </c>
      <c r="G1052" s="359">
        <v>305.2</v>
      </c>
      <c r="H1052" s="359">
        <v>329.8</v>
      </c>
      <c r="I1052" s="359">
        <v>254.9</v>
      </c>
      <c r="J1052" s="359">
        <v>335</v>
      </c>
      <c r="K1052" s="359">
        <v>210.6</v>
      </c>
      <c r="L1052" s="359">
        <v>319.27300000000002</v>
      </c>
      <c r="M1052" s="359">
        <v>282.8</v>
      </c>
      <c r="N1052" s="359">
        <v>223.4</v>
      </c>
      <c r="O1052" s="359">
        <v>241.6</v>
      </c>
      <c r="P1052" s="359">
        <v>219.1</v>
      </c>
      <c r="Q1052" s="361">
        <v>194</v>
      </c>
      <c r="R1052" s="360" t="s">
        <v>1131</v>
      </c>
      <c r="S1052" s="360" t="s">
        <v>1131</v>
      </c>
    </row>
    <row r="1053" spans="1:19" s="50" customFormat="1" ht="14.4" x14ac:dyDescent="0.3">
      <c r="A1053" s="364" t="s">
        <v>21</v>
      </c>
      <c r="B1053" s="606">
        <v>105.55258759999998</v>
      </c>
      <c r="C1053" s="606">
        <v>33.378341199999966</v>
      </c>
      <c r="D1053" s="606">
        <v>193.38400000000001</v>
      </c>
      <c r="E1053" s="607">
        <v>-1183.2239999999999</v>
      </c>
      <c r="F1053" s="606">
        <v>307.28000000000009</v>
      </c>
      <c r="G1053" s="606">
        <v>198.60800000000006</v>
      </c>
      <c r="H1053" s="606">
        <v>77.391999999999996</v>
      </c>
      <c r="I1053" s="606">
        <v>194.61999999999998</v>
      </c>
      <c r="J1053" s="606">
        <v>59.888000000000034</v>
      </c>
      <c r="K1053" s="606">
        <v>183.38364000000004</v>
      </c>
      <c r="L1053" s="606">
        <v>78.054379560000029</v>
      </c>
      <c r="M1053" s="606">
        <v>88.971999999999994</v>
      </c>
      <c r="N1053" s="606">
        <f>N1050-N1052</f>
        <v>281.77999999999997</v>
      </c>
      <c r="O1053" s="606">
        <f>O1050-O1052</f>
        <v>315.25249999999994</v>
      </c>
      <c r="P1053" s="606">
        <v>382.07999999999993</v>
      </c>
      <c r="Q1053" s="608">
        <v>302.62</v>
      </c>
      <c r="R1053" s="609" t="s">
        <v>1131</v>
      </c>
      <c r="S1053" s="609" t="s">
        <v>1131</v>
      </c>
    </row>
    <row r="1054" spans="1:19" s="50" customFormat="1" ht="14.4" x14ac:dyDescent="0.3">
      <c r="A1054" s="364" t="s">
        <v>22</v>
      </c>
      <c r="B1054" s="365"/>
      <c r="C1054" s="365"/>
      <c r="D1054" s="365"/>
      <c r="E1054" s="365"/>
      <c r="F1054" s="365"/>
      <c r="G1054" s="365"/>
      <c r="H1054" s="365"/>
      <c r="I1054" s="365"/>
      <c r="J1054" s="365"/>
      <c r="K1054" s="365"/>
      <c r="L1054" s="365"/>
      <c r="M1054" s="365"/>
      <c r="N1054" s="365"/>
      <c r="O1054" s="365"/>
      <c r="P1054" s="365"/>
      <c r="Q1054" s="54"/>
      <c r="R1054" s="54"/>
      <c r="S1054" s="55"/>
    </row>
    <row r="1055" spans="1:19" s="50" customFormat="1" ht="14.4" x14ac:dyDescent="0.3">
      <c r="A1055" s="364" t="s">
        <v>23</v>
      </c>
      <c r="B1055" s="366"/>
      <c r="C1055" s="366"/>
      <c r="D1055" s="366"/>
      <c r="E1055" s="366"/>
      <c r="F1055" s="366"/>
      <c r="G1055" s="366"/>
      <c r="H1055" s="366"/>
      <c r="I1055" s="366"/>
      <c r="J1055" s="366"/>
      <c r="K1055" s="366"/>
      <c r="L1055" s="366"/>
      <c r="M1055" s="366"/>
      <c r="N1055" s="366"/>
      <c r="O1055" s="366"/>
      <c r="P1055" s="604"/>
      <c r="Q1055" s="54"/>
      <c r="R1055" s="54"/>
      <c r="S1055" s="55"/>
    </row>
    <row r="1056" spans="1:19" s="50" customFormat="1" ht="14.4" x14ac:dyDescent="0.3">
      <c r="A1056" s="367" t="s">
        <v>174</v>
      </c>
      <c r="B1056" s="337"/>
      <c r="C1056" s="337"/>
      <c r="D1056" s="337"/>
      <c r="E1056" s="337"/>
      <c r="F1056" s="337"/>
      <c r="G1056" s="337"/>
      <c r="H1056" s="337"/>
      <c r="I1056" s="337"/>
      <c r="J1056" s="337"/>
      <c r="K1056" s="337"/>
      <c r="L1056" s="337"/>
      <c r="M1056" s="337"/>
      <c r="N1056" s="337"/>
      <c r="O1056" s="337"/>
      <c r="P1056" s="605"/>
      <c r="S1056" s="57"/>
    </row>
    <row r="1057" spans="1:19" s="50" customFormat="1" ht="14.4" x14ac:dyDescent="0.3">
      <c r="A1057" s="39" t="s">
        <v>220</v>
      </c>
      <c r="B1057" s="337"/>
      <c r="C1057" s="337"/>
      <c r="D1057" s="337"/>
      <c r="E1057" s="337"/>
      <c r="F1057" s="337"/>
      <c r="G1057" s="337"/>
      <c r="H1057" s="337"/>
      <c r="I1057" s="337"/>
      <c r="J1057" s="337"/>
      <c r="K1057" s="337"/>
      <c r="L1057" s="337"/>
      <c r="M1057" s="337"/>
      <c r="N1057" s="337"/>
      <c r="O1057" s="337"/>
      <c r="P1057" s="605"/>
      <c r="S1057" s="57"/>
    </row>
    <row r="1058" spans="1:19" s="50" customFormat="1" ht="14.4" x14ac:dyDescent="0.3">
      <c r="A1058" s="367" t="s">
        <v>270</v>
      </c>
      <c r="B1058" s="337"/>
      <c r="C1058" s="337"/>
      <c r="D1058" s="337"/>
      <c r="E1058" s="337"/>
      <c r="F1058" s="337"/>
      <c r="G1058" s="337"/>
      <c r="H1058" s="337"/>
      <c r="I1058" s="337"/>
      <c r="J1058" s="337"/>
      <c r="K1058" s="337"/>
      <c r="L1058" s="337"/>
      <c r="M1058" s="337"/>
      <c r="N1058" s="337"/>
      <c r="O1058" s="337"/>
      <c r="P1058" s="605"/>
      <c r="S1058" s="57"/>
    </row>
    <row r="1059" spans="1:19" s="50" customFormat="1" ht="14.4" x14ac:dyDescent="0.3">
      <c r="A1059" s="367" t="s">
        <v>460</v>
      </c>
      <c r="B1059" s="337"/>
      <c r="C1059" s="337"/>
      <c r="D1059" s="337"/>
      <c r="E1059" s="337"/>
      <c r="F1059" s="337"/>
      <c r="G1059" s="337"/>
      <c r="H1059" s="337"/>
      <c r="I1059" s="337"/>
      <c r="J1059" s="337"/>
      <c r="K1059" s="337"/>
      <c r="L1059" s="337"/>
      <c r="M1059" s="337"/>
      <c r="N1059" s="337"/>
      <c r="O1059" s="337"/>
      <c r="P1059" s="605"/>
      <c r="S1059" s="57"/>
    </row>
    <row r="1060" spans="1:19" s="50" customFormat="1" ht="14.4" x14ac:dyDescent="0.3">
      <c r="A1060" s="367" t="s">
        <v>707</v>
      </c>
      <c r="B1060" s="337"/>
      <c r="C1060" s="337"/>
      <c r="D1060" s="337"/>
      <c r="E1060" s="337"/>
      <c r="F1060" s="337"/>
      <c r="G1060" s="337"/>
      <c r="H1060" s="337"/>
      <c r="I1060" s="337"/>
      <c r="J1060" s="337"/>
      <c r="K1060" s="337"/>
      <c r="L1060" s="337"/>
      <c r="M1060" s="337"/>
      <c r="N1060" s="337"/>
      <c r="O1060" s="337"/>
      <c r="P1060" s="605"/>
      <c r="S1060" s="57"/>
    </row>
    <row r="1061" spans="1:19" s="50" customFormat="1" ht="14.4" x14ac:dyDescent="0.3">
      <c r="A1061" s="367" t="s">
        <v>805</v>
      </c>
      <c r="B1061" s="337"/>
      <c r="C1061" s="337"/>
      <c r="D1061" s="337"/>
      <c r="E1061" s="337"/>
      <c r="F1061" s="337"/>
      <c r="G1061" s="337"/>
      <c r="H1061" s="337"/>
      <c r="I1061" s="337"/>
      <c r="J1061" s="337"/>
      <c r="K1061" s="337"/>
      <c r="L1061" s="337"/>
      <c r="M1061" s="337"/>
      <c r="N1061" s="337"/>
      <c r="O1061" s="337"/>
      <c r="P1061" s="605"/>
      <c r="S1061" s="57"/>
    </row>
    <row r="1062" spans="1:19" s="50" customFormat="1" ht="14.4" x14ac:dyDescent="0.3">
      <c r="A1062" s="367" t="s">
        <v>1031</v>
      </c>
      <c r="B1062" s="337"/>
      <c r="C1062" s="337"/>
      <c r="D1062" s="337"/>
      <c r="E1062" s="337"/>
      <c r="F1062" s="337"/>
      <c r="G1062" s="337"/>
      <c r="H1062" s="337"/>
      <c r="I1062" s="337"/>
      <c r="J1062" s="337"/>
      <c r="K1062" s="337"/>
      <c r="L1062" s="337"/>
      <c r="M1062" s="337"/>
      <c r="N1062" s="337"/>
      <c r="O1062" s="337"/>
      <c r="P1062" s="605"/>
      <c r="S1062" s="57"/>
    </row>
    <row r="1063" spans="1:19" s="50" customFormat="1" ht="14.4" x14ac:dyDescent="0.3">
      <c r="A1063" s="367" t="s">
        <v>1173</v>
      </c>
      <c r="B1063" s="337"/>
      <c r="C1063" s="337"/>
      <c r="D1063" s="337"/>
      <c r="E1063" s="337"/>
      <c r="F1063" s="337"/>
      <c r="G1063" s="337"/>
      <c r="H1063" s="337"/>
      <c r="I1063" s="337"/>
      <c r="J1063" s="337"/>
      <c r="K1063" s="337"/>
      <c r="L1063" s="337"/>
      <c r="M1063" s="337"/>
      <c r="N1063" s="337"/>
      <c r="O1063" s="337"/>
      <c r="P1063" s="605"/>
      <c r="S1063" s="57"/>
    </row>
    <row r="1064" spans="1:19" s="50" customFormat="1" ht="14.4" x14ac:dyDescent="0.3">
      <c r="A1064" s="367" t="s">
        <v>1174</v>
      </c>
      <c r="B1064" s="337"/>
      <c r="C1064" s="337"/>
      <c r="D1064" s="337"/>
      <c r="E1064" s="337"/>
      <c r="F1064" s="337"/>
      <c r="G1064" s="337"/>
      <c r="H1064" s="337"/>
      <c r="I1064" s="337"/>
      <c r="J1064" s="337"/>
      <c r="K1064" s="337"/>
      <c r="L1064" s="337"/>
      <c r="M1064" s="337"/>
      <c r="N1064" s="337"/>
      <c r="O1064" s="337"/>
      <c r="P1064" s="605"/>
      <c r="S1064" s="57"/>
    </row>
    <row r="1065" spans="1:19" s="409" customFormat="1" ht="13.8" x14ac:dyDescent="0.3">
      <c r="A1065" s="424" t="s">
        <v>1224</v>
      </c>
      <c r="B1065" s="337"/>
      <c r="C1065" s="337"/>
      <c r="D1065" s="337"/>
      <c r="E1065" s="337"/>
      <c r="F1065" s="337"/>
      <c r="G1065" s="337"/>
      <c r="H1065" s="337"/>
      <c r="I1065" s="337"/>
      <c r="J1065" s="337"/>
      <c r="K1065" s="337"/>
      <c r="L1065" s="3"/>
      <c r="M1065" s="3"/>
      <c r="N1065" s="337"/>
      <c r="O1065" s="337"/>
      <c r="S1065" s="603"/>
    </row>
    <row r="1066" spans="1:19" s="50" customFormat="1" ht="14.4" x14ac:dyDescent="0.3">
      <c r="A1066" s="367"/>
      <c r="B1066" s="337"/>
      <c r="C1066" s="337"/>
      <c r="D1066" s="337"/>
      <c r="E1066" s="337"/>
      <c r="F1066" s="337" t="s">
        <v>175</v>
      </c>
      <c r="G1066" s="337"/>
      <c r="H1066" s="337"/>
      <c r="I1066" s="337"/>
      <c r="J1066" s="337"/>
      <c r="K1066" s="337"/>
      <c r="L1066" s="337"/>
      <c r="M1066" s="337"/>
      <c r="N1066" s="337"/>
      <c r="O1066" s="337"/>
      <c r="P1066" s="605"/>
      <c r="S1066" s="57"/>
    </row>
    <row r="1067" spans="1:19" s="50" customFormat="1" ht="14.4" x14ac:dyDescent="0.3">
      <c r="A1067" s="367"/>
      <c r="B1067" s="368" t="s">
        <v>176</v>
      </c>
      <c r="C1067" s="369">
        <v>1.6354139265717185E-2</v>
      </c>
      <c r="D1067" s="3"/>
      <c r="E1067" s="337"/>
      <c r="F1067" s="337" t="s">
        <v>177</v>
      </c>
      <c r="G1067" s="370">
        <v>2019</v>
      </c>
      <c r="H1067" s="370">
        <v>2020</v>
      </c>
      <c r="I1067" s="370">
        <v>2021</v>
      </c>
      <c r="J1067" s="370">
        <v>2022</v>
      </c>
      <c r="K1067" s="370">
        <v>2023</v>
      </c>
      <c r="L1067" s="370">
        <v>2024</v>
      </c>
      <c r="M1067" s="370">
        <v>2025</v>
      </c>
      <c r="N1067" s="337">
        <v>2026</v>
      </c>
      <c r="O1067" s="337"/>
      <c r="P1067" s="605"/>
      <c r="S1067" s="57"/>
    </row>
    <row r="1068" spans="1:19" s="50" customFormat="1" ht="14.4" x14ac:dyDescent="0.3">
      <c r="A1068" s="367"/>
      <c r="B1068" s="337"/>
      <c r="C1068" s="337"/>
      <c r="D1068" s="337"/>
      <c r="E1068" s="337"/>
      <c r="F1068" s="337" t="s">
        <v>14</v>
      </c>
      <c r="G1068" s="370" t="s">
        <v>66</v>
      </c>
      <c r="H1068" s="370" t="s">
        <v>66</v>
      </c>
      <c r="I1068" s="370" t="s">
        <v>66</v>
      </c>
      <c r="J1068" s="370" t="s">
        <v>66</v>
      </c>
      <c r="K1068" s="370" t="s">
        <v>66</v>
      </c>
      <c r="L1068" s="370" t="s">
        <v>66</v>
      </c>
      <c r="M1068" s="370" t="s">
        <v>66</v>
      </c>
      <c r="N1068" s="337" t="s">
        <v>66</v>
      </c>
      <c r="O1068" s="337"/>
      <c r="P1068" s="605"/>
      <c r="S1068" s="57"/>
    </row>
    <row r="1069" spans="1:19" s="50" customFormat="1" ht="14.4" x14ac:dyDescent="0.3">
      <c r="A1069" s="367"/>
      <c r="B1069" s="337"/>
      <c r="C1069" s="337"/>
      <c r="D1069" s="337"/>
      <c r="E1069" s="337"/>
      <c r="F1069" s="337" t="s">
        <v>178</v>
      </c>
      <c r="G1069" s="611">
        <v>9933.1844890000011</v>
      </c>
      <c r="H1069" s="611">
        <v>9294.2999999999993</v>
      </c>
      <c r="I1069" s="611">
        <v>11226.4</v>
      </c>
      <c r="J1069" s="611">
        <v>12374.5</v>
      </c>
      <c r="K1069" s="611">
        <v>13359.6</v>
      </c>
      <c r="L1069" s="370">
        <v>11036</v>
      </c>
      <c r="M1069" s="370" t="s">
        <v>1131</v>
      </c>
      <c r="N1069" s="337" t="s">
        <v>1131</v>
      </c>
      <c r="O1069" s="337"/>
      <c r="P1069" s="605"/>
      <c r="S1069" s="57"/>
    </row>
    <row r="1070" spans="1:19" s="50" customFormat="1" ht="14.4" x14ac:dyDescent="0.3">
      <c r="A1070" s="355"/>
      <c r="B1070" s="371"/>
      <c r="C1070" s="371"/>
      <c r="D1070" s="371"/>
      <c r="E1070" s="371"/>
      <c r="F1070" s="371"/>
      <c r="G1070" s="371"/>
      <c r="H1070" s="371"/>
      <c r="I1070" s="371"/>
      <c r="J1070" s="371"/>
      <c r="K1070" s="371"/>
      <c r="L1070" s="371"/>
      <c r="M1070" s="371"/>
      <c r="N1070" s="371"/>
      <c r="O1070" s="371"/>
      <c r="P1070" s="372"/>
      <c r="Q1070" s="59"/>
      <c r="R1070" s="59"/>
      <c r="S1070" s="60"/>
    </row>
    <row r="1071" spans="1:19" x14ac:dyDescent="0.25">
      <c r="A1071" s="313"/>
      <c r="C1071" s="346"/>
    </row>
    <row r="1072" spans="1:19" x14ac:dyDescent="0.25">
      <c r="A1072" s="350" t="s">
        <v>14</v>
      </c>
      <c r="B1072" s="351" t="s">
        <v>638</v>
      </c>
      <c r="C1072" s="351" t="s">
        <v>15</v>
      </c>
      <c r="D1072" s="337"/>
      <c r="E1072" s="337"/>
      <c r="F1072" s="337"/>
      <c r="G1072" s="337"/>
      <c r="H1072" s="337"/>
      <c r="I1072" s="337"/>
      <c r="J1072" s="337"/>
      <c r="K1072" s="337"/>
      <c r="L1072" s="337"/>
      <c r="M1072" s="337"/>
      <c r="N1072" s="337"/>
      <c r="O1072" s="337"/>
      <c r="P1072" s="337"/>
      <c r="Q1072" s="337"/>
      <c r="R1072" s="337"/>
    </row>
    <row r="1073" spans="1:19" s="373" customFormat="1" ht="13.8" x14ac:dyDescent="0.25">
      <c r="A1073" s="355" t="s">
        <v>16</v>
      </c>
      <c r="B1073" s="356">
        <v>2009</v>
      </c>
      <c r="C1073" s="357">
        <v>2010</v>
      </c>
      <c r="D1073" s="357">
        <v>2011</v>
      </c>
      <c r="E1073" s="357">
        <v>2012</v>
      </c>
      <c r="F1073" s="357">
        <v>2013</v>
      </c>
      <c r="G1073" s="357">
        <v>2014</v>
      </c>
      <c r="H1073" s="357">
        <v>2015</v>
      </c>
      <c r="I1073" s="357">
        <v>2016</v>
      </c>
      <c r="J1073" s="357">
        <v>2017</v>
      </c>
      <c r="K1073" s="357">
        <v>2018</v>
      </c>
      <c r="L1073" s="357">
        <v>2019</v>
      </c>
      <c r="M1073" s="357">
        <v>2020</v>
      </c>
      <c r="N1073" s="357">
        <v>2021</v>
      </c>
      <c r="O1073" s="357">
        <v>2022</v>
      </c>
      <c r="P1073" s="357">
        <v>2023</v>
      </c>
      <c r="Q1073" s="357">
        <v>2024</v>
      </c>
      <c r="R1073" s="357">
        <v>2025</v>
      </c>
      <c r="S1073" s="357">
        <v>2026</v>
      </c>
    </row>
    <row r="1074" spans="1:19" s="373" customFormat="1" ht="13.8" x14ac:dyDescent="0.25">
      <c r="A1074" s="358" t="s">
        <v>17</v>
      </c>
      <c r="B1074" s="374"/>
      <c r="C1074" s="374"/>
      <c r="D1074" s="374"/>
      <c r="E1074" s="374"/>
      <c r="F1074" s="374"/>
      <c r="G1074" s="374">
        <v>1355</v>
      </c>
      <c r="H1074" s="374">
        <v>1355</v>
      </c>
      <c r="I1074" s="374">
        <v>1355</v>
      </c>
      <c r="J1074" s="374">
        <v>1355</v>
      </c>
      <c r="K1074" s="374">
        <v>1355</v>
      </c>
      <c r="L1074" s="374">
        <v>1355</v>
      </c>
      <c r="M1074" s="374">
        <v>1355</v>
      </c>
      <c r="N1074" s="374">
        <v>1355</v>
      </c>
      <c r="O1074" s="374">
        <v>1355</v>
      </c>
      <c r="P1074" s="374">
        <v>1630</v>
      </c>
      <c r="Q1074" s="374">
        <v>1630</v>
      </c>
      <c r="R1074" s="374">
        <v>1630</v>
      </c>
      <c r="S1074" s="374">
        <v>1630</v>
      </c>
    </row>
    <row r="1075" spans="1:19" s="373" customFormat="1" ht="13.8" x14ac:dyDescent="0.25">
      <c r="A1075" s="358" t="s">
        <v>18</v>
      </c>
      <c r="B1075" s="374">
        <v>237.31834029985683</v>
      </c>
      <c r="C1075" s="374">
        <v>315.5295404143024</v>
      </c>
      <c r="D1075" s="374">
        <v>275.05599999999998</v>
      </c>
      <c r="E1075" s="374">
        <v>415.68</v>
      </c>
      <c r="F1075" s="374">
        <v>341.67599999999999</v>
      </c>
      <c r="G1075" s="374">
        <v>1725</v>
      </c>
      <c r="H1075" s="374">
        <v>1555</v>
      </c>
      <c r="I1075" s="374">
        <v>1693.75</v>
      </c>
      <c r="J1075" s="374">
        <v>1717.1</v>
      </c>
      <c r="K1075" s="374">
        <v>1893.75</v>
      </c>
      <c r="L1075" s="374">
        <v>1936.3</v>
      </c>
      <c r="M1075" s="374">
        <v>2693.75</v>
      </c>
      <c r="N1075" s="374">
        <f>N1074+0.25*L1074</f>
        <v>1693.75</v>
      </c>
      <c r="O1075" s="374">
        <v>1693.75</v>
      </c>
      <c r="P1075" s="374">
        <f>P1074+N1078+300</f>
        <v>2136.15</v>
      </c>
      <c r="Q1075" s="374">
        <f>Q1074+O1078+100+100+100</f>
        <v>1882.55</v>
      </c>
      <c r="R1075" s="374">
        <f>R1074+P1078+100+100+100+148.15</f>
        <v>2337.5000000000005</v>
      </c>
      <c r="S1075" s="374">
        <v>2337.5</v>
      </c>
    </row>
    <row r="1076" spans="1:19" s="373" customFormat="1" ht="13.8" x14ac:dyDescent="0.25">
      <c r="A1076" s="358" t="s">
        <v>19</v>
      </c>
      <c r="B1076" s="374"/>
      <c r="C1076" s="374"/>
      <c r="D1076" s="374"/>
      <c r="E1076" s="374"/>
      <c r="F1076" s="374"/>
      <c r="G1076" s="374"/>
      <c r="H1076" s="374"/>
      <c r="I1076" s="374"/>
      <c r="J1076" s="374"/>
      <c r="K1076" s="374"/>
      <c r="L1076" s="374"/>
      <c r="M1076" s="374"/>
      <c r="N1076" s="374"/>
      <c r="O1076" s="374"/>
      <c r="P1076" s="374"/>
      <c r="Q1076" s="374"/>
      <c r="R1076" s="374"/>
      <c r="S1076" s="374"/>
    </row>
    <row r="1077" spans="1:19" s="373" customFormat="1" ht="13.8" x14ac:dyDescent="0.25">
      <c r="A1077" s="358" t="s">
        <v>20</v>
      </c>
      <c r="B1077" s="374">
        <v>958.10900000000004</v>
      </c>
      <c r="C1077" s="374">
        <v>1217.827</v>
      </c>
      <c r="D1077" s="374">
        <v>1776.4</v>
      </c>
      <c r="E1077" s="374">
        <v>3550.6</v>
      </c>
      <c r="F1077" s="374">
        <v>1713.8</v>
      </c>
      <c r="G1077" s="374">
        <v>1198.9000000000001</v>
      </c>
      <c r="H1077" s="374">
        <v>1392.9</v>
      </c>
      <c r="I1077" s="374">
        <v>1212.8</v>
      </c>
      <c r="J1077" s="374">
        <v>2135.8000000000002</v>
      </c>
      <c r="K1077" s="374">
        <v>1654.5</v>
      </c>
      <c r="L1077" s="374">
        <v>1465.57</v>
      </c>
      <c r="M1077" s="374">
        <v>1621.8</v>
      </c>
      <c r="N1077" s="374">
        <v>1487.6</v>
      </c>
      <c r="O1077" s="374">
        <v>1741.2</v>
      </c>
      <c r="P1077" s="374">
        <v>1876.8</v>
      </c>
      <c r="Q1077" s="374">
        <v>1861.5</v>
      </c>
      <c r="R1077" s="374" t="s">
        <v>1131</v>
      </c>
      <c r="S1077" s="374"/>
    </row>
    <row r="1078" spans="1:19" s="373" customFormat="1" ht="13.8" x14ac:dyDescent="0.25">
      <c r="A1078" s="358" t="s">
        <v>21</v>
      </c>
      <c r="B1078" s="374">
        <v>-720.79065970014324</v>
      </c>
      <c r="C1078" s="374">
        <v>-902.29745958569765</v>
      </c>
      <c r="D1078" s="374">
        <v>-1501.3440000000001</v>
      </c>
      <c r="E1078" s="374">
        <v>-3134.92</v>
      </c>
      <c r="F1078" s="374">
        <v>-1372.124</v>
      </c>
      <c r="G1078" s="374">
        <v>526.09999999999991</v>
      </c>
      <c r="H1078" s="374">
        <v>162.09999999999991</v>
      </c>
      <c r="I1078" s="374">
        <v>480.95000000000005</v>
      </c>
      <c r="J1078" s="374">
        <v>-418.70000000000027</v>
      </c>
      <c r="K1078" s="374">
        <v>239.25</v>
      </c>
      <c r="L1078" s="374">
        <v>470.73</v>
      </c>
      <c r="M1078" s="374">
        <v>1071.95</v>
      </c>
      <c r="N1078" s="374">
        <f>N1075-N1077</f>
        <v>206.15000000000009</v>
      </c>
      <c r="O1078" s="374">
        <f>O1075-O1077</f>
        <v>-47.450000000000045</v>
      </c>
      <c r="P1078" s="374">
        <f>P1075-P1077</f>
        <v>259.35000000000014</v>
      </c>
      <c r="Q1078" s="374">
        <v>21.049999999999955</v>
      </c>
      <c r="R1078" s="374" t="s">
        <v>1131</v>
      </c>
      <c r="S1078" s="374"/>
    </row>
    <row r="1079" spans="1:19" s="373" customFormat="1" ht="13.8" x14ac:dyDescent="0.25">
      <c r="A1079" s="362" t="s">
        <v>22</v>
      </c>
      <c r="B1079" s="375"/>
      <c r="C1079" s="375"/>
      <c r="D1079" s="375"/>
      <c r="E1079" s="375"/>
      <c r="F1079" s="375"/>
      <c r="G1079" s="376">
        <v>2016</v>
      </c>
      <c r="H1079" s="376">
        <v>2017</v>
      </c>
      <c r="I1079" s="376">
        <v>2018</v>
      </c>
      <c r="J1079" s="376">
        <v>2019</v>
      </c>
      <c r="K1079" s="376">
        <v>2020</v>
      </c>
      <c r="L1079" s="376">
        <v>2021</v>
      </c>
      <c r="M1079" s="376">
        <v>2022</v>
      </c>
      <c r="N1079" s="376">
        <v>2023</v>
      </c>
      <c r="O1079" s="376">
        <v>2024</v>
      </c>
      <c r="P1079" s="376">
        <v>2025</v>
      </c>
      <c r="Q1079" s="376">
        <v>2026</v>
      </c>
      <c r="R1079" s="376">
        <v>2027</v>
      </c>
      <c r="S1079" s="376">
        <v>2028</v>
      </c>
    </row>
    <row r="1080" spans="1:19" s="373" customFormat="1" ht="13.8" x14ac:dyDescent="0.25">
      <c r="A1080" s="377" t="s">
        <v>179</v>
      </c>
      <c r="B1080" s="378"/>
      <c r="C1080" s="378"/>
      <c r="D1080" s="378"/>
      <c r="E1080" s="378"/>
      <c r="F1080" s="378"/>
      <c r="G1080" s="378"/>
      <c r="H1080" s="378"/>
      <c r="I1080" s="378"/>
      <c r="J1080" s="378"/>
      <c r="K1080" s="378"/>
      <c r="L1080" s="378"/>
      <c r="M1080" s="378"/>
      <c r="N1080" s="378"/>
      <c r="O1080" s="378"/>
      <c r="P1080" s="378"/>
      <c r="Q1080" s="378"/>
      <c r="R1080" s="378"/>
      <c r="S1080" s="379"/>
    </row>
    <row r="1081" spans="1:19" s="373" customFormat="1" ht="13.8" x14ac:dyDescent="0.25">
      <c r="A1081" s="364" t="s">
        <v>180</v>
      </c>
      <c r="B1081" s="366"/>
      <c r="C1081" s="366"/>
      <c r="D1081" s="366"/>
      <c r="E1081" s="366"/>
      <c r="F1081" s="366"/>
      <c r="G1081" s="366"/>
      <c r="H1081" s="366"/>
      <c r="I1081" s="366"/>
      <c r="J1081" s="366"/>
      <c r="K1081" s="366"/>
      <c r="L1081" s="366"/>
      <c r="M1081" s="366"/>
      <c r="N1081" s="366"/>
      <c r="O1081" s="366"/>
      <c r="P1081" s="366"/>
      <c r="Q1081" s="366"/>
      <c r="R1081" s="366"/>
      <c r="S1081" s="380"/>
    </row>
    <row r="1082" spans="1:19" s="373" customFormat="1" ht="13.8" x14ac:dyDescent="0.25">
      <c r="A1082" s="367" t="s">
        <v>181</v>
      </c>
      <c r="B1082" s="337"/>
      <c r="C1082" s="337"/>
      <c r="D1082" s="337"/>
      <c r="E1082" s="337"/>
      <c r="F1082" s="337"/>
      <c r="G1082" s="337"/>
      <c r="H1082" s="337"/>
      <c r="I1082" s="337"/>
      <c r="J1082" s="337"/>
      <c r="K1082" s="337"/>
      <c r="L1082" s="337"/>
      <c r="M1082" s="337"/>
      <c r="N1082" s="337"/>
      <c r="O1082" s="337"/>
      <c r="P1082" s="337"/>
      <c r="Q1082" s="337"/>
      <c r="R1082" s="337"/>
      <c r="S1082" s="381"/>
    </row>
    <row r="1083" spans="1:19" s="373" customFormat="1" ht="13.8" x14ac:dyDescent="0.25">
      <c r="A1083" s="367" t="s">
        <v>182</v>
      </c>
      <c r="B1083" s="337"/>
      <c r="C1083" s="337"/>
      <c r="D1083" s="337"/>
      <c r="E1083" s="337"/>
      <c r="F1083" s="337"/>
      <c r="G1083" s="337"/>
      <c r="H1083" s="337"/>
      <c r="I1083" s="337"/>
      <c r="J1083" s="337"/>
      <c r="K1083" s="337"/>
      <c r="L1083" s="337"/>
      <c r="M1083" s="337"/>
      <c r="N1083" s="337"/>
      <c r="O1083" s="337"/>
      <c r="P1083" s="337"/>
      <c r="Q1083" s="337"/>
      <c r="R1083" s="337"/>
      <c r="S1083" s="381"/>
    </row>
    <row r="1084" spans="1:19" s="373" customFormat="1" ht="13.8" x14ac:dyDescent="0.25">
      <c r="A1084" s="367" t="s">
        <v>183</v>
      </c>
      <c r="B1084" s="368"/>
      <c r="C1084" s="370"/>
      <c r="D1084" s="369"/>
      <c r="E1084" s="337"/>
      <c r="F1084" s="337"/>
      <c r="G1084" s="370"/>
      <c r="H1084" s="337"/>
      <c r="I1084" s="337"/>
      <c r="J1084" s="337"/>
      <c r="K1084" s="337"/>
      <c r="L1084" s="337"/>
      <c r="M1084" s="337"/>
      <c r="N1084" s="337"/>
      <c r="O1084" s="337"/>
      <c r="P1084" s="337"/>
      <c r="Q1084" s="337"/>
      <c r="R1084" s="337"/>
      <c r="S1084" s="381"/>
    </row>
    <row r="1085" spans="1:19" s="373" customFormat="1" ht="13.8" x14ac:dyDescent="0.25">
      <c r="A1085" s="367" t="s">
        <v>184</v>
      </c>
      <c r="B1085" s="337"/>
      <c r="C1085" s="337"/>
      <c r="D1085" s="337"/>
      <c r="E1085" s="337"/>
      <c r="F1085" s="337"/>
      <c r="G1085" s="337"/>
      <c r="H1085" s="337"/>
      <c r="I1085" s="337"/>
      <c r="J1085" s="337"/>
      <c r="K1085" s="337"/>
      <c r="L1085" s="337"/>
      <c r="M1085" s="337"/>
      <c r="N1085" s="337"/>
      <c r="O1085" s="337"/>
      <c r="P1085" s="337"/>
      <c r="Q1085" s="337"/>
      <c r="R1085" s="337"/>
      <c r="S1085" s="381"/>
    </row>
    <row r="1086" spans="1:19" s="373" customFormat="1" ht="13.8" x14ac:dyDescent="0.25">
      <c r="A1086" s="367" t="s">
        <v>185</v>
      </c>
      <c r="B1086" s="337"/>
      <c r="C1086" s="337"/>
      <c r="D1086" s="337"/>
      <c r="E1086" s="337"/>
      <c r="F1086" s="337"/>
      <c r="G1086" s="337"/>
      <c r="H1086" s="337"/>
      <c r="I1086" s="337"/>
      <c r="J1086" s="337"/>
      <c r="K1086" s="337"/>
      <c r="L1086" s="337"/>
      <c r="M1086" s="337"/>
      <c r="N1086" s="337"/>
      <c r="O1086" s="337"/>
      <c r="P1086" s="337"/>
      <c r="Q1086" s="337"/>
      <c r="R1086" s="337"/>
      <c r="S1086" s="381"/>
    </row>
    <row r="1087" spans="1:19" s="373" customFormat="1" ht="13.8" x14ac:dyDescent="0.25">
      <c r="A1087" s="382" t="s">
        <v>221</v>
      </c>
      <c r="B1087" s="337"/>
      <c r="C1087" s="337"/>
      <c r="D1087" s="337"/>
      <c r="E1087" s="337"/>
      <c r="F1087" s="337"/>
      <c r="G1087" s="337"/>
      <c r="H1087" s="337"/>
      <c r="I1087" s="337"/>
      <c r="J1087" s="337"/>
      <c r="K1087" s="337"/>
      <c r="L1087" s="337"/>
      <c r="M1087" s="337"/>
      <c r="N1087" s="337"/>
      <c r="O1087" s="337"/>
      <c r="P1087" s="337"/>
      <c r="Q1087" s="337"/>
      <c r="R1087" s="337"/>
      <c r="S1087" s="381"/>
    </row>
    <row r="1088" spans="1:19" s="373" customFormat="1" ht="13.8" x14ac:dyDescent="0.25">
      <c r="A1088" s="367" t="s">
        <v>222</v>
      </c>
      <c r="B1088" s="337"/>
      <c r="C1088" s="337"/>
      <c r="D1088" s="337"/>
      <c r="E1088" s="337"/>
      <c r="F1088" s="337"/>
      <c r="G1088" s="370"/>
      <c r="H1088" s="337"/>
      <c r="I1088" s="337"/>
      <c r="J1088" s="337"/>
      <c r="K1088" s="337"/>
      <c r="L1088" s="337"/>
      <c r="M1088" s="337"/>
      <c r="N1088" s="337"/>
      <c r="O1088" s="337"/>
      <c r="P1088" s="337"/>
      <c r="Q1088" s="337"/>
      <c r="R1088" s="337"/>
      <c r="S1088" s="381"/>
    </row>
    <row r="1089" spans="1:19" s="385" customFormat="1" x14ac:dyDescent="0.25">
      <c r="A1089" s="367" t="s">
        <v>223</v>
      </c>
      <c r="B1089" s="352"/>
      <c r="C1089" s="352"/>
      <c r="D1089" s="352"/>
      <c r="E1089" s="352"/>
      <c r="F1089" s="352"/>
      <c r="G1089" s="383"/>
      <c r="H1089" s="352"/>
      <c r="I1089" s="352"/>
      <c r="J1089" s="352"/>
      <c r="K1089" s="352"/>
      <c r="L1089" s="352"/>
      <c r="M1089" s="352"/>
      <c r="N1089" s="352"/>
      <c r="O1089" s="352"/>
      <c r="P1089" s="352"/>
      <c r="Q1089" s="352"/>
      <c r="R1089" s="352"/>
      <c r="S1089" s="384"/>
    </row>
    <row r="1090" spans="1:19" s="385" customFormat="1" x14ac:dyDescent="0.25">
      <c r="A1090" s="367" t="s">
        <v>224</v>
      </c>
      <c r="B1090" s="352"/>
      <c r="C1090" s="352"/>
      <c r="D1090" s="352"/>
      <c r="E1090" s="352"/>
      <c r="F1090" s="352"/>
      <c r="G1090" s="386"/>
      <c r="H1090" s="352"/>
      <c r="I1090" s="352"/>
      <c r="J1090" s="352"/>
      <c r="K1090" s="352"/>
      <c r="L1090" s="352"/>
      <c r="M1090" s="352"/>
      <c r="N1090" s="352"/>
      <c r="O1090" s="352"/>
      <c r="P1090" s="352"/>
      <c r="Q1090" s="352"/>
      <c r="R1090" s="352"/>
      <c r="S1090" s="384"/>
    </row>
    <row r="1091" spans="1:19" s="385" customFormat="1" x14ac:dyDescent="0.25">
      <c r="A1091" s="367" t="s">
        <v>271</v>
      </c>
      <c r="B1091" s="352"/>
      <c r="C1091" s="352"/>
      <c r="D1091" s="352"/>
      <c r="E1091" s="352"/>
      <c r="F1091" s="352"/>
      <c r="G1091" s="386"/>
      <c r="H1091" s="352"/>
      <c r="I1091" s="352"/>
      <c r="J1091" s="352"/>
      <c r="K1091" s="352"/>
      <c r="L1091" s="352"/>
      <c r="M1091" s="352"/>
      <c r="N1091" s="352"/>
      <c r="O1091" s="352"/>
      <c r="P1091" s="352"/>
      <c r="Q1091" s="352"/>
      <c r="R1091" s="352"/>
      <c r="S1091" s="384"/>
    </row>
    <row r="1092" spans="1:19" s="373" customFormat="1" ht="13.8" x14ac:dyDescent="0.25">
      <c r="A1092" s="387" t="s">
        <v>225</v>
      </c>
      <c r="B1092" s="388"/>
      <c r="C1092" s="388"/>
      <c r="D1092" s="388"/>
      <c r="E1092" s="388"/>
      <c r="F1092" s="388"/>
      <c r="G1092" s="388"/>
      <c r="H1092" s="388"/>
      <c r="I1092" s="388"/>
      <c r="J1092" s="388"/>
      <c r="K1092" s="388"/>
      <c r="L1092" s="388"/>
      <c r="M1092" s="388"/>
      <c r="N1092" s="388"/>
      <c r="O1092" s="388"/>
      <c r="P1092" s="337"/>
      <c r="Q1092" s="337"/>
      <c r="R1092" s="337"/>
      <c r="S1092" s="381"/>
    </row>
    <row r="1093" spans="1:19" s="373" customFormat="1" ht="27" customHeight="1" x14ac:dyDescent="0.25">
      <c r="A1093" s="702" t="s">
        <v>347</v>
      </c>
      <c r="B1093" s="703"/>
      <c r="C1093" s="703"/>
      <c r="D1093" s="703"/>
      <c r="E1093" s="703"/>
      <c r="F1093" s="703"/>
      <c r="G1093" s="703"/>
      <c r="H1093" s="703"/>
      <c r="I1093" s="703"/>
      <c r="J1093" s="703"/>
      <c r="K1093" s="703"/>
      <c r="L1093" s="703"/>
      <c r="M1093" s="703"/>
      <c r="N1093" s="703"/>
      <c r="O1093" s="388"/>
      <c r="P1093" s="337"/>
      <c r="Q1093" s="337"/>
      <c r="R1093" s="337"/>
      <c r="S1093" s="381"/>
    </row>
    <row r="1094" spans="1:19" s="373" customFormat="1" ht="13.95" customHeight="1" x14ac:dyDescent="0.25">
      <c r="A1094" s="387" t="s">
        <v>406</v>
      </c>
      <c r="B1094" s="388"/>
      <c r="C1094" s="388"/>
      <c r="D1094" s="388"/>
      <c r="E1094" s="388"/>
      <c r="F1094" s="388"/>
      <c r="G1094" s="388"/>
      <c r="H1094" s="388"/>
      <c r="I1094" s="388"/>
      <c r="J1094" s="388"/>
      <c r="K1094" s="388"/>
      <c r="L1094" s="388"/>
      <c r="M1094" s="388"/>
      <c r="N1094" s="388"/>
      <c r="O1094" s="388"/>
      <c r="P1094" s="337"/>
      <c r="Q1094" s="337"/>
      <c r="R1094" s="337"/>
      <c r="S1094" s="381"/>
    </row>
    <row r="1095" spans="1:19" s="373" customFormat="1" ht="13.95" customHeight="1" x14ac:dyDescent="0.25">
      <c r="A1095" s="387" t="s">
        <v>639</v>
      </c>
      <c r="B1095" s="388"/>
      <c r="C1095" s="388"/>
      <c r="D1095" s="388"/>
      <c r="E1095" s="388"/>
      <c r="F1095" s="388"/>
      <c r="G1095" s="388"/>
      <c r="H1095" s="388"/>
      <c r="I1095" s="388"/>
      <c r="J1095" s="388"/>
      <c r="K1095" s="388"/>
      <c r="L1095" s="388"/>
      <c r="M1095" s="388"/>
      <c r="N1095" s="388"/>
      <c r="O1095" s="388"/>
      <c r="P1095" s="337"/>
      <c r="Q1095" s="337"/>
      <c r="R1095" s="337"/>
      <c r="S1095" s="381"/>
    </row>
    <row r="1096" spans="1:19" s="373" customFormat="1" ht="13.95" customHeight="1" x14ac:dyDescent="0.25">
      <c r="A1096" s="387" t="s">
        <v>806</v>
      </c>
      <c r="B1096" s="388"/>
      <c r="C1096" s="388"/>
      <c r="D1096" s="388"/>
      <c r="E1096" s="388"/>
      <c r="F1096" s="388"/>
      <c r="G1096" s="388"/>
      <c r="H1096" s="388"/>
      <c r="I1096" s="388"/>
      <c r="J1096" s="388"/>
      <c r="K1096" s="388"/>
      <c r="L1096" s="388"/>
      <c r="M1096" s="388"/>
      <c r="N1096" s="388"/>
      <c r="O1096" s="388"/>
      <c r="P1096" s="337"/>
      <c r="Q1096" s="337"/>
      <c r="R1096" s="337"/>
      <c r="S1096" s="381"/>
    </row>
    <row r="1097" spans="1:19" s="373" customFormat="1" ht="13.95" customHeight="1" x14ac:dyDescent="0.25">
      <c r="A1097" s="387" t="s">
        <v>1032</v>
      </c>
      <c r="B1097" s="388"/>
      <c r="C1097" s="388"/>
      <c r="D1097" s="388"/>
      <c r="E1097" s="388"/>
      <c r="F1097" s="388"/>
      <c r="G1097" s="388"/>
      <c r="H1097" s="388"/>
      <c r="I1097" s="388"/>
      <c r="J1097" s="388"/>
      <c r="K1097" s="388"/>
      <c r="L1097" s="388"/>
      <c r="M1097" s="388"/>
      <c r="N1097" s="388"/>
      <c r="O1097" s="388"/>
      <c r="P1097" s="337"/>
      <c r="Q1097" s="337"/>
      <c r="R1097" s="337"/>
      <c r="S1097" s="381"/>
    </row>
    <row r="1098" spans="1:19" s="373" customFormat="1" ht="13.95" customHeight="1" x14ac:dyDescent="0.25">
      <c r="A1098" s="389" t="s">
        <v>1175</v>
      </c>
      <c r="B1098" s="388"/>
      <c r="C1098" s="388"/>
      <c r="D1098" s="388"/>
      <c r="E1098" s="388"/>
      <c r="F1098" s="388"/>
      <c r="G1098" s="388"/>
      <c r="H1098" s="388"/>
      <c r="I1098" s="388"/>
      <c r="J1098" s="388"/>
      <c r="K1098" s="388"/>
      <c r="L1098" s="388"/>
      <c r="M1098" s="388"/>
      <c r="N1098" s="388"/>
      <c r="O1098" s="388"/>
      <c r="P1098" s="337"/>
      <c r="Q1098" s="337"/>
      <c r="R1098" s="337"/>
      <c r="S1098" s="381"/>
    </row>
    <row r="1099" spans="1:19" s="615" customFormat="1" ht="13.95" customHeight="1" x14ac:dyDescent="0.25">
      <c r="A1099" s="399" t="s">
        <v>1225</v>
      </c>
      <c r="B1099" s="612"/>
      <c r="C1099" s="612"/>
      <c r="D1099" s="612"/>
      <c r="E1099" s="612"/>
      <c r="F1099" s="612"/>
      <c r="G1099" s="612"/>
      <c r="H1099" s="612"/>
      <c r="I1099" s="612"/>
      <c r="J1099" s="612"/>
      <c r="K1099" s="612"/>
      <c r="L1099" s="612"/>
      <c r="M1099" s="612"/>
      <c r="N1099" s="612"/>
      <c r="O1099" s="612"/>
      <c r="P1099" s="613"/>
      <c r="Q1099" s="613"/>
      <c r="R1099" s="613"/>
      <c r="S1099" s="614"/>
    </row>
    <row r="1100" spans="1:19" x14ac:dyDescent="0.25">
      <c r="A1100" s="313"/>
      <c r="C1100" s="346"/>
    </row>
    <row r="1101" spans="1:19" x14ac:dyDescent="0.25">
      <c r="A1101" s="350" t="s">
        <v>14</v>
      </c>
      <c r="B1101" s="351" t="s">
        <v>623</v>
      </c>
      <c r="C1101" s="351" t="s">
        <v>15</v>
      </c>
      <c r="D1101" s="337"/>
      <c r="E1101" s="337"/>
      <c r="F1101" s="337"/>
      <c r="G1101" s="337"/>
      <c r="H1101" s="337"/>
      <c r="I1101" s="337"/>
      <c r="J1101" s="337"/>
      <c r="K1101" s="337"/>
      <c r="L1101" s="337"/>
      <c r="M1101" s="337"/>
      <c r="N1101" s="337"/>
      <c r="O1101" s="337"/>
      <c r="P1101" s="337"/>
      <c r="Q1101" s="337"/>
      <c r="R1101" s="337"/>
    </row>
    <row r="1102" spans="1:19" x14ac:dyDescent="0.25">
      <c r="A1102" s="355" t="s">
        <v>16</v>
      </c>
      <c r="B1102" s="390">
        <v>2009</v>
      </c>
      <c r="C1102" s="391">
        <v>2010</v>
      </c>
      <c r="D1102" s="391">
        <v>2011</v>
      </c>
      <c r="E1102" s="391">
        <v>2012</v>
      </c>
      <c r="F1102" s="391">
        <v>2013</v>
      </c>
      <c r="G1102" s="391">
        <v>2014</v>
      </c>
      <c r="H1102" s="391">
        <v>2015</v>
      </c>
      <c r="I1102" s="391">
        <v>2016</v>
      </c>
      <c r="J1102" s="391">
        <v>2017</v>
      </c>
      <c r="K1102" s="391">
        <v>2018</v>
      </c>
      <c r="L1102" s="391">
        <v>2019</v>
      </c>
      <c r="M1102" s="391">
        <v>2020</v>
      </c>
      <c r="N1102" s="357">
        <v>2021</v>
      </c>
      <c r="O1102" s="357">
        <v>2022</v>
      </c>
      <c r="P1102" s="357">
        <v>2023</v>
      </c>
      <c r="Q1102" s="357">
        <v>2024</v>
      </c>
      <c r="R1102" s="618">
        <v>2025</v>
      </c>
      <c r="S1102" s="618">
        <v>2026</v>
      </c>
    </row>
    <row r="1103" spans="1:19" x14ac:dyDescent="0.25">
      <c r="A1103" s="358" t="s">
        <v>17</v>
      </c>
      <c r="B1103" s="374">
        <v>842</v>
      </c>
      <c r="C1103" s="374">
        <v>842</v>
      </c>
      <c r="D1103" s="374">
        <v>842</v>
      </c>
      <c r="E1103" s="374">
        <v>842</v>
      </c>
      <c r="F1103" s="374">
        <v>842</v>
      </c>
      <c r="G1103" s="374">
        <v>842</v>
      </c>
      <c r="H1103" s="374">
        <v>842</v>
      </c>
      <c r="I1103" s="374">
        <v>842</v>
      </c>
      <c r="J1103" s="374">
        <v>842</v>
      </c>
      <c r="K1103" s="374">
        <v>842</v>
      </c>
      <c r="L1103" s="374">
        <v>842</v>
      </c>
      <c r="M1103" s="374">
        <v>842</v>
      </c>
      <c r="N1103" s="374">
        <v>842</v>
      </c>
      <c r="O1103" s="374">
        <v>842</v>
      </c>
      <c r="P1103" s="374">
        <v>842</v>
      </c>
      <c r="Q1103" s="374">
        <v>842</v>
      </c>
      <c r="R1103" s="392">
        <v>842</v>
      </c>
      <c r="S1103" s="392">
        <v>842</v>
      </c>
    </row>
    <row r="1104" spans="1:19" x14ac:dyDescent="0.25">
      <c r="A1104" s="358" t="s">
        <v>18</v>
      </c>
      <c r="B1104" s="374">
        <v>2717.74</v>
      </c>
      <c r="C1104" s="374">
        <v>2596.7442299999998</v>
      </c>
      <c r="D1104" s="374">
        <v>2707.4306399999996</v>
      </c>
      <c r="E1104" s="374">
        <v>2795.2306399999998</v>
      </c>
      <c r="F1104" s="374">
        <v>3114.7264100000002</v>
      </c>
      <c r="G1104" s="374">
        <v>3408.0264100000004</v>
      </c>
      <c r="H1104" s="374">
        <f>1.15*H1103-(50+35+25)</f>
        <v>858.3</v>
      </c>
      <c r="I1104" s="374">
        <f>I1103+H1107-50-35-25</f>
        <v>1138.1999999999998</v>
      </c>
      <c r="J1104" s="374">
        <f>J1103+I1107-100-35-25</f>
        <v>1422.4999999999998</v>
      </c>
      <c r="K1104" s="374">
        <f>K1103*1.15-100-35</f>
        <v>833.3</v>
      </c>
      <c r="L1104" s="374">
        <f>L1103+K1107-100-35-25</f>
        <v>1226</v>
      </c>
      <c r="M1104" s="374">
        <f>M1103+L1107-150-35-25</f>
        <v>1463.0075420000001</v>
      </c>
      <c r="N1104" s="374">
        <f>N1103+M1107-150-35-25</f>
        <v>1688.2075420000001</v>
      </c>
      <c r="O1104" s="374">
        <f>O1103+N1107-150-35-25</f>
        <v>2032.807542</v>
      </c>
      <c r="P1104" s="374">
        <f>P1103+O1107-150-35-25</f>
        <v>2219.807542</v>
      </c>
      <c r="Q1104" s="374">
        <f>Q1103+P1107-150-35-25</f>
        <v>2355.5075420000003</v>
      </c>
      <c r="R1104" s="392">
        <f>R1103+Q1107-150-25</f>
        <v>2649.5075420000003</v>
      </c>
      <c r="S1104" s="392">
        <f>S1103-150-25</f>
        <v>667</v>
      </c>
    </row>
    <row r="1105" spans="1:19" x14ac:dyDescent="0.25">
      <c r="A1105" s="358" t="s">
        <v>19</v>
      </c>
      <c r="B1105" s="374"/>
      <c r="C1105" s="374"/>
      <c r="D1105" s="374"/>
      <c r="E1105" s="374"/>
      <c r="F1105" s="374"/>
      <c r="G1105" s="374"/>
      <c r="H1105" s="393"/>
      <c r="I1105" s="393"/>
      <c r="J1105" s="393"/>
      <c r="K1105" s="393"/>
      <c r="L1105" s="393"/>
      <c r="M1105" s="393"/>
      <c r="N1105" s="393"/>
      <c r="O1105" s="393"/>
      <c r="P1105" s="393"/>
      <c r="Q1105" s="393"/>
      <c r="R1105" s="392"/>
      <c r="S1105" s="90"/>
    </row>
    <row r="1106" spans="1:19" x14ac:dyDescent="0.25">
      <c r="A1106" s="358" t="s">
        <v>20</v>
      </c>
      <c r="B1106" s="374">
        <v>962.99576999999999</v>
      </c>
      <c r="C1106" s="374">
        <v>681.31358999999998</v>
      </c>
      <c r="D1106" s="374">
        <v>669.2</v>
      </c>
      <c r="E1106" s="374">
        <v>437.5</v>
      </c>
      <c r="F1106" s="374">
        <v>438.7</v>
      </c>
      <c r="G1106" s="374">
        <v>392.9</v>
      </c>
      <c r="H1106" s="374">
        <v>452.1</v>
      </c>
      <c r="I1106" s="374">
        <v>397.7</v>
      </c>
      <c r="J1106" s="374">
        <v>406</v>
      </c>
      <c r="K1106" s="374">
        <v>289.3</v>
      </c>
      <c r="L1106" s="374">
        <v>394.992458</v>
      </c>
      <c r="M1106" s="374">
        <v>406.79999999999995</v>
      </c>
      <c r="N1106" s="374">
        <v>287.39999999999998</v>
      </c>
      <c r="O1106" s="374">
        <v>445</v>
      </c>
      <c r="P1106" s="374">
        <v>496.3</v>
      </c>
      <c r="Q1106" s="374">
        <v>373</v>
      </c>
      <c r="R1106" s="394" t="s">
        <v>1131</v>
      </c>
      <c r="S1106" s="90"/>
    </row>
    <row r="1107" spans="1:19" x14ac:dyDescent="0.25">
      <c r="A1107" s="358" t="s">
        <v>21</v>
      </c>
      <c r="B1107" s="374">
        <v>1754.7442299999998</v>
      </c>
      <c r="C1107" s="374">
        <v>1915.4306399999998</v>
      </c>
      <c r="D1107" s="374">
        <v>2038.2306399999995</v>
      </c>
      <c r="E1107" s="374">
        <v>2357.7264100000002</v>
      </c>
      <c r="F1107" s="374">
        <v>2676.0264100000004</v>
      </c>
      <c r="G1107" s="374">
        <v>3015.1264100000003</v>
      </c>
      <c r="H1107" s="374">
        <f t="shared" ref="H1107:Q1107" si="49">H1104-H1106</f>
        <v>406.19999999999993</v>
      </c>
      <c r="I1107" s="374">
        <f t="shared" si="49"/>
        <v>740.49999999999977</v>
      </c>
      <c r="J1107" s="374">
        <f t="shared" si="49"/>
        <v>1016.4999999999998</v>
      </c>
      <c r="K1107" s="374">
        <f t="shared" si="49"/>
        <v>544</v>
      </c>
      <c r="L1107" s="374">
        <f t="shared" si="49"/>
        <v>831.00754200000006</v>
      </c>
      <c r="M1107" s="374">
        <f t="shared" si="49"/>
        <v>1056.2075420000001</v>
      </c>
      <c r="N1107" s="374">
        <f t="shared" si="49"/>
        <v>1400.807542</v>
      </c>
      <c r="O1107" s="374">
        <f t="shared" si="49"/>
        <v>1587.807542</v>
      </c>
      <c r="P1107" s="374">
        <f t="shared" si="49"/>
        <v>1723.5075420000001</v>
      </c>
      <c r="Q1107" s="374">
        <f t="shared" si="49"/>
        <v>1982.5075420000003</v>
      </c>
      <c r="R1107" s="394" t="s">
        <v>1131</v>
      </c>
      <c r="S1107" s="90"/>
    </row>
    <row r="1108" spans="1:19" x14ac:dyDescent="0.25">
      <c r="A1108" s="364" t="s">
        <v>22</v>
      </c>
      <c r="B1108" s="619"/>
      <c r="C1108" s="619"/>
      <c r="D1108" s="619"/>
      <c r="E1108" s="619"/>
      <c r="F1108" s="619"/>
      <c r="G1108" s="619"/>
      <c r="H1108" s="620">
        <v>2016</v>
      </c>
      <c r="I1108" s="620">
        <v>2017</v>
      </c>
      <c r="J1108" s="620">
        <v>2018</v>
      </c>
      <c r="K1108" s="620">
        <v>2019</v>
      </c>
      <c r="L1108" s="620">
        <v>2020</v>
      </c>
      <c r="M1108" s="620">
        <v>2021</v>
      </c>
      <c r="N1108" s="620">
        <v>2022</v>
      </c>
      <c r="O1108" s="620">
        <v>2023</v>
      </c>
      <c r="P1108" s="620">
        <v>2024</v>
      </c>
      <c r="Q1108" s="620">
        <v>2025</v>
      </c>
      <c r="R1108" s="621">
        <v>2026</v>
      </c>
      <c r="S1108" s="62"/>
    </row>
    <row r="1109" spans="1:19" x14ac:dyDescent="0.25">
      <c r="A1109" s="364" t="s">
        <v>179</v>
      </c>
      <c r="B1109" s="366"/>
      <c r="C1109" s="366"/>
      <c r="D1109" s="366"/>
      <c r="E1109" s="366"/>
      <c r="F1109" s="366"/>
      <c r="G1109" s="366"/>
      <c r="H1109" s="366"/>
      <c r="I1109" s="366"/>
      <c r="J1109" s="366"/>
      <c r="K1109" s="366"/>
      <c r="L1109" s="366"/>
      <c r="M1109" s="366"/>
      <c r="N1109" s="366"/>
      <c r="O1109" s="366"/>
      <c r="P1109" s="366"/>
      <c r="Q1109" s="366"/>
      <c r="R1109" s="366"/>
      <c r="S1109" s="63"/>
    </row>
    <row r="1110" spans="1:19" x14ac:dyDescent="0.25">
      <c r="A1110" s="364" t="s">
        <v>186</v>
      </c>
      <c r="B1110" s="366"/>
      <c r="C1110" s="366"/>
      <c r="D1110" s="366"/>
      <c r="E1110" s="366"/>
      <c r="F1110" s="366"/>
      <c r="G1110" s="366"/>
      <c r="H1110" s="366"/>
      <c r="I1110" s="366"/>
      <c r="J1110" s="366"/>
      <c r="K1110" s="366"/>
      <c r="L1110" s="366"/>
      <c r="M1110" s="366"/>
      <c r="N1110" s="366"/>
      <c r="O1110" s="366"/>
      <c r="P1110" s="366"/>
      <c r="Q1110" s="366"/>
      <c r="R1110" s="366"/>
      <c r="S1110" s="63"/>
    </row>
    <row r="1111" spans="1:19" x14ac:dyDescent="0.25">
      <c r="A1111" s="367" t="s">
        <v>187</v>
      </c>
      <c r="B1111" s="337"/>
      <c r="C1111" s="337"/>
      <c r="D1111" s="337"/>
      <c r="E1111" s="337"/>
      <c r="F1111" s="337"/>
      <c r="G1111" s="337"/>
      <c r="H1111" s="337"/>
      <c r="I1111" s="337"/>
      <c r="J1111" s="337"/>
      <c r="K1111" s="337"/>
      <c r="L1111" s="337"/>
      <c r="M1111" s="337"/>
      <c r="N1111" s="337"/>
      <c r="O1111" s="337"/>
      <c r="P1111" s="337"/>
      <c r="Q1111" s="337"/>
      <c r="R1111" s="337"/>
      <c r="S1111" s="64"/>
    </row>
    <row r="1112" spans="1:19" x14ac:dyDescent="0.25">
      <c r="A1112" s="397" t="s">
        <v>188</v>
      </c>
      <c r="B1112" s="337"/>
      <c r="C1112" s="337"/>
      <c r="D1112" s="337"/>
      <c r="E1112" s="337"/>
      <c r="F1112" s="337"/>
      <c r="G1112" s="337"/>
      <c r="H1112" s="337"/>
      <c r="I1112" s="337"/>
      <c r="J1112" s="337"/>
      <c r="K1112" s="337"/>
      <c r="L1112" s="337"/>
      <c r="M1112" s="337"/>
      <c r="N1112" s="337"/>
      <c r="O1112" s="337"/>
      <c r="P1112" s="337"/>
      <c r="Q1112" s="337"/>
      <c r="R1112" s="337"/>
      <c r="S1112" s="64"/>
    </row>
    <row r="1113" spans="1:19" x14ac:dyDescent="0.25">
      <c r="A1113" s="397" t="s">
        <v>189</v>
      </c>
      <c r="B1113" s="337"/>
      <c r="C1113" s="337"/>
      <c r="D1113" s="337"/>
      <c r="E1113" s="337"/>
      <c r="F1113" s="337"/>
      <c r="G1113" s="337"/>
      <c r="H1113" s="337"/>
      <c r="I1113" s="337"/>
      <c r="J1113" s="337"/>
      <c r="K1113" s="337"/>
      <c r="L1113" s="337"/>
      <c r="M1113" s="337"/>
      <c r="N1113" s="337"/>
      <c r="O1113" s="337"/>
      <c r="P1113" s="337"/>
      <c r="Q1113" s="337"/>
      <c r="R1113" s="337"/>
      <c r="S1113" s="64"/>
    </row>
    <row r="1114" spans="1:19" x14ac:dyDescent="0.25">
      <c r="A1114" s="397" t="s">
        <v>1034</v>
      </c>
      <c r="B1114" s="337"/>
      <c r="C1114" s="337"/>
      <c r="D1114" s="337"/>
      <c r="E1114" s="337"/>
      <c r="F1114" s="337"/>
      <c r="G1114" s="337"/>
      <c r="H1114" s="337"/>
      <c r="I1114" s="337"/>
      <c r="J1114" s="337"/>
      <c r="K1114" s="337"/>
      <c r="L1114" s="337"/>
      <c r="M1114" s="337"/>
      <c r="N1114" s="337"/>
      <c r="O1114" s="337"/>
      <c r="P1114" s="337"/>
      <c r="Q1114" s="337"/>
      <c r="R1114" s="337"/>
      <c r="S1114" s="64"/>
    </row>
    <row r="1115" spans="1:19" x14ac:dyDescent="0.25">
      <c r="A1115" s="382" t="s">
        <v>226</v>
      </c>
      <c r="B1115" s="337"/>
      <c r="C1115" s="337"/>
      <c r="D1115" s="337"/>
      <c r="E1115" s="337"/>
      <c r="F1115" s="337"/>
      <c r="G1115" s="370"/>
      <c r="H1115" s="337"/>
      <c r="I1115" s="337"/>
      <c r="J1115" s="337"/>
      <c r="K1115" s="337"/>
      <c r="L1115" s="337"/>
      <c r="M1115" s="337"/>
      <c r="N1115" s="337"/>
      <c r="O1115" s="337"/>
      <c r="P1115" s="337"/>
      <c r="Q1115" s="337"/>
      <c r="R1115" s="337"/>
      <c r="S1115" s="64"/>
    </row>
    <row r="1116" spans="1:19" x14ac:dyDescent="0.25">
      <c r="A1116" s="382" t="s">
        <v>227</v>
      </c>
      <c r="B1116" s="337"/>
      <c r="C1116" s="337"/>
      <c r="D1116" s="337"/>
      <c r="E1116" s="337"/>
      <c r="F1116" s="337"/>
      <c r="G1116" s="370"/>
      <c r="H1116" s="337"/>
      <c r="I1116" s="337"/>
      <c r="J1116" s="337"/>
      <c r="K1116" s="337"/>
      <c r="L1116" s="337"/>
      <c r="M1116" s="337"/>
      <c r="N1116" s="337"/>
      <c r="O1116" s="337"/>
      <c r="P1116" s="337"/>
      <c r="Q1116" s="337"/>
      <c r="R1116" s="337"/>
      <c r="S1116" s="64"/>
    </row>
    <row r="1117" spans="1:19" x14ac:dyDescent="0.25">
      <c r="A1117" s="367" t="s">
        <v>190</v>
      </c>
      <c r="B1117" s="368"/>
      <c r="C1117" s="370"/>
      <c r="D1117" s="369"/>
      <c r="E1117" s="337"/>
      <c r="F1117" s="337"/>
      <c r="G1117" s="370"/>
      <c r="H1117" s="337"/>
      <c r="I1117" s="337"/>
      <c r="J1117" s="337"/>
      <c r="K1117" s="337"/>
      <c r="L1117" s="337"/>
      <c r="M1117" s="337"/>
      <c r="N1117" s="337"/>
      <c r="O1117" s="337"/>
      <c r="P1117" s="337"/>
      <c r="Q1117" s="337"/>
      <c r="R1117" s="337"/>
      <c r="S1117" s="64"/>
    </row>
    <row r="1118" spans="1:19" x14ac:dyDescent="0.25">
      <c r="A1118" s="367" t="s">
        <v>191</v>
      </c>
      <c r="B1118" s="337"/>
      <c r="C1118" s="337"/>
      <c r="D1118" s="337"/>
      <c r="E1118" s="337"/>
      <c r="F1118" s="337"/>
      <c r="G1118" s="370"/>
      <c r="H1118" s="337"/>
      <c r="I1118" s="337"/>
      <c r="J1118" s="337"/>
      <c r="K1118" s="337"/>
      <c r="L1118" s="337"/>
      <c r="M1118" s="337"/>
      <c r="N1118" s="337"/>
      <c r="O1118" s="337"/>
      <c r="P1118" s="337"/>
      <c r="Q1118" s="337"/>
      <c r="R1118" s="337"/>
      <c r="S1118" s="64"/>
    </row>
    <row r="1119" spans="1:19" x14ac:dyDescent="0.25">
      <c r="A1119" s="382" t="s">
        <v>384</v>
      </c>
      <c r="B1119" s="337"/>
      <c r="C1119" s="337"/>
      <c r="D1119" s="337"/>
      <c r="E1119" s="337"/>
      <c r="F1119" s="337"/>
      <c r="G1119" s="370"/>
      <c r="H1119" s="337"/>
      <c r="I1119" s="337"/>
      <c r="J1119" s="337"/>
      <c r="K1119" s="337"/>
      <c r="L1119" s="337"/>
      <c r="M1119" s="337"/>
      <c r="N1119" s="337"/>
      <c r="O1119" s="337"/>
      <c r="P1119" s="337"/>
      <c r="Q1119" s="337"/>
      <c r="R1119" s="337"/>
      <c r="S1119" s="64"/>
    </row>
    <row r="1120" spans="1:19" x14ac:dyDescent="0.25">
      <c r="A1120" s="382" t="s">
        <v>385</v>
      </c>
      <c r="B1120" s="337"/>
      <c r="C1120" s="337"/>
      <c r="D1120" s="337"/>
      <c r="E1120" s="337"/>
      <c r="F1120" s="337"/>
      <c r="G1120" s="370"/>
      <c r="H1120" s="337"/>
      <c r="I1120" s="337"/>
      <c r="J1120" s="337"/>
      <c r="K1120" s="337"/>
      <c r="L1120" s="337"/>
      <c r="M1120" s="337"/>
      <c r="N1120" s="337"/>
      <c r="O1120" s="337"/>
      <c r="P1120" s="337"/>
      <c r="Q1120" s="337"/>
      <c r="R1120" s="337"/>
      <c r="S1120" s="64"/>
    </row>
    <row r="1121" spans="1:19" x14ac:dyDescent="0.25">
      <c r="A1121" s="382" t="s">
        <v>386</v>
      </c>
      <c r="B1121" s="337"/>
      <c r="C1121" s="337"/>
      <c r="D1121" s="337"/>
      <c r="E1121" s="337"/>
      <c r="F1121" s="337"/>
      <c r="G1121" s="370"/>
      <c r="H1121" s="337"/>
      <c r="I1121" s="337"/>
      <c r="J1121" s="337"/>
      <c r="K1121" s="337"/>
      <c r="L1121" s="337"/>
      <c r="M1121" s="337"/>
      <c r="N1121" s="337"/>
      <c r="O1121" s="337"/>
      <c r="P1121" s="337"/>
      <c r="Q1121" s="337"/>
      <c r="R1121" s="337"/>
      <c r="S1121" s="64"/>
    </row>
    <row r="1122" spans="1:19" x14ac:dyDescent="0.25">
      <c r="A1122" s="382" t="s">
        <v>387</v>
      </c>
      <c r="B1122" s="337"/>
      <c r="C1122" s="337"/>
      <c r="D1122" s="337"/>
      <c r="E1122" s="337"/>
      <c r="F1122" s="337"/>
      <c r="G1122" s="398"/>
      <c r="H1122" s="337"/>
      <c r="I1122" s="337"/>
      <c r="J1122" s="337"/>
      <c r="K1122" s="337"/>
      <c r="L1122" s="337"/>
      <c r="M1122" s="337"/>
      <c r="N1122" s="337"/>
      <c r="O1122" s="337"/>
      <c r="P1122" s="337"/>
      <c r="Q1122" s="337"/>
      <c r="R1122" s="337"/>
      <c r="S1122" s="64"/>
    </row>
    <row r="1123" spans="1:19" ht="13.2" customHeight="1" x14ac:dyDescent="0.25">
      <c r="A1123" s="387" t="s">
        <v>388</v>
      </c>
      <c r="B1123" s="616"/>
      <c r="C1123" s="616"/>
      <c r="D1123" s="616"/>
      <c r="E1123" s="616"/>
      <c r="F1123" s="616"/>
      <c r="G1123" s="616"/>
      <c r="H1123" s="616"/>
      <c r="I1123" s="616"/>
      <c r="J1123" s="616"/>
      <c r="K1123" s="616"/>
      <c r="L1123" s="616"/>
      <c r="M1123" s="616"/>
      <c r="N1123" s="616"/>
      <c r="O1123" s="616"/>
      <c r="P1123" s="337"/>
      <c r="Q1123" s="337"/>
      <c r="R1123" s="337"/>
      <c r="S1123" s="64"/>
    </row>
    <row r="1124" spans="1:19" ht="13.2" customHeight="1" x14ac:dyDescent="0.25">
      <c r="A1124" s="387" t="s">
        <v>389</v>
      </c>
      <c r="B1124" s="616"/>
      <c r="C1124" s="616"/>
      <c r="D1124" s="616"/>
      <c r="E1124" s="616"/>
      <c r="F1124" s="616"/>
      <c r="G1124" s="616"/>
      <c r="H1124" s="616"/>
      <c r="I1124" s="616"/>
      <c r="J1124" s="616"/>
      <c r="K1124" s="616"/>
      <c r="L1124" s="616"/>
      <c r="M1124" s="616"/>
      <c r="N1124" s="616"/>
      <c r="O1124" s="616"/>
      <c r="P1124" s="337"/>
      <c r="Q1124" s="337"/>
      <c r="R1124" s="337"/>
      <c r="S1124" s="64"/>
    </row>
    <row r="1125" spans="1:19" ht="13.2" customHeight="1" x14ac:dyDescent="0.25">
      <c r="A1125" s="387" t="s">
        <v>569</v>
      </c>
      <c r="B1125" s="616"/>
      <c r="C1125" s="616"/>
      <c r="D1125" s="616"/>
      <c r="E1125" s="616"/>
      <c r="F1125" s="616"/>
      <c r="G1125" s="616"/>
      <c r="H1125" s="616"/>
      <c r="I1125" s="616"/>
      <c r="J1125" s="616"/>
      <c r="K1125" s="616"/>
      <c r="L1125" s="616"/>
      <c r="M1125" s="616"/>
      <c r="N1125" s="616"/>
      <c r="O1125" s="616"/>
      <c r="P1125" s="337"/>
      <c r="Q1125" s="337"/>
      <c r="R1125" s="337"/>
      <c r="S1125" s="64"/>
    </row>
    <row r="1126" spans="1:19" ht="13.2" customHeight="1" x14ac:dyDescent="0.25">
      <c r="A1126" s="387" t="s">
        <v>708</v>
      </c>
      <c r="B1126" s="616"/>
      <c r="C1126" s="616"/>
      <c r="D1126" s="616"/>
      <c r="E1126" s="616"/>
      <c r="F1126" s="616"/>
      <c r="G1126" s="616"/>
      <c r="H1126" s="616"/>
      <c r="I1126" s="616"/>
      <c r="J1126" s="616"/>
      <c r="K1126" s="616"/>
      <c r="L1126" s="616"/>
      <c r="M1126" s="616"/>
      <c r="N1126" s="616"/>
      <c r="O1126" s="616"/>
      <c r="P1126" s="337"/>
      <c r="Q1126" s="337"/>
      <c r="R1126" s="337"/>
      <c r="S1126" s="64"/>
    </row>
    <row r="1127" spans="1:19" ht="13.2" customHeight="1" x14ac:dyDescent="0.25">
      <c r="A1127" s="387" t="s">
        <v>1033</v>
      </c>
      <c r="B1127" s="616"/>
      <c r="C1127" s="616"/>
      <c r="D1127" s="616"/>
      <c r="E1127" s="616"/>
      <c r="F1127" s="616"/>
      <c r="G1127" s="616"/>
      <c r="H1127" s="616"/>
      <c r="I1127" s="616"/>
      <c r="J1127" s="616"/>
      <c r="K1127" s="616"/>
      <c r="L1127" s="616"/>
      <c r="M1127" s="616"/>
      <c r="N1127" s="616"/>
      <c r="O1127" s="616"/>
      <c r="P1127" s="337"/>
      <c r="Q1127" s="337"/>
      <c r="R1127" s="337"/>
      <c r="S1127" s="64"/>
    </row>
    <row r="1128" spans="1:19" ht="13.2" customHeight="1" x14ac:dyDescent="0.25">
      <c r="A1128" s="387" t="s">
        <v>1082</v>
      </c>
      <c r="B1128" s="616"/>
      <c r="C1128" s="616"/>
      <c r="D1128" s="616"/>
      <c r="E1128" s="616"/>
      <c r="F1128" s="616"/>
      <c r="G1128" s="616"/>
      <c r="H1128" s="616"/>
      <c r="I1128" s="616"/>
      <c r="J1128" s="616"/>
      <c r="K1128" s="616"/>
      <c r="L1128" s="616"/>
      <c r="M1128" s="616"/>
      <c r="N1128" s="616"/>
      <c r="O1128" s="616"/>
      <c r="P1128" s="337"/>
      <c r="Q1128" s="337"/>
      <c r="R1128" s="337"/>
      <c r="S1128" s="64"/>
    </row>
    <row r="1129" spans="1:19" ht="13.2" customHeight="1" x14ac:dyDescent="0.25">
      <c r="A1129" s="389" t="s">
        <v>1176</v>
      </c>
      <c r="B1129" s="616"/>
      <c r="C1129" s="616"/>
      <c r="D1129" s="616"/>
      <c r="E1129" s="616"/>
      <c r="F1129" s="616"/>
      <c r="G1129" s="616"/>
      <c r="H1129" s="616"/>
      <c r="I1129" s="616"/>
      <c r="J1129" s="616"/>
      <c r="K1129" s="616"/>
      <c r="L1129" s="616"/>
      <c r="M1129" s="616"/>
      <c r="N1129" s="616"/>
      <c r="O1129" s="616"/>
      <c r="P1129" s="337"/>
      <c r="Q1129" s="337"/>
      <c r="R1129" s="337"/>
      <c r="S1129" s="64"/>
    </row>
    <row r="1130" spans="1:19" s="409" customFormat="1" ht="13.8" x14ac:dyDescent="0.3">
      <c r="A1130" s="399" t="s">
        <v>1226</v>
      </c>
      <c r="B1130" s="617"/>
      <c r="C1130" s="617"/>
      <c r="D1130" s="617"/>
      <c r="E1130" s="617"/>
      <c r="F1130" s="617"/>
      <c r="G1130" s="617"/>
      <c r="H1130" s="617"/>
      <c r="I1130" s="617"/>
      <c r="J1130" s="617"/>
      <c r="K1130" s="617"/>
      <c r="L1130" s="617"/>
      <c r="M1130" s="617"/>
      <c r="N1130" s="617"/>
      <c r="O1130" s="617"/>
      <c r="P1130" s="617"/>
      <c r="Q1130" s="407"/>
      <c r="R1130" s="407"/>
      <c r="S1130" s="408"/>
    </row>
    <row r="1131" spans="1:19" x14ac:dyDescent="0.25">
      <c r="A1131" s="313"/>
      <c r="C1131" s="346"/>
    </row>
    <row r="1132" spans="1:19" x14ac:dyDescent="0.25">
      <c r="A1132" s="350" t="s">
        <v>14</v>
      </c>
      <c r="B1132" s="351" t="s">
        <v>641</v>
      </c>
      <c r="C1132" s="351" t="s">
        <v>15</v>
      </c>
      <c r="D1132" s="337"/>
      <c r="E1132" s="337"/>
      <c r="F1132" s="337"/>
      <c r="G1132" s="337"/>
      <c r="H1132" s="337"/>
      <c r="I1132" s="337"/>
      <c r="J1132" s="337"/>
      <c r="K1132" s="337"/>
      <c r="L1132" s="337"/>
      <c r="M1132" s="337"/>
      <c r="N1132" s="337"/>
      <c r="O1132" s="337"/>
      <c r="P1132" s="337"/>
    </row>
    <row r="1133" spans="1:19" x14ac:dyDescent="0.25">
      <c r="A1133" s="355" t="s">
        <v>16</v>
      </c>
      <c r="B1133" s="356">
        <v>2009</v>
      </c>
      <c r="C1133" s="357">
        <v>2010</v>
      </c>
      <c r="D1133" s="357">
        <v>2011</v>
      </c>
      <c r="E1133" s="357">
        <v>2012</v>
      </c>
      <c r="F1133" s="357">
        <v>2013</v>
      </c>
      <c r="G1133" s="357">
        <v>2014</v>
      </c>
      <c r="H1133" s="357">
        <v>2015</v>
      </c>
      <c r="I1133" s="357">
        <v>2016</v>
      </c>
      <c r="J1133" s="391">
        <v>2017</v>
      </c>
      <c r="K1133" s="391">
        <v>2018</v>
      </c>
      <c r="L1133" s="391">
        <v>2019</v>
      </c>
      <c r="M1133" s="391">
        <v>2020</v>
      </c>
      <c r="N1133" s="357">
        <v>2021</v>
      </c>
      <c r="O1133" s="357">
        <v>2022</v>
      </c>
      <c r="P1133" s="357">
        <v>2023</v>
      </c>
      <c r="Q1133" s="357">
        <v>2024</v>
      </c>
      <c r="R1133" s="357">
        <v>2025</v>
      </c>
      <c r="S1133" s="357">
        <v>2026</v>
      </c>
    </row>
    <row r="1134" spans="1:19" x14ac:dyDescent="0.25">
      <c r="A1134" s="358" t="s">
        <v>17</v>
      </c>
      <c r="B1134" s="374">
        <v>1080</v>
      </c>
      <c r="C1134" s="374">
        <v>901</v>
      </c>
      <c r="D1134" s="374">
        <v>901</v>
      </c>
      <c r="E1134" s="374">
        <v>901</v>
      </c>
      <c r="F1134" s="374">
        <v>901</v>
      </c>
      <c r="G1134" s="374">
        <v>901</v>
      </c>
      <c r="H1134" s="374">
        <v>901</v>
      </c>
      <c r="I1134" s="374">
        <v>901</v>
      </c>
      <c r="J1134" s="374">
        <v>901</v>
      </c>
      <c r="K1134" s="374">
        <v>901</v>
      </c>
      <c r="L1134" s="374">
        <v>901</v>
      </c>
      <c r="M1134" s="374">
        <v>901</v>
      </c>
      <c r="N1134" s="359">
        <v>901</v>
      </c>
      <c r="O1134" s="359">
        <v>901</v>
      </c>
      <c r="P1134" s="359">
        <v>901</v>
      </c>
      <c r="Q1134" s="359">
        <v>901</v>
      </c>
      <c r="R1134" s="359">
        <v>901</v>
      </c>
      <c r="S1134" s="359">
        <v>901</v>
      </c>
    </row>
    <row r="1135" spans="1:19" x14ac:dyDescent="0.25">
      <c r="A1135" s="358" t="s">
        <v>18</v>
      </c>
      <c r="B1135" s="374">
        <v>1775.91</v>
      </c>
      <c r="C1135" s="374">
        <v>1651</v>
      </c>
      <c r="D1135" s="374">
        <v>851</v>
      </c>
      <c r="E1135" s="374">
        <v>1288.26477</v>
      </c>
      <c r="F1135" s="374">
        <v>425.70000000000005</v>
      </c>
      <c r="G1135" s="374">
        <v>1298.56477</v>
      </c>
      <c r="H1135" s="374">
        <v>318.5</v>
      </c>
      <c r="I1135" s="374">
        <v>1359.46477</v>
      </c>
      <c r="J1135" s="374">
        <v>999.7</v>
      </c>
      <c r="K1135" s="374">
        <v>1339.56477</v>
      </c>
      <c r="L1135" s="374">
        <v>1191.2</v>
      </c>
      <c r="M1135" s="374">
        <v>1451</v>
      </c>
      <c r="N1135" s="374">
        <v>1380.1631280000001</v>
      </c>
      <c r="O1135" s="374">
        <f>O1134+600-50</f>
        <v>1451</v>
      </c>
      <c r="P1135" s="374">
        <f>P1134+600-50</f>
        <v>1451</v>
      </c>
      <c r="Q1135" s="374">
        <f>Q1134+600-50</f>
        <v>1451</v>
      </c>
      <c r="R1135" s="374">
        <f>R1134+600-50</f>
        <v>1451</v>
      </c>
      <c r="S1135" s="374">
        <f>S1134+600-50</f>
        <v>1451</v>
      </c>
    </row>
    <row r="1136" spans="1:19" x14ac:dyDescent="0.25">
      <c r="A1136" s="358" t="s">
        <v>19</v>
      </c>
      <c r="B1136" s="374"/>
      <c r="C1136" s="374"/>
      <c r="D1136" s="374"/>
      <c r="E1136" s="374"/>
      <c r="F1136" s="374"/>
      <c r="G1136" s="374"/>
      <c r="H1136" s="374"/>
      <c r="I1136" s="374"/>
      <c r="J1136" s="374"/>
      <c r="K1136" s="374"/>
      <c r="L1136" s="374"/>
      <c r="M1136" s="374"/>
      <c r="N1136" s="359"/>
      <c r="O1136" s="359"/>
      <c r="P1136" s="359"/>
      <c r="Q1136" s="359"/>
      <c r="R1136" s="359"/>
      <c r="S1136" s="359"/>
    </row>
    <row r="1137" spans="1:19" x14ac:dyDescent="0.25">
      <c r="A1137" s="358" t="s">
        <v>20</v>
      </c>
      <c r="B1137" s="374">
        <v>900.11276999999995</v>
      </c>
      <c r="C1137" s="374">
        <v>1213.73523</v>
      </c>
      <c r="D1137" s="374">
        <v>1276.3</v>
      </c>
      <c r="E1137" s="374">
        <v>840.7</v>
      </c>
      <c r="F1137" s="374">
        <v>958.2</v>
      </c>
      <c r="G1137" s="374">
        <v>790.1</v>
      </c>
      <c r="H1137" s="374">
        <v>569.79999999999995</v>
      </c>
      <c r="I1137" s="374">
        <v>870.9</v>
      </c>
      <c r="J1137" s="374">
        <v>659.5</v>
      </c>
      <c r="K1137" s="374">
        <v>698</v>
      </c>
      <c r="L1137" s="374">
        <v>662.0368719999999</v>
      </c>
      <c r="M1137" s="374">
        <v>444</v>
      </c>
      <c r="N1137" s="359">
        <v>659</v>
      </c>
      <c r="O1137" s="359">
        <v>516.5</v>
      </c>
      <c r="P1137" s="359">
        <v>332.1</v>
      </c>
      <c r="Q1137" s="359">
        <v>385.7</v>
      </c>
      <c r="R1137" s="359" t="s">
        <v>1131</v>
      </c>
      <c r="S1137" s="359" t="s">
        <v>1131</v>
      </c>
    </row>
    <row r="1138" spans="1:19" x14ac:dyDescent="0.25">
      <c r="A1138" s="358" t="s">
        <v>21</v>
      </c>
      <c r="B1138" s="374">
        <v>875.79723000000013</v>
      </c>
      <c r="C1138" s="374">
        <v>437.26477</v>
      </c>
      <c r="D1138" s="374">
        <v>425.3</v>
      </c>
      <c r="E1138" s="374">
        <v>447.56476999999995</v>
      </c>
      <c r="F1138" s="374">
        <v>532.5</v>
      </c>
      <c r="G1138" s="374">
        <v>508.46476999999993</v>
      </c>
      <c r="H1138" s="374">
        <v>148.70000000000005</v>
      </c>
      <c r="I1138" s="374">
        <v>488.56477000000007</v>
      </c>
      <c r="J1138" s="374">
        <v>340.20000000000005</v>
      </c>
      <c r="K1138" s="374">
        <v>641.56476999999995</v>
      </c>
      <c r="L1138" s="374">
        <v>529.16312800000014</v>
      </c>
      <c r="M1138" s="374">
        <f>M1135-M1137</f>
        <v>1007</v>
      </c>
      <c r="N1138" s="359">
        <f>N1135-N1137</f>
        <v>721.16312800000014</v>
      </c>
      <c r="O1138" s="359">
        <f>O1135-O1137</f>
        <v>934.5</v>
      </c>
      <c r="P1138" s="359">
        <f>P1135-P1137</f>
        <v>1118.9000000000001</v>
      </c>
      <c r="Q1138" s="359">
        <f>Q1135-Q1137</f>
        <v>1065.3</v>
      </c>
      <c r="R1138" s="359" t="s">
        <v>1131</v>
      </c>
      <c r="S1138" s="359" t="s">
        <v>1131</v>
      </c>
    </row>
    <row r="1139" spans="1:19" x14ac:dyDescent="0.25">
      <c r="A1139" s="362" t="s">
        <v>22</v>
      </c>
      <c r="B1139" s="375">
        <v>2011</v>
      </c>
      <c r="C1139" s="375">
        <v>2012</v>
      </c>
      <c r="D1139" s="375">
        <v>2013</v>
      </c>
      <c r="E1139" s="375">
        <v>2014</v>
      </c>
      <c r="F1139" s="375">
        <v>2015</v>
      </c>
      <c r="G1139" s="375">
        <v>2016</v>
      </c>
      <c r="H1139" s="375">
        <v>2017</v>
      </c>
      <c r="I1139" s="375">
        <v>2018</v>
      </c>
      <c r="J1139" s="375">
        <v>2019</v>
      </c>
      <c r="K1139" s="375">
        <v>2020</v>
      </c>
      <c r="L1139" s="375">
        <v>2021</v>
      </c>
      <c r="M1139" s="375">
        <v>2022</v>
      </c>
      <c r="N1139" s="375">
        <v>2023</v>
      </c>
      <c r="O1139" s="375">
        <v>2024</v>
      </c>
      <c r="P1139" s="375">
        <v>2025</v>
      </c>
      <c r="Q1139" s="375">
        <v>2026</v>
      </c>
      <c r="R1139" s="375">
        <v>2027</v>
      </c>
      <c r="S1139" s="375">
        <v>2028</v>
      </c>
    </row>
    <row r="1140" spans="1:19" x14ac:dyDescent="0.25">
      <c r="A1140" s="364" t="s">
        <v>179</v>
      </c>
      <c r="B1140" s="366"/>
      <c r="C1140" s="366"/>
      <c r="D1140" s="366"/>
      <c r="E1140" s="366"/>
      <c r="F1140" s="366"/>
      <c r="G1140" s="366"/>
      <c r="H1140" s="366"/>
      <c r="I1140" s="366"/>
      <c r="J1140" s="366"/>
      <c r="K1140" s="366"/>
      <c r="L1140" s="366"/>
      <c r="M1140" s="366"/>
      <c r="N1140" s="366"/>
      <c r="O1140" s="366"/>
      <c r="P1140" s="366"/>
      <c r="Q1140" s="366"/>
      <c r="R1140" s="366"/>
      <c r="S1140" s="63"/>
    </row>
    <row r="1141" spans="1:19" x14ac:dyDescent="0.25">
      <c r="A1141" s="364" t="s">
        <v>416</v>
      </c>
      <c r="B1141" s="366"/>
      <c r="C1141" s="366"/>
      <c r="D1141" s="366"/>
      <c r="E1141" s="366"/>
      <c r="F1141" s="366"/>
      <c r="G1141" s="366"/>
      <c r="H1141" s="366"/>
      <c r="I1141" s="366"/>
      <c r="J1141" s="366"/>
      <c r="K1141" s="366"/>
      <c r="L1141" s="366"/>
      <c r="M1141" s="366"/>
      <c r="N1141" s="366"/>
      <c r="O1141" s="366"/>
      <c r="P1141" s="366"/>
      <c r="Q1141" s="366"/>
      <c r="R1141" s="366"/>
      <c r="S1141" s="63"/>
    </row>
    <row r="1142" spans="1:19" x14ac:dyDescent="0.25">
      <c r="A1142" s="367" t="s">
        <v>417</v>
      </c>
      <c r="B1142" s="337"/>
      <c r="C1142" s="337"/>
      <c r="D1142" s="337"/>
      <c r="E1142" s="337"/>
      <c r="F1142" s="337"/>
      <c r="G1142" s="337"/>
      <c r="H1142" s="337"/>
      <c r="I1142" s="337"/>
      <c r="J1142" s="337"/>
      <c r="K1142" s="337"/>
      <c r="L1142" s="337"/>
      <c r="M1142" s="337"/>
      <c r="N1142" s="337"/>
      <c r="O1142" s="337"/>
      <c r="P1142" s="337"/>
      <c r="Q1142" s="337"/>
      <c r="R1142" s="337"/>
      <c r="S1142" s="64"/>
    </row>
    <row r="1143" spans="1:19" x14ac:dyDescent="0.25">
      <c r="A1143" s="367" t="s">
        <v>418</v>
      </c>
      <c r="B1143" s="337"/>
      <c r="C1143" s="337"/>
      <c r="D1143" s="337"/>
      <c r="E1143" s="337"/>
      <c r="F1143" s="337"/>
      <c r="G1143" s="337"/>
      <c r="H1143" s="337"/>
      <c r="I1143" s="337"/>
      <c r="J1143" s="337"/>
      <c r="K1143" s="337"/>
      <c r="L1143" s="337"/>
      <c r="M1143" s="337"/>
      <c r="N1143" s="337"/>
      <c r="O1143" s="337"/>
      <c r="P1143" s="337"/>
      <c r="Q1143" s="337"/>
      <c r="R1143" s="337"/>
      <c r="S1143" s="64"/>
    </row>
    <row r="1144" spans="1:19" x14ac:dyDescent="0.25">
      <c r="A1144" s="367" t="s">
        <v>419</v>
      </c>
      <c r="B1144" s="337"/>
      <c r="C1144" s="337"/>
      <c r="D1144" s="337"/>
      <c r="E1144" s="337"/>
      <c r="F1144" s="337"/>
      <c r="G1144" s="337"/>
      <c r="H1144" s="337"/>
      <c r="I1144" s="337"/>
      <c r="J1144" s="337"/>
      <c r="K1144" s="337"/>
      <c r="L1144" s="337"/>
      <c r="M1144" s="337"/>
      <c r="N1144" s="337"/>
      <c r="O1144" s="337"/>
      <c r="P1144" s="337"/>
      <c r="Q1144" s="337"/>
      <c r="R1144" s="337"/>
      <c r="S1144" s="64"/>
    </row>
    <row r="1145" spans="1:19" x14ac:dyDescent="0.25">
      <c r="A1145" s="367" t="s">
        <v>420</v>
      </c>
      <c r="B1145" s="368"/>
      <c r="C1145" s="370"/>
      <c r="D1145" s="369"/>
      <c r="E1145" s="337"/>
      <c r="F1145" s="337"/>
      <c r="G1145" s="370"/>
      <c r="H1145" s="337"/>
      <c r="I1145" s="337"/>
      <c r="J1145" s="337"/>
      <c r="K1145" s="337"/>
      <c r="L1145" s="337"/>
      <c r="M1145" s="337"/>
      <c r="N1145" s="337"/>
      <c r="O1145" s="337"/>
      <c r="P1145" s="337"/>
      <c r="Q1145" s="337"/>
      <c r="R1145" s="337"/>
      <c r="S1145" s="64"/>
    </row>
    <row r="1146" spans="1:19" x14ac:dyDescent="0.25">
      <c r="A1146" s="367" t="s">
        <v>421</v>
      </c>
      <c r="B1146" s="337"/>
      <c r="C1146" s="337"/>
      <c r="D1146" s="337"/>
      <c r="E1146" s="337"/>
      <c r="F1146" s="337"/>
      <c r="G1146" s="370"/>
      <c r="H1146" s="337"/>
      <c r="I1146" s="337"/>
      <c r="J1146" s="337"/>
      <c r="K1146" s="337"/>
      <c r="L1146" s="337"/>
      <c r="M1146" s="337"/>
      <c r="N1146" s="337"/>
      <c r="O1146" s="337"/>
      <c r="P1146" s="337"/>
      <c r="Q1146" s="337"/>
      <c r="R1146" s="337"/>
      <c r="S1146" s="64"/>
    </row>
    <row r="1147" spans="1:19" x14ac:dyDescent="0.25">
      <c r="A1147" s="367" t="s">
        <v>422</v>
      </c>
      <c r="B1147" s="337"/>
      <c r="C1147" s="337"/>
      <c r="D1147" s="337"/>
      <c r="E1147" s="337"/>
      <c r="F1147" s="337"/>
      <c r="G1147" s="370"/>
      <c r="H1147" s="337"/>
      <c r="I1147" s="337"/>
      <c r="J1147" s="337"/>
      <c r="K1147" s="337"/>
      <c r="L1147" s="337"/>
      <c r="M1147" s="337"/>
      <c r="N1147" s="337"/>
      <c r="O1147" s="337"/>
      <c r="P1147" s="337"/>
      <c r="Q1147" s="337"/>
      <c r="R1147" s="337"/>
      <c r="S1147" s="64"/>
    </row>
    <row r="1148" spans="1:19" x14ac:dyDescent="0.25">
      <c r="A1148" s="367" t="s">
        <v>423</v>
      </c>
      <c r="B1148" s="337"/>
      <c r="C1148" s="337"/>
      <c r="D1148" s="337"/>
      <c r="E1148" s="337"/>
      <c r="F1148" s="337"/>
      <c r="G1148" s="370"/>
      <c r="H1148" s="337"/>
      <c r="I1148" s="337"/>
      <c r="J1148" s="337"/>
      <c r="K1148" s="337"/>
      <c r="L1148" s="337"/>
      <c r="M1148" s="337"/>
      <c r="N1148" s="337"/>
      <c r="O1148" s="337"/>
      <c r="P1148" s="337"/>
      <c r="Q1148" s="337"/>
      <c r="R1148" s="337"/>
      <c r="S1148" s="64"/>
    </row>
    <row r="1149" spans="1:19" x14ac:dyDescent="0.25">
      <c r="A1149" s="397" t="s">
        <v>424</v>
      </c>
      <c r="B1149" s="337"/>
      <c r="C1149" s="337"/>
      <c r="D1149" s="337"/>
      <c r="E1149" s="337"/>
      <c r="F1149" s="337"/>
      <c r="G1149" s="398"/>
      <c r="H1149" s="337"/>
      <c r="I1149" s="337"/>
      <c r="J1149" s="337"/>
      <c r="K1149" s="337"/>
      <c r="L1149" s="337"/>
      <c r="M1149" s="337"/>
      <c r="N1149" s="337"/>
      <c r="O1149" s="337"/>
      <c r="P1149" s="337"/>
      <c r="Q1149" s="337"/>
      <c r="R1149" s="337"/>
      <c r="S1149" s="64"/>
    </row>
    <row r="1150" spans="1:19" x14ac:dyDescent="0.25">
      <c r="A1150" s="382" t="s">
        <v>228</v>
      </c>
      <c r="B1150" s="337"/>
      <c r="C1150" s="337"/>
      <c r="D1150" s="337"/>
      <c r="E1150" s="337"/>
      <c r="F1150" s="337"/>
      <c r="G1150" s="337"/>
      <c r="H1150" s="337"/>
      <c r="I1150" s="337"/>
      <c r="J1150" s="337"/>
      <c r="K1150" s="337"/>
      <c r="L1150" s="337"/>
      <c r="M1150" s="337"/>
      <c r="N1150" s="337"/>
      <c r="O1150" s="337"/>
      <c r="P1150" s="337"/>
      <c r="Q1150" s="337"/>
      <c r="R1150" s="337"/>
      <c r="S1150" s="64"/>
    </row>
    <row r="1151" spans="1:19" x14ac:dyDescent="0.25">
      <c r="A1151" s="382" t="s">
        <v>229</v>
      </c>
      <c r="B1151" s="337"/>
      <c r="C1151" s="337"/>
      <c r="D1151" s="337"/>
      <c r="E1151" s="337"/>
      <c r="F1151" s="337"/>
      <c r="G1151" s="337"/>
      <c r="H1151" s="337"/>
      <c r="I1151" s="337"/>
      <c r="J1151" s="337"/>
      <c r="K1151" s="337"/>
      <c r="L1151" s="337"/>
      <c r="M1151" s="337"/>
      <c r="N1151" s="337"/>
      <c r="O1151" s="337"/>
      <c r="P1151" s="337"/>
      <c r="Q1151" s="337"/>
      <c r="R1151" s="337"/>
      <c r="S1151" s="64"/>
    </row>
    <row r="1152" spans="1:19" x14ac:dyDescent="0.25">
      <c r="A1152" s="382" t="s">
        <v>425</v>
      </c>
      <c r="B1152" s="337"/>
      <c r="C1152" s="337"/>
      <c r="D1152" s="337"/>
      <c r="E1152" s="337"/>
      <c r="F1152" s="337"/>
      <c r="G1152" s="337"/>
      <c r="H1152" s="337"/>
      <c r="I1152" s="337"/>
      <c r="J1152" s="337"/>
      <c r="K1152" s="337"/>
      <c r="L1152" s="337"/>
      <c r="M1152" s="337"/>
      <c r="N1152" s="337"/>
      <c r="O1152" s="337"/>
      <c r="P1152" s="337"/>
      <c r="Q1152" s="337"/>
      <c r="R1152" s="337"/>
      <c r="S1152" s="64"/>
    </row>
    <row r="1153" spans="1:19" x14ac:dyDescent="0.25">
      <c r="A1153" s="382" t="s">
        <v>640</v>
      </c>
      <c r="B1153" s="337"/>
      <c r="C1153" s="337"/>
      <c r="D1153" s="337"/>
      <c r="E1153" s="337"/>
      <c r="F1153" s="337"/>
      <c r="G1153" s="337"/>
      <c r="H1153" s="337"/>
      <c r="I1153" s="337"/>
      <c r="J1153" s="337"/>
      <c r="K1153" s="337"/>
      <c r="L1153" s="337"/>
      <c r="M1153" s="337"/>
      <c r="N1153" s="337"/>
      <c r="O1153" s="337"/>
      <c r="P1153" s="337"/>
      <c r="Q1153" s="337"/>
      <c r="R1153" s="337"/>
      <c r="S1153" s="64"/>
    </row>
    <row r="1154" spans="1:19" x14ac:dyDescent="0.25">
      <c r="A1154" s="382" t="s">
        <v>807</v>
      </c>
      <c r="B1154" s="337"/>
      <c r="C1154" s="337"/>
      <c r="D1154" s="337"/>
      <c r="E1154" s="337"/>
      <c r="F1154" s="337"/>
      <c r="G1154" s="337"/>
      <c r="H1154" s="337"/>
      <c r="I1154" s="337"/>
      <c r="J1154" s="337"/>
      <c r="K1154" s="337"/>
      <c r="L1154" s="337"/>
      <c r="M1154" s="337"/>
      <c r="N1154" s="337"/>
      <c r="O1154" s="337"/>
      <c r="P1154" s="337"/>
      <c r="Q1154" s="337"/>
      <c r="R1154" s="337"/>
      <c r="S1154" s="64"/>
    </row>
    <row r="1155" spans="1:19" x14ac:dyDescent="0.25">
      <c r="A1155" s="382" t="s">
        <v>1035</v>
      </c>
      <c r="B1155" s="337"/>
      <c r="C1155" s="337"/>
      <c r="D1155" s="337"/>
      <c r="E1155" s="337"/>
      <c r="F1155" s="337"/>
      <c r="G1155" s="337"/>
      <c r="H1155" s="337"/>
      <c r="I1155" s="337"/>
      <c r="J1155" s="337"/>
      <c r="K1155" s="337"/>
      <c r="L1155" s="337"/>
      <c r="M1155" s="337"/>
      <c r="N1155" s="337"/>
      <c r="O1155" s="337"/>
      <c r="P1155" s="337"/>
      <c r="Q1155" s="337"/>
      <c r="R1155" s="337"/>
      <c r="S1155" s="64"/>
    </row>
    <row r="1156" spans="1:19" x14ac:dyDescent="0.25">
      <c r="A1156" s="382" t="s">
        <v>1083</v>
      </c>
      <c r="B1156" s="337"/>
      <c r="C1156" s="337"/>
      <c r="D1156" s="337"/>
      <c r="E1156" s="337"/>
      <c r="F1156" s="337"/>
      <c r="G1156" s="337"/>
      <c r="H1156" s="337"/>
      <c r="I1156" s="337"/>
      <c r="J1156" s="337"/>
      <c r="K1156" s="337"/>
      <c r="L1156" s="337"/>
      <c r="M1156" s="337"/>
      <c r="N1156" s="337"/>
      <c r="O1156" s="337"/>
      <c r="P1156" s="337"/>
      <c r="Q1156" s="337"/>
      <c r="R1156" s="337"/>
      <c r="S1156" s="64"/>
    </row>
    <row r="1157" spans="1:19" x14ac:dyDescent="0.25">
      <c r="A1157" s="659" t="s">
        <v>1242</v>
      </c>
      <c r="B1157" s="371"/>
      <c r="C1157" s="371"/>
      <c r="D1157" s="371"/>
      <c r="E1157" s="371"/>
      <c r="F1157" s="371"/>
      <c r="G1157" s="371"/>
      <c r="H1157" s="371"/>
      <c r="I1157" s="371"/>
      <c r="J1157" s="371"/>
      <c r="K1157" s="371"/>
      <c r="L1157" s="371"/>
      <c r="M1157" s="371"/>
      <c r="N1157" s="371"/>
      <c r="O1157" s="371"/>
      <c r="P1157" s="371"/>
      <c r="Q1157" s="371"/>
      <c r="R1157" s="371"/>
      <c r="S1157" s="48"/>
    </row>
    <row r="1158" spans="1:19" x14ac:dyDescent="0.25">
      <c r="A1158" s="313"/>
      <c r="C1158" s="346"/>
    </row>
    <row r="1159" spans="1:19" x14ac:dyDescent="0.25">
      <c r="A1159" s="350" t="s">
        <v>14</v>
      </c>
      <c r="B1159" s="351" t="s">
        <v>642</v>
      </c>
      <c r="C1159" s="403" t="s">
        <v>15</v>
      </c>
      <c r="D1159" s="337"/>
      <c r="E1159" s="337"/>
      <c r="F1159" s="337"/>
      <c r="G1159" s="337"/>
      <c r="H1159" s="337"/>
      <c r="I1159" s="337"/>
      <c r="J1159" s="337"/>
      <c r="K1159" s="337"/>
      <c r="L1159" s="337"/>
      <c r="M1159" s="337"/>
    </row>
    <row r="1160" spans="1:19" s="50" customFormat="1" ht="14.4" x14ac:dyDescent="0.3">
      <c r="A1160" s="358" t="s">
        <v>16</v>
      </c>
      <c r="B1160" s="357">
        <v>2009</v>
      </c>
      <c r="C1160" s="357">
        <v>2010</v>
      </c>
      <c r="D1160" s="357">
        <v>2011</v>
      </c>
      <c r="E1160" s="357">
        <v>2012</v>
      </c>
      <c r="F1160" s="357">
        <v>2013</v>
      </c>
      <c r="G1160" s="357">
        <v>2014</v>
      </c>
      <c r="H1160" s="357">
        <v>2015</v>
      </c>
      <c r="I1160" s="357">
        <v>2016</v>
      </c>
      <c r="J1160" s="357">
        <v>2017</v>
      </c>
      <c r="K1160" s="357">
        <v>2018</v>
      </c>
      <c r="L1160" s="357">
        <v>2019</v>
      </c>
      <c r="M1160" s="357">
        <v>2020</v>
      </c>
      <c r="N1160" s="357">
        <v>2021</v>
      </c>
      <c r="O1160" s="357">
        <v>2022</v>
      </c>
      <c r="P1160" s="357">
        <v>2023</v>
      </c>
      <c r="Q1160" s="357">
        <v>2024</v>
      </c>
      <c r="R1160" s="357">
        <v>2025</v>
      </c>
    </row>
    <row r="1161" spans="1:19" s="50" customFormat="1" ht="14.4" x14ac:dyDescent="0.3">
      <c r="A1161" s="358" t="s">
        <v>17</v>
      </c>
      <c r="B1161" s="404">
        <v>1871.44</v>
      </c>
      <c r="C1161" s="404">
        <v>1148.05</v>
      </c>
      <c r="D1161" s="404">
        <v>1097.03</v>
      </c>
      <c r="E1161" s="404">
        <v>1097.03</v>
      </c>
      <c r="F1161" s="404">
        <v>1139.55</v>
      </c>
      <c r="G1161" s="404">
        <v>1139.55</v>
      </c>
      <c r="H1161" s="404">
        <v>1345.44</v>
      </c>
      <c r="I1161" s="404">
        <v>1608.21</v>
      </c>
      <c r="J1161" s="404">
        <v>1930.88</v>
      </c>
      <c r="K1161" s="404">
        <v>2279</v>
      </c>
      <c r="L1161" s="404">
        <v>2544</v>
      </c>
      <c r="M1161" s="404">
        <v>2819</v>
      </c>
      <c r="N1161" s="374">
        <v>2819</v>
      </c>
      <c r="O1161" s="374">
        <v>2819</v>
      </c>
      <c r="P1161" s="374">
        <v>3114</v>
      </c>
      <c r="Q1161" s="374">
        <v>3114</v>
      </c>
      <c r="R1161" s="374">
        <v>3114</v>
      </c>
    </row>
    <row r="1162" spans="1:19" s="50" customFormat="1" ht="14.4" x14ac:dyDescent="0.3">
      <c r="A1162" s="358" t="s">
        <v>18</v>
      </c>
      <c r="B1162" s="404">
        <v>1871.44</v>
      </c>
      <c r="C1162" s="404">
        <v>1148.05</v>
      </c>
      <c r="D1162" s="404">
        <v>1097.03</v>
      </c>
      <c r="E1162" s="404">
        <v>1097.03</v>
      </c>
      <c r="F1162" s="404">
        <v>1139.55</v>
      </c>
      <c r="G1162" s="404">
        <v>1139.55</v>
      </c>
      <c r="H1162" s="404">
        <v>1390.44</v>
      </c>
      <c r="I1162" s="404">
        <v>1583.21</v>
      </c>
      <c r="J1162" s="404">
        <v>1910.88</v>
      </c>
      <c r="K1162" s="404">
        <v>2279</v>
      </c>
      <c r="L1162" s="404">
        <v>2544</v>
      </c>
      <c r="M1162" s="404">
        <v>2839.27</v>
      </c>
      <c r="N1162" s="374">
        <f>N1161+M1165</f>
        <v>2876.6439600000003</v>
      </c>
      <c r="O1162" s="374">
        <f>O1161+N1165</f>
        <v>2915.6539600000006</v>
      </c>
      <c r="P1162" s="374">
        <f>P1161+O1165</f>
        <v>3158.3939600000003</v>
      </c>
      <c r="Q1162" s="374">
        <v>3184.4</v>
      </c>
      <c r="R1162" s="374">
        <v>3269.7</v>
      </c>
    </row>
    <row r="1163" spans="1:19" s="50" customFormat="1" ht="14.4" x14ac:dyDescent="0.3">
      <c r="A1163" s="358" t="s">
        <v>19</v>
      </c>
      <c r="B1163" s="374"/>
      <c r="C1163" s="374"/>
      <c r="D1163" s="374"/>
      <c r="E1163" s="374"/>
      <c r="F1163" s="374"/>
      <c r="G1163" s="374"/>
      <c r="H1163" s="374"/>
      <c r="I1163" s="374"/>
      <c r="J1163" s="374"/>
      <c r="K1163" s="374"/>
      <c r="L1163" s="374"/>
      <c r="M1163" s="374"/>
      <c r="N1163" s="374"/>
      <c r="O1163" s="374"/>
      <c r="P1163" s="374"/>
      <c r="Q1163" s="374"/>
      <c r="R1163" s="374"/>
    </row>
    <row r="1164" spans="1:19" s="50" customFormat="1" ht="14.4" x14ac:dyDescent="0.3">
      <c r="A1164" s="358" t="s">
        <v>20</v>
      </c>
      <c r="B1164" s="404">
        <v>1858.2</v>
      </c>
      <c r="C1164" s="374">
        <v>1139.2777599999999</v>
      </c>
      <c r="D1164" s="374">
        <v>1088.8235599999998</v>
      </c>
      <c r="E1164" s="374">
        <v>1092.5993599999999</v>
      </c>
      <c r="F1164" s="374">
        <v>1128.97</v>
      </c>
      <c r="G1164" s="374">
        <v>1134.47</v>
      </c>
      <c r="H1164" s="374">
        <v>1385.92</v>
      </c>
      <c r="I1164" s="374">
        <v>1578.37</v>
      </c>
      <c r="J1164" s="374">
        <v>1910.65104</v>
      </c>
      <c r="K1164" s="374">
        <v>2269.7609000000002</v>
      </c>
      <c r="L1164" s="374">
        <v>2523.73</v>
      </c>
      <c r="M1164" s="374">
        <v>2781.6260399999996</v>
      </c>
      <c r="N1164" s="374">
        <v>2779.99</v>
      </c>
      <c r="O1164" s="374">
        <v>2871.26</v>
      </c>
      <c r="P1164" s="374">
        <v>3087.99</v>
      </c>
      <c r="Q1164" s="374">
        <v>2988.88</v>
      </c>
      <c r="R1164" s="374" t="s">
        <v>1131</v>
      </c>
    </row>
    <row r="1165" spans="1:19" s="50" customFormat="1" ht="14.4" x14ac:dyDescent="0.3">
      <c r="A1165" s="358" t="s">
        <v>21</v>
      </c>
      <c r="B1165" s="374">
        <v>13.240000000000009</v>
      </c>
      <c r="C1165" s="374">
        <v>8.7722400000000107</v>
      </c>
      <c r="D1165" s="374">
        <v>8.2064400000001569</v>
      </c>
      <c r="E1165" s="374">
        <v>4.4306400000000394</v>
      </c>
      <c r="F1165" s="374">
        <v>10.579999999999927</v>
      </c>
      <c r="G1165" s="374">
        <v>5.0799999999999272</v>
      </c>
      <c r="H1165" s="374">
        <v>4.5199999999999818</v>
      </c>
      <c r="I1165" s="374">
        <v>4.8400000000001455</v>
      </c>
      <c r="J1165" s="374">
        <v>0.22896000000014283</v>
      </c>
      <c r="K1165" s="374">
        <v>9.2390999999997803</v>
      </c>
      <c r="L1165" s="374">
        <v>20.269999999999982</v>
      </c>
      <c r="M1165" s="374">
        <v>57.643960000000334</v>
      </c>
      <c r="N1165" s="374">
        <f>N1162-N1164</f>
        <v>96.653960000000552</v>
      </c>
      <c r="O1165" s="374">
        <f>O1162-O1164</f>
        <v>44.393960000000334</v>
      </c>
      <c r="P1165" s="374">
        <f>P1162-P1164</f>
        <v>70.403960000000552</v>
      </c>
      <c r="Q1165" s="374">
        <v>195.51999999999998</v>
      </c>
      <c r="R1165" s="374" t="s">
        <v>1131</v>
      </c>
    </row>
    <row r="1166" spans="1:19" s="50" customFormat="1" ht="14.4" x14ac:dyDescent="0.3">
      <c r="A1166" s="362" t="s">
        <v>22</v>
      </c>
      <c r="B1166" s="375"/>
      <c r="C1166" s="375"/>
      <c r="D1166" s="375"/>
      <c r="E1166" s="375"/>
      <c r="F1166" s="375"/>
      <c r="G1166" s="375"/>
      <c r="H1166" s="375"/>
      <c r="I1166" s="375"/>
      <c r="J1166" s="375"/>
      <c r="K1166" s="375"/>
      <c r="L1166" s="375">
        <v>2020</v>
      </c>
      <c r="M1166" s="375">
        <v>2021</v>
      </c>
      <c r="N1166" s="375">
        <v>2022</v>
      </c>
      <c r="O1166" s="375">
        <v>2023</v>
      </c>
      <c r="P1166" s="375">
        <v>2024</v>
      </c>
      <c r="Q1166" s="375">
        <v>2025</v>
      </c>
      <c r="R1166" s="374"/>
    </row>
    <row r="1167" spans="1:19" s="50" customFormat="1" ht="14.4" x14ac:dyDescent="0.3">
      <c r="A1167" s="377" t="s">
        <v>179</v>
      </c>
      <c r="B1167" s="378"/>
      <c r="C1167" s="378"/>
      <c r="D1167" s="378"/>
      <c r="E1167" s="378"/>
      <c r="F1167" s="378"/>
      <c r="G1167" s="378"/>
      <c r="H1167" s="378"/>
      <c r="I1167" s="378"/>
      <c r="J1167" s="378"/>
      <c r="K1167" s="378"/>
      <c r="L1167" s="378"/>
      <c r="M1167" s="378"/>
      <c r="N1167" s="378"/>
      <c r="O1167" s="378"/>
      <c r="P1167" s="378"/>
      <c r="Q1167" s="378"/>
      <c r="R1167" s="405"/>
    </row>
    <row r="1168" spans="1:19" s="50" customFormat="1" ht="14.4" x14ac:dyDescent="0.3">
      <c r="A1168" s="364" t="s">
        <v>192</v>
      </c>
      <c r="B1168" s="366"/>
      <c r="C1168" s="366"/>
      <c r="D1168" s="366"/>
      <c r="E1168" s="366"/>
      <c r="F1168" s="366"/>
      <c r="G1168" s="366"/>
      <c r="H1168" s="366"/>
      <c r="I1168" s="366"/>
      <c r="J1168" s="366"/>
      <c r="K1168" s="366"/>
      <c r="L1168" s="366"/>
      <c r="M1168" s="366"/>
      <c r="N1168" s="366"/>
      <c r="O1168" s="366"/>
      <c r="P1168" s="366"/>
      <c r="Q1168" s="366"/>
      <c r="R1168" s="55"/>
    </row>
    <row r="1169" spans="1:18" s="50" customFormat="1" ht="14.4" x14ac:dyDescent="0.3">
      <c r="A1169" s="367" t="s">
        <v>193</v>
      </c>
      <c r="B1169" s="337"/>
      <c r="C1169" s="337"/>
      <c r="D1169" s="337"/>
      <c r="E1169" s="337"/>
      <c r="F1169" s="337"/>
      <c r="G1169" s="337"/>
      <c r="H1169" s="337"/>
      <c r="I1169" s="337"/>
      <c r="J1169" s="337"/>
      <c r="K1169" s="337"/>
      <c r="L1169" s="337"/>
      <c r="M1169" s="337"/>
      <c r="N1169" s="337"/>
      <c r="O1169" s="337"/>
      <c r="P1169" s="337"/>
      <c r="Q1169" s="337"/>
      <c r="R1169" s="57"/>
    </row>
    <row r="1170" spans="1:18" s="50" customFormat="1" ht="14.4" x14ac:dyDescent="0.3">
      <c r="A1170" s="367" t="s">
        <v>194</v>
      </c>
      <c r="B1170" s="337"/>
      <c r="C1170" s="337"/>
      <c r="D1170" s="337"/>
      <c r="E1170" s="337"/>
      <c r="F1170" s="337"/>
      <c r="G1170" s="337"/>
      <c r="H1170" s="337"/>
      <c r="I1170" s="337"/>
      <c r="J1170" s="337"/>
      <c r="K1170" s="337"/>
      <c r="L1170" s="337"/>
      <c r="M1170" s="337"/>
      <c r="N1170" s="337"/>
      <c r="O1170" s="337"/>
      <c r="P1170" s="337"/>
      <c r="Q1170" s="337"/>
      <c r="R1170" s="57"/>
    </row>
    <row r="1171" spans="1:18" s="50" customFormat="1" ht="14.4" x14ac:dyDescent="0.3">
      <c r="A1171" s="367" t="s">
        <v>195</v>
      </c>
      <c r="B1171" s="337"/>
      <c r="C1171" s="337"/>
      <c r="D1171" s="337"/>
      <c r="E1171" s="337"/>
      <c r="F1171" s="337"/>
      <c r="G1171" s="337"/>
      <c r="H1171" s="337"/>
      <c r="I1171" s="337"/>
      <c r="J1171" s="337"/>
      <c r="K1171" s="337"/>
      <c r="L1171" s="337"/>
      <c r="M1171" s="337"/>
      <c r="N1171" s="337"/>
      <c r="O1171" s="337"/>
      <c r="P1171" s="337"/>
      <c r="Q1171" s="337"/>
      <c r="R1171" s="57"/>
    </row>
    <row r="1172" spans="1:18" s="50" customFormat="1" ht="14.4" x14ac:dyDescent="0.3">
      <c r="A1172" s="382" t="s">
        <v>230</v>
      </c>
      <c r="B1172" s="368"/>
      <c r="C1172" s="370"/>
      <c r="D1172" s="369"/>
      <c r="E1172" s="337"/>
      <c r="F1172" s="337"/>
      <c r="G1172" s="370"/>
      <c r="H1172" s="337"/>
      <c r="I1172" s="337"/>
      <c r="J1172" s="337"/>
      <c r="K1172" s="337"/>
      <c r="L1172" s="337"/>
      <c r="M1172" s="337"/>
      <c r="N1172" s="337"/>
      <c r="O1172" s="337"/>
      <c r="P1172" s="337"/>
      <c r="Q1172" s="337"/>
      <c r="R1172" s="57"/>
    </row>
    <row r="1173" spans="1:18" s="50" customFormat="1" ht="14.4" x14ac:dyDescent="0.3">
      <c r="A1173" s="382" t="s">
        <v>272</v>
      </c>
      <c r="B1173" s="368"/>
      <c r="C1173" s="370"/>
      <c r="D1173" s="369"/>
      <c r="E1173" s="337"/>
      <c r="F1173" s="337"/>
      <c r="G1173" s="370"/>
      <c r="H1173" s="337"/>
      <c r="I1173" s="337"/>
      <c r="J1173" s="337"/>
      <c r="K1173" s="337"/>
      <c r="L1173" s="337"/>
      <c r="M1173" s="337"/>
      <c r="N1173" s="337"/>
      <c r="O1173" s="337"/>
      <c r="P1173" s="337"/>
      <c r="Q1173" s="337"/>
      <c r="R1173" s="57"/>
    </row>
    <row r="1174" spans="1:18" s="50" customFormat="1" ht="14.4" x14ac:dyDescent="0.3">
      <c r="A1174" s="382" t="s">
        <v>461</v>
      </c>
      <c r="B1174" s="368"/>
      <c r="C1174" s="370"/>
      <c r="D1174" s="369"/>
      <c r="E1174" s="337"/>
      <c r="F1174" s="337"/>
      <c r="G1174" s="370"/>
      <c r="H1174" s="337"/>
      <c r="I1174" s="337"/>
      <c r="J1174" s="337"/>
      <c r="K1174" s="337"/>
      <c r="L1174" s="337"/>
      <c r="M1174" s="337"/>
      <c r="N1174" s="337"/>
      <c r="O1174" s="337"/>
      <c r="P1174" s="337"/>
      <c r="Q1174" s="337"/>
      <c r="R1174" s="57"/>
    </row>
    <row r="1175" spans="1:18" s="50" customFormat="1" ht="14.4" x14ac:dyDescent="0.3">
      <c r="A1175" s="382" t="s">
        <v>643</v>
      </c>
      <c r="B1175" s="368"/>
      <c r="C1175" s="370"/>
      <c r="D1175" s="369"/>
      <c r="E1175" s="337"/>
      <c r="F1175" s="337"/>
      <c r="G1175" s="370"/>
      <c r="H1175" s="337"/>
      <c r="I1175" s="337"/>
      <c r="J1175" s="337"/>
      <c r="K1175" s="337"/>
      <c r="L1175" s="337"/>
      <c r="M1175" s="337"/>
      <c r="N1175" s="337"/>
      <c r="O1175" s="337"/>
      <c r="P1175" s="337"/>
      <c r="Q1175" s="337"/>
      <c r="R1175" s="57"/>
    </row>
    <row r="1176" spans="1:18" s="50" customFormat="1" ht="14.4" x14ac:dyDescent="0.3">
      <c r="A1176" s="382" t="s">
        <v>231</v>
      </c>
      <c r="B1176" s="368"/>
      <c r="C1176" s="370"/>
      <c r="D1176" s="369"/>
      <c r="E1176" s="337"/>
      <c r="F1176" s="337"/>
      <c r="G1176" s="370"/>
      <c r="H1176" s="337"/>
      <c r="I1176" s="337"/>
      <c r="J1176" s="337"/>
      <c r="K1176" s="337"/>
      <c r="L1176" s="337"/>
      <c r="M1176" s="337"/>
      <c r="N1176" s="337"/>
      <c r="O1176" s="337"/>
      <c r="P1176" s="337"/>
      <c r="Q1176" s="337"/>
      <c r="R1176" s="57"/>
    </row>
    <row r="1177" spans="1:18" s="50" customFormat="1" ht="14.4" x14ac:dyDescent="0.3">
      <c r="A1177" s="382" t="s">
        <v>273</v>
      </c>
      <c r="B1177" s="368"/>
      <c r="C1177" s="370"/>
      <c r="D1177" s="369"/>
      <c r="E1177" s="337"/>
      <c r="F1177" s="337"/>
      <c r="G1177" s="370"/>
      <c r="H1177" s="337"/>
      <c r="I1177" s="337"/>
      <c r="J1177" s="337"/>
      <c r="K1177" s="337"/>
      <c r="L1177" s="337"/>
      <c r="M1177" s="337"/>
      <c r="N1177" s="337"/>
      <c r="O1177" s="337"/>
      <c r="P1177" s="337"/>
      <c r="Q1177" s="337"/>
      <c r="R1177" s="57"/>
    </row>
    <row r="1178" spans="1:18" s="50" customFormat="1" ht="14.4" x14ac:dyDescent="0.3">
      <c r="A1178" s="382" t="s">
        <v>462</v>
      </c>
      <c r="B1178" s="368"/>
      <c r="C1178" s="370"/>
      <c r="D1178" s="369"/>
      <c r="E1178" s="337"/>
      <c r="F1178" s="337"/>
      <c r="G1178" s="370"/>
      <c r="H1178" s="337"/>
      <c r="I1178" s="337"/>
      <c r="J1178" s="337"/>
      <c r="K1178" s="337"/>
      <c r="L1178" s="337"/>
      <c r="M1178" s="337"/>
      <c r="N1178" s="337"/>
      <c r="O1178" s="337"/>
      <c r="P1178" s="337"/>
      <c r="Q1178" s="337"/>
      <c r="R1178" s="57"/>
    </row>
    <row r="1179" spans="1:18" s="50" customFormat="1" ht="14.4" x14ac:dyDescent="0.3">
      <c r="A1179" s="382" t="s">
        <v>644</v>
      </c>
      <c r="B1179" s="368"/>
      <c r="C1179" s="370"/>
      <c r="D1179" s="369"/>
      <c r="E1179" s="337"/>
      <c r="F1179" s="337"/>
      <c r="G1179" s="370"/>
      <c r="H1179" s="337"/>
      <c r="I1179" s="337"/>
      <c r="J1179" s="337"/>
      <c r="K1179" s="337"/>
      <c r="L1179" s="337"/>
      <c r="M1179" s="337"/>
      <c r="N1179" s="337"/>
      <c r="O1179" s="337"/>
      <c r="P1179" s="337"/>
      <c r="Q1179" s="337"/>
      <c r="R1179" s="57"/>
    </row>
    <row r="1180" spans="1:18" s="50" customFormat="1" ht="14.4" x14ac:dyDescent="0.3">
      <c r="A1180" s="382" t="s">
        <v>808</v>
      </c>
      <c r="B1180" s="368"/>
      <c r="C1180" s="370"/>
      <c r="D1180" s="369"/>
      <c r="E1180" s="337"/>
      <c r="F1180" s="337"/>
      <c r="G1180" s="370"/>
      <c r="H1180" s="337"/>
      <c r="I1180" s="337"/>
      <c r="J1180" s="337"/>
      <c r="K1180" s="337"/>
      <c r="L1180" s="337"/>
      <c r="M1180" s="337"/>
      <c r="N1180" s="337"/>
      <c r="O1180" s="337"/>
      <c r="P1180" s="337"/>
      <c r="Q1180" s="337"/>
      <c r="R1180" s="57"/>
    </row>
    <row r="1181" spans="1:18" s="50" customFormat="1" ht="14.4" x14ac:dyDescent="0.3">
      <c r="A1181" s="382" t="s">
        <v>1084</v>
      </c>
      <c r="B1181" s="337"/>
      <c r="C1181" s="337"/>
      <c r="D1181" s="337"/>
      <c r="E1181" s="337"/>
      <c r="F1181" s="337"/>
      <c r="G1181" s="370"/>
      <c r="H1181" s="337"/>
      <c r="I1181" s="337"/>
      <c r="J1181" s="337"/>
      <c r="K1181" s="337"/>
      <c r="L1181" s="337"/>
      <c r="M1181" s="337"/>
      <c r="N1181" s="337"/>
      <c r="O1181" s="337"/>
      <c r="P1181" s="337"/>
      <c r="Q1181" s="337"/>
      <c r="R1181" s="57"/>
    </row>
    <row r="1182" spans="1:18" s="409" customFormat="1" ht="13.8" x14ac:dyDescent="0.3">
      <c r="A1182" s="402" t="s">
        <v>1132</v>
      </c>
      <c r="B1182" s="371"/>
      <c r="C1182" s="371"/>
      <c r="D1182" s="371"/>
      <c r="E1182" s="371"/>
      <c r="F1182" s="371"/>
      <c r="G1182" s="406"/>
      <c r="H1182" s="371"/>
      <c r="I1182" s="371"/>
      <c r="J1182" s="371"/>
      <c r="K1182" s="371"/>
      <c r="L1182" s="371"/>
      <c r="M1182" s="371"/>
      <c r="N1182" s="371"/>
      <c r="O1182" s="371"/>
      <c r="P1182" s="371"/>
      <c r="Q1182" s="407"/>
      <c r="R1182" s="408"/>
    </row>
    <row r="1183" spans="1:18" x14ac:dyDescent="0.25">
      <c r="A1183" s="313"/>
      <c r="C1183" s="346"/>
    </row>
    <row r="1184" spans="1:18" x14ac:dyDescent="0.25">
      <c r="A1184" s="410" t="s">
        <v>14</v>
      </c>
      <c r="B1184" s="351" t="s">
        <v>645</v>
      </c>
      <c r="C1184" s="403" t="s">
        <v>15</v>
      </c>
      <c r="D1184" s="337"/>
      <c r="E1184" s="337"/>
      <c r="F1184" s="337"/>
      <c r="G1184" s="337"/>
      <c r="H1184" s="337"/>
      <c r="I1184" s="337"/>
      <c r="J1184" s="337"/>
      <c r="K1184" s="337"/>
      <c r="L1184" s="337"/>
      <c r="M1184" s="337"/>
    </row>
    <row r="1185" spans="1:18" x14ac:dyDescent="0.25">
      <c r="A1185" s="411" t="s">
        <v>16</v>
      </c>
      <c r="B1185" s="412">
        <v>2009</v>
      </c>
      <c r="C1185" s="413">
        <v>2010</v>
      </c>
      <c r="D1185" s="413">
        <v>2011</v>
      </c>
      <c r="E1185" s="413">
        <v>2012</v>
      </c>
      <c r="F1185" s="413">
        <v>2013</v>
      </c>
      <c r="G1185" s="413">
        <v>2014</v>
      </c>
      <c r="H1185" s="412">
        <v>2015</v>
      </c>
      <c r="I1185" s="412">
        <v>2016</v>
      </c>
      <c r="J1185" s="412">
        <v>2017</v>
      </c>
      <c r="K1185" s="412">
        <v>2018</v>
      </c>
      <c r="L1185" s="412">
        <v>2019</v>
      </c>
      <c r="M1185" s="412">
        <v>2020</v>
      </c>
      <c r="N1185" s="412">
        <v>2021</v>
      </c>
      <c r="O1185" s="412">
        <v>2022</v>
      </c>
      <c r="P1185" s="412">
        <v>2023</v>
      </c>
      <c r="Q1185" s="412">
        <v>2024</v>
      </c>
      <c r="R1185" s="412">
        <v>2025</v>
      </c>
    </row>
    <row r="1186" spans="1:18" x14ac:dyDescent="0.25">
      <c r="A1186" s="355" t="s">
        <v>17</v>
      </c>
      <c r="B1186" s="359">
        <v>329.79</v>
      </c>
      <c r="C1186" s="374">
        <v>311.02</v>
      </c>
      <c r="D1186" s="374">
        <v>301.64</v>
      </c>
      <c r="E1186" s="374">
        <v>301.64</v>
      </c>
      <c r="F1186" s="374">
        <v>301.64</v>
      </c>
      <c r="G1186" s="374">
        <v>301.64</v>
      </c>
      <c r="H1186" s="374">
        <v>345.74</v>
      </c>
      <c r="I1186" s="374">
        <v>345.74</v>
      </c>
      <c r="J1186" s="404">
        <v>345.74</v>
      </c>
      <c r="K1186" s="404">
        <v>407.48</v>
      </c>
      <c r="L1186" s="404">
        <v>407.48</v>
      </c>
      <c r="M1186" s="414">
        <v>407.48</v>
      </c>
      <c r="N1186" s="415">
        <v>407.48</v>
      </c>
      <c r="O1186" s="415">
        <v>664.52</v>
      </c>
      <c r="P1186" s="415">
        <v>664.52</v>
      </c>
      <c r="Q1186" s="415">
        <v>664.52</v>
      </c>
      <c r="R1186" s="415">
        <v>664.52</v>
      </c>
    </row>
    <row r="1187" spans="1:18" x14ac:dyDescent="0.25">
      <c r="A1187" s="358" t="s">
        <v>18</v>
      </c>
      <c r="B1187" s="359">
        <v>402.56000000000006</v>
      </c>
      <c r="C1187" s="374">
        <v>431.91</v>
      </c>
      <c r="D1187" s="374">
        <v>308.37</v>
      </c>
      <c r="E1187" s="374">
        <v>306.06</v>
      </c>
      <c r="F1187" s="374">
        <v>304.12</v>
      </c>
      <c r="G1187" s="374">
        <v>303.5</v>
      </c>
      <c r="H1187" s="374">
        <v>346.61</v>
      </c>
      <c r="I1187" s="374">
        <v>346.83000000000004</v>
      </c>
      <c r="J1187" s="404">
        <v>347.08035600000011</v>
      </c>
      <c r="K1187" s="404">
        <v>408.73035600000014</v>
      </c>
      <c r="L1187" s="404">
        <v>409.20815600000014</v>
      </c>
      <c r="M1187" s="414">
        <v>410.39696779704036</v>
      </c>
      <c r="N1187" s="415">
        <v>410.3</v>
      </c>
      <c r="O1187" s="415">
        <f>O1186+N1190</f>
        <v>665.25</v>
      </c>
      <c r="P1187" s="415">
        <f>P1186+O1190</f>
        <v>671.97</v>
      </c>
      <c r="Q1187" s="415">
        <v>711.8</v>
      </c>
      <c r="R1187" s="415">
        <v>683.66424833498388</v>
      </c>
    </row>
    <row r="1188" spans="1:18" x14ac:dyDescent="0.25">
      <c r="A1188" s="358" t="s">
        <v>19</v>
      </c>
      <c r="B1188" s="359"/>
      <c r="C1188" s="374"/>
      <c r="D1188" s="374"/>
      <c r="E1188" s="374"/>
      <c r="F1188" s="374"/>
      <c r="G1188" s="374"/>
      <c r="H1188" s="374"/>
      <c r="I1188" s="374"/>
      <c r="J1188" s="374"/>
      <c r="K1188" s="374"/>
      <c r="L1188" s="374"/>
      <c r="M1188" s="415"/>
      <c r="N1188" s="415"/>
      <c r="O1188" s="415"/>
      <c r="P1188" s="415"/>
      <c r="Q1188" s="415"/>
      <c r="R1188" s="415"/>
    </row>
    <row r="1189" spans="1:18" x14ac:dyDescent="0.25">
      <c r="A1189" s="358" t="s">
        <v>20</v>
      </c>
      <c r="B1189" s="359">
        <v>281.67</v>
      </c>
      <c r="C1189" s="374">
        <v>425.18</v>
      </c>
      <c r="D1189" s="374">
        <v>303.95</v>
      </c>
      <c r="E1189" s="374">
        <v>303.58</v>
      </c>
      <c r="F1189" s="374">
        <v>302.26</v>
      </c>
      <c r="G1189" s="374">
        <v>302.63</v>
      </c>
      <c r="H1189" s="374">
        <v>345.52</v>
      </c>
      <c r="I1189" s="374">
        <v>345.48964399999994</v>
      </c>
      <c r="J1189" s="374">
        <v>345.83</v>
      </c>
      <c r="K1189" s="374">
        <v>407.00220000000002</v>
      </c>
      <c r="L1189" s="374">
        <v>406.2911882029598</v>
      </c>
      <c r="M1189" s="415">
        <v>407.58140000000009</v>
      </c>
      <c r="N1189" s="415">
        <v>409.57</v>
      </c>
      <c r="O1189" s="415">
        <v>657.8</v>
      </c>
      <c r="P1189" s="415">
        <v>624.67999999999995</v>
      </c>
      <c r="Q1189" s="415">
        <v>692.65575166501606</v>
      </c>
      <c r="R1189" s="415" t="s">
        <v>1131</v>
      </c>
    </row>
    <row r="1190" spans="1:18" x14ac:dyDescent="0.25">
      <c r="A1190" s="358" t="s">
        <v>21</v>
      </c>
      <c r="B1190" s="359">
        <v>120.89000000000004</v>
      </c>
      <c r="C1190" s="374">
        <v>6.7300000000000182</v>
      </c>
      <c r="D1190" s="374">
        <v>4.4200000000000159</v>
      </c>
      <c r="E1190" s="374">
        <v>2.4800000000000182</v>
      </c>
      <c r="F1190" s="374">
        <v>1.8600000000000136</v>
      </c>
      <c r="G1190" s="374">
        <v>0.87000000000000455</v>
      </c>
      <c r="H1190" s="374">
        <v>1.0900000000000318</v>
      </c>
      <c r="I1190" s="374">
        <v>1.3403560000000994</v>
      </c>
      <c r="J1190" s="374">
        <v>1.2503560000001244</v>
      </c>
      <c r="K1190" s="374">
        <v>1.7281560000001264</v>
      </c>
      <c r="L1190" s="374">
        <v>2.9169677970403427</v>
      </c>
      <c r="M1190" s="415">
        <v>2.8155677970402735</v>
      </c>
      <c r="N1190" s="415">
        <f>N1187-N1189</f>
        <v>0.73000000000001819</v>
      </c>
      <c r="O1190" s="415">
        <f>O1187-O1189</f>
        <v>7.4500000000000455</v>
      </c>
      <c r="P1190" s="415">
        <v>47.28</v>
      </c>
      <c r="Q1190" s="415">
        <v>19.144248334983899</v>
      </c>
      <c r="R1190" s="415" t="s">
        <v>1131</v>
      </c>
    </row>
    <row r="1191" spans="1:18" x14ac:dyDescent="0.25">
      <c r="A1191" s="362" t="s">
        <v>22</v>
      </c>
      <c r="B1191" s="375"/>
      <c r="C1191" s="375"/>
      <c r="D1191" s="375"/>
      <c r="E1191" s="375"/>
      <c r="F1191" s="375"/>
      <c r="G1191" s="375"/>
      <c r="H1191" s="375"/>
      <c r="I1191" s="375"/>
      <c r="J1191" s="375"/>
      <c r="K1191" s="375">
        <v>2019</v>
      </c>
      <c r="L1191" s="375">
        <v>2020</v>
      </c>
      <c r="M1191" s="375">
        <v>2021</v>
      </c>
      <c r="N1191" s="375">
        <v>2022</v>
      </c>
      <c r="O1191" s="375">
        <v>2023</v>
      </c>
      <c r="P1191" s="375">
        <v>2024</v>
      </c>
      <c r="Q1191" s="415">
        <v>2025</v>
      </c>
      <c r="R1191" s="415">
        <v>2026</v>
      </c>
    </row>
    <row r="1192" spans="1:18" x14ac:dyDescent="0.25">
      <c r="A1192" s="377" t="s">
        <v>179</v>
      </c>
      <c r="B1192" s="378"/>
      <c r="C1192" s="378"/>
      <c r="D1192" s="378"/>
      <c r="E1192" s="378"/>
      <c r="F1192" s="378"/>
      <c r="G1192" s="378"/>
      <c r="H1192" s="378"/>
      <c r="I1192" s="378"/>
      <c r="J1192" s="378"/>
      <c r="K1192" s="378"/>
      <c r="L1192" s="378"/>
      <c r="M1192" s="378"/>
      <c r="N1192" s="378"/>
      <c r="O1192" s="378"/>
      <c r="P1192" s="378"/>
      <c r="Q1192" s="378"/>
      <c r="R1192" s="88"/>
    </row>
    <row r="1193" spans="1:18" x14ac:dyDescent="0.25">
      <c r="A1193" s="364" t="s">
        <v>210</v>
      </c>
      <c r="B1193" s="366"/>
      <c r="C1193" s="366"/>
      <c r="D1193" s="366"/>
      <c r="E1193" s="366"/>
      <c r="F1193" s="366"/>
      <c r="G1193" s="366"/>
      <c r="H1193" s="366"/>
      <c r="I1193" s="366"/>
      <c r="J1193" s="366"/>
      <c r="K1193" s="366"/>
      <c r="L1193" s="366"/>
      <c r="M1193" s="366"/>
      <c r="N1193" s="366"/>
      <c r="O1193" s="366"/>
      <c r="P1193" s="366"/>
      <c r="Q1193" s="366"/>
      <c r="R1193" s="63"/>
    </row>
    <row r="1194" spans="1:18" x14ac:dyDescent="0.25">
      <c r="A1194" s="382" t="s">
        <v>232</v>
      </c>
      <c r="B1194" s="337"/>
      <c r="C1194" s="337"/>
      <c r="D1194" s="337"/>
      <c r="E1194" s="337"/>
      <c r="F1194" s="337"/>
      <c r="G1194" s="337"/>
      <c r="H1194" s="337"/>
      <c r="I1194" s="337"/>
      <c r="J1194" s="337"/>
      <c r="K1194" s="337"/>
      <c r="L1194" s="337"/>
      <c r="M1194" s="337"/>
      <c r="N1194" s="337"/>
      <c r="O1194" s="337"/>
      <c r="P1194" s="337"/>
      <c r="Q1194" s="337"/>
      <c r="R1194" s="64"/>
    </row>
    <row r="1195" spans="1:18" x14ac:dyDescent="0.25">
      <c r="A1195" s="382" t="s">
        <v>274</v>
      </c>
      <c r="B1195" s="337"/>
      <c r="C1195" s="337"/>
      <c r="D1195" s="337"/>
      <c r="E1195" s="337"/>
      <c r="F1195" s="337"/>
      <c r="G1195" s="337"/>
      <c r="H1195" s="337"/>
      <c r="I1195" s="337"/>
      <c r="J1195" s="337"/>
      <c r="K1195" s="337"/>
      <c r="L1195" s="337"/>
      <c r="M1195" s="337"/>
      <c r="N1195" s="337"/>
      <c r="O1195" s="337"/>
      <c r="P1195" s="337"/>
      <c r="Q1195" s="337"/>
      <c r="R1195" s="64"/>
    </row>
    <row r="1196" spans="1:18" x14ac:dyDescent="0.25">
      <c r="A1196" s="382" t="s">
        <v>275</v>
      </c>
      <c r="B1196" s="337"/>
      <c r="C1196" s="337"/>
      <c r="D1196" s="337"/>
      <c r="E1196" s="337"/>
      <c r="F1196" s="337"/>
      <c r="G1196" s="337"/>
      <c r="H1196" s="337"/>
      <c r="I1196" s="337"/>
      <c r="J1196" s="337"/>
      <c r="K1196" s="337"/>
      <c r="L1196" s="337"/>
      <c r="M1196" s="337"/>
      <c r="N1196" s="337"/>
      <c r="O1196" s="337"/>
      <c r="P1196" s="337"/>
      <c r="Q1196" s="337"/>
      <c r="R1196" s="64"/>
    </row>
    <row r="1197" spans="1:18" x14ac:dyDescent="0.25">
      <c r="A1197" s="382" t="s">
        <v>276</v>
      </c>
      <c r="B1197" s="337"/>
      <c r="C1197" s="337"/>
      <c r="D1197" s="337"/>
      <c r="E1197" s="337"/>
      <c r="F1197" s="337"/>
      <c r="G1197" s="337"/>
      <c r="H1197" s="337"/>
      <c r="I1197" s="337"/>
      <c r="J1197" s="337"/>
      <c r="K1197" s="337"/>
      <c r="L1197" s="337"/>
      <c r="M1197" s="337"/>
      <c r="N1197" s="337"/>
      <c r="O1197" s="337"/>
      <c r="P1197" s="337"/>
      <c r="Q1197" s="337"/>
      <c r="R1197" s="64"/>
    </row>
    <row r="1198" spans="1:18" x14ac:dyDescent="0.25">
      <c r="A1198" s="382" t="s">
        <v>463</v>
      </c>
      <c r="B1198" s="337"/>
      <c r="C1198" s="337"/>
      <c r="D1198" s="337"/>
      <c r="E1198" s="337"/>
      <c r="F1198" s="337"/>
      <c r="G1198" s="337"/>
      <c r="H1198" s="337"/>
      <c r="I1198" s="337"/>
      <c r="J1198" s="337"/>
      <c r="K1198" s="337"/>
      <c r="L1198" s="337"/>
      <c r="M1198" s="337"/>
      <c r="N1198" s="337"/>
      <c r="O1198" s="337"/>
      <c r="P1198" s="337"/>
      <c r="Q1198" s="337"/>
      <c r="R1198" s="64"/>
    </row>
    <row r="1199" spans="1:18" x14ac:dyDescent="0.25">
      <c r="A1199" s="382" t="s">
        <v>464</v>
      </c>
      <c r="B1199" s="337"/>
      <c r="C1199" s="337"/>
      <c r="D1199" s="337"/>
      <c r="E1199" s="337"/>
      <c r="F1199" s="337"/>
      <c r="G1199" s="337"/>
      <c r="H1199" s="337"/>
      <c r="I1199" s="337"/>
      <c r="J1199" s="337"/>
      <c r="K1199" s="337"/>
      <c r="L1199" s="337"/>
      <c r="M1199" s="337"/>
      <c r="N1199" s="337"/>
      <c r="O1199" s="337"/>
      <c r="P1199" s="337"/>
      <c r="Q1199" s="337"/>
      <c r="R1199" s="64"/>
    </row>
    <row r="1200" spans="1:18" x14ac:dyDescent="0.25">
      <c r="A1200" s="382" t="s">
        <v>646</v>
      </c>
      <c r="B1200" s="337"/>
      <c r="C1200" s="337"/>
      <c r="D1200" s="337"/>
      <c r="E1200" s="337"/>
      <c r="F1200" s="337"/>
      <c r="G1200" s="337"/>
      <c r="H1200" s="337"/>
      <c r="I1200" s="337"/>
      <c r="J1200" s="337"/>
      <c r="K1200" s="337"/>
      <c r="L1200" s="337"/>
      <c r="M1200" s="337"/>
      <c r="N1200" s="337"/>
      <c r="O1200" s="337"/>
      <c r="P1200" s="337"/>
      <c r="Q1200" s="337"/>
      <c r="R1200" s="64"/>
    </row>
    <row r="1201" spans="1:19" x14ac:dyDescent="0.25">
      <c r="A1201" s="382" t="s">
        <v>809</v>
      </c>
      <c r="B1201" s="337"/>
      <c r="C1201" s="337"/>
      <c r="D1201" s="337"/>
      <c r="E1201" s="337"/>
      <c r="F1201" s="337"/>
      <c r="G1201" s="337"/>
      <c r="H1201" s="337"/>
      <c r="I1201" s="337"/>
      <c r="J1201" s="337"/>
      <c r="K1201" s="337"/>
      <c r="L1201" s="337"/>
      <c r="M1201" s="337"/>
      <c r="N1201" s="337"/>
      <c r="O1201" s="337"/>
      <c r="P1201" s="337"/>
      <c r="Q1201" s="337"/>
      <c r="R1201" s="64"/>
    </row>
    <row r="1202" spans="1:19" x14ac:dyDescent="0.25">
      <c r="A1202" s="382" t="s">
        <v>810</v>
      </c>
      <c r="B1202" s="337"/>
      <c r="C1202" s="337"/>
      <c r="D1202" s="337"/>
      <c r="E1202" s="337"/>
      <c r="F1202" s="337"/>
      <c r="G1202" s="337"/>
      <c r="H1202" s="337"/>
      <c r="I1202" s="337"/>
      <c r="J1202" s="337"/>
      <c r="K1202" s="337"/>
      <c r="L1202" s="337"/>
      <c r="M1202" s="337"/>
      <c r="N1202" s="337"/>
      <c r="O1202" s="337"/>
      <c r="P1202" s="337"/>
      <c r="Q1202" s="337"/>
      <c r="R1202" s="64"/>
    </row>
    <row r="1203" spans="1:19" x14ac:dyDescent="0.25">
      <c r="A1203" s="382" t="s">
        <v>1087</v>
      </c>
      <c r="B1203" s="337"/>
      <c r="C1203" s="337"/>
      <c r="D1203" s="337"/>
      <c r="E1203" s="337"/>
      <c r="F1203" s="337"/>
      <c r="G1203" s="337"/>
      <c r="H1203" s="337"/>
      <c r="I1203" s="337"/>
      <c r="J1203" s="337"/>
      <c r="K1203" s="337"/>
      <c r="L1203" s="337"/>
      <c r="M1203" s="337"/>
      <c r="N1203" s="337"/>
      <c r="O1203" s="337"/>
      <c r="P1203" s="337"/>
      <c r="Q1203" s="337"/>
      <c r="R1203" s="64"/>
    </row>
    <row r="1204" spans="1:19" s="409" customFormat="1" ht="13.8" x14ac:dyDescent="0.3">
      <c r="A1204" s="402" t="s">
        <v>1133</v>
      </c>
      <c r="B1204" s="371"/>
      <c r="C1204" s="371"/>
      <c r="D1204" s="371"/>
      <c r="E1204" s="371"/>
      <c r="F1204" s="371"/>
      <c r="G1204" s="371"/>
      <c r="H1204" s="371"/>
      <c r="I1204" s="371"/>
      <c r="J1204" s="371"/>
      <c r="K1204" s="371"/>
      <c r="L1204" s="371"/>
      <c r="M1204" s="371"/>
      <c r="N1204" s="371"/>
      <c r="O1204" s="371"/>
      <c r="P1204" s="371"/>
      <c r="Q1204" s="407"/>
      <c r="R1204" s="408"/>
    </row>
    <row r="1205" spans="1:19" x14ac:dyDescent="0.25">
      <c r="A1205" s="313"/>
      <c r="C1205" s="346"/>
    </row>
    <row r="1206" spans="1:19" x14ac:dyDescent="0.25">
      <c r="A1206" s="350" t="s">
        <v>14</v>
      </c>
      <c r="B1206" s="351" t="s">
        <v>66</v>
      </c>
      <c r="C1206" s="403" t="s">
        <v>15</v>
      </c>
      <c r="D1206" s="337"/>
      <c r="E1206" s="337"/>
      <c r="F1206" s="337"/>
      <c r="G1206" s="337"/>
      <c r="H1206" s="337"/>
      <c r="I1206" s="337"/>
      <c r="J1206" s="337"/>
      <c r="K1206" s="337"/>
      <c r="L1206" s="337"/>
      <c r="M1206" s="337"/>
      <c r="N1206" s="337"/>
      <c r="O1206" s="337"/>
      <c r="P1206" s="337"/>
    </row>
    <row r="1207" spans="1:19" x14ac:dyDescent="0.25">
      <c r="A1207" s="358" t="s">
        <v>16</v>
      </c>
      <c r="B1207" s="357">
        <v>2009</v>
      </c>
      <c r="C1207" s="357">
        <v>2010</v>
      </c>
      <c r="D1207" s="357">
        <v>2011</v>
      </c>
      <c r="E1207" s="357">
        <v>2012</v>
      </c>
      <c r="F1207" s="357">
        <v>2013</v>
      </c>
      <c r="G1207" s="357">
        <v>2014</v>
      </c>
      <c r="H1207" s="357">
        <v>2015</v>
      </c>
      <c r="I1207" s="357">
        <v>2016</v>
      </c>
      <c r="J1207" s="357">
        <v>2017</v>
      </c>
      <c r="K1207" s="357">
        <v>2018</v>
      </c>
      <c r="L1207" s="357">
        <v>2019</v>
      </c>
      <c r="M1207" s="357">
        <v>2020</v>
      </c>
      <c r="N1207" s="357">
        <v>2021</v>
      </c>
      <c r="O1207" s="357">
        <v>2022</v>
      </c>
      <c r="P1207" s="357">
        <v>2023</v>
      </c>
      <c r="Q1207" s="357">
        <v>2024</v>
      </c>
      <c r="R1207" s="357">
        <v>2025</v>
      </c>
      <c r="S1207" s="357">
        <v>2026</v>
      </c>
    </row>
    <row r="1208" spans="1:19" x14ac:dyDescent="0.25">
      <c r="A1208" s="358" t="s">
        <v>17</v>
      </c>
      <c r="B1208" s="374">
        <v>25000</v>
      </c>
      <c r="C1208" s="374">
        <v>25000</v>
      </c>
      <c r="D1208" s="374">
        <v>23611</v>
      </c>
      <c r="E1208" s="374">
        <v>23611</v>
      </c>
      <c r="F1208" s="374">
        <v>23611</v>
      </c>
      <c r="G1208" s="374">
        <v>23611</v>
      </c>
      <c r="H1208" s="374">
        <v>23611</v>
      </c>
      <c r="I1208" s="374">
        <v>17696</v>
      </c>
      <c r="J1208" s="404">
        <v>17696</v>
      </c>
      <c r="K1208" s="404">
        <v>17696</v>
      </c>
      <c r="L1208" s="404">
        <v>17696</v>
      </c>
      <c r="M1208" s="404">
        <v>13979.84</v>
      </c>
      <c r="N1208" s="404">
        <v>13756.162560000001</v>
      </c>
      <c r="O1208" s="404">
        <v>13868.00128</v>
      </c>
      <c r="P1208" s="404">
        <v>13868.00128</v>
      </c>
      <c r="Q1208" s="404">
        <v>13868.00128</v>
      </c>
      <c r="R1208" s="404">
        <v>13865</v>
      </c>
      <c r="S1208" s="404">
        <v>13865.86</v>
      </c>
    </row>
    <row r="1209" spans="1:19" x14ac:dyDescent="0.25">
      <c r="A1209" s="358" t="s">
        <v>18</v>
      </c>
      <c r="B1209" s="374">
        <v>30500</v>
      </c>
      <c r="C1209" s="374">
        <v>29700</v>
      </c>
      <c r="D1209" s="374">
        <v>26894.3</v>
      </c>
      <c r="E1209" s="374">
        <v>27624.3</v>
      </c>
      <c r="F1209" s="374">
        <v>27624.3</v>
      </c>
      <c r="G1209" s="374">
        <v>27624.3</v>
      </c>
      <c r="H1209" s="374">
        <v>27624.3</v>
      </c>
      <c r="I1209" s="374">
        <v>20167.650000000001</v>
      </c>
      <c r="J1209" s="404">
        <v>19280.400000000001</v>
      </c>
      <c r="K1209" s="404">
        <v>15415.88</v>
      </c>
      <c r="L1209" s="404">
        <v>19280.400000000001</v>
      </c>
      <c r="M1209" s="404">
        <v>13079.84</v>
      </c>
      <c r="N1209" s="404">
        <f>N1208+0.1*L1208-600-300</f>
        <v>14625.762560000001</v>
      </c>
      <c r="O1209" s="404">
        <f>O1208+0.1*M1208-600-300</f>
        <v>14365.985280000001</v>
      </c>
      <c r="P1209" s="404">
        <f>P1208+0.1*N1208-600-300</f>
        <v>14343.617536000002</v>
      </c>
      <c r="Q1209" s="404">
        <f>Q1208+0.1*O1208-600-300</f>
        <v>14354.801408000001</v>
      </c>
      <c r="R1209" s="404">
        <f>R1208+P1212-350</f>
        <v>14499.017536000001</v>
      </c>
      <c r="S1209" s="404">
        <f>S1208+Q1212-350</f>
        <v>16834.661408</v>
      </c>
    </row>
    <row r="1210" spans="1:19" x14ac:dyDescent="0.25">
      <c r="A1210" s="358" t="s">
        <v>19</v>
      </c>
      <c r="B1210" s="374"/>
      <c r="C1210" s="374"/>
      <c r="D1210" s="374"/>
      <c r="E1210" s="374"/>
      <c r="F1210" s="374"/>
      <c r="G1210" s="374"/>
      <c r="H1210" s="374"/>
      <c r="I1210" s="374"/>
      <c r="J1210" s="374"/>
      <c r="K1210" s="374"/>
      <c r="L1210" s="374"/>
      <c r="M1210" s="374"/>
      <c r="N1210" s="374"/>
      <c r="O1210" s="374"/>
      <c r="P1210" s="374"/>
      <c r="Q1210" s="374"/>
      <c r="R1210" s="374"/>
      <c r="S1210" s="374"/>
    </row>
    <row r="1211" spans="1:19" x14ac:dyDescent="0.25">
      <c r="A1211" s="358" t="s">
        <v>20</v>
      </c>
      <c r="B1211" s="374">
        <v>13127.78969</v>
      </c>
      <c r="C1211" s="374">
        <v>12919.833529999998</v>
      </c>
      <c r="D1211" s="374">
        <v>11930</v>
      </c>
      <c r="E1211" s="374">
        <v>15971.9</v>
      </c>
      <c r="F1211" s="374">
        <v>14342</v>
      </c>
      <c r="G1211" s="374">
        <v>12595.2</v>
      </c>
      <c r="H1211" s="374">
        <v>10179.799999999999</v>
      </c>
      <c r="I1211" s="374">
        <v>11238</v>
      </c>
      <c r="J1211" s="374">
        <v>9872.2000000000007</v>
      </c>
      <c r="K1211" s="374">
        <v>9849.5910000000003</v>
      </c>
      <c r="L1211" s="374">
        <v>9933.1844890000011</v>
      </c>
      <c r="M1211" s="374">
        <v>9294.3000000000011</v>
      </c>
      <c r="N1211" s="374">
        <v>11226.4</v>
      </c>
      <c r="O1211" s="374">
        <v>12374.5</v>
      </c>
      <c r="P1211" s="374">
        <v>13359.6</v>
      </c>
      <c r="Q1211" s="374">
        <v>11036</v>
      </c>
      <c r="R1211" s="374"/>
      <c r="S1211" s="374"/>
    </row>
    <row r="1212" spans="1:19" x14ac:dyDescent="0.25">
      <c r="A1212" s="358" t="s">
        <v>21</v>
      </c>
      <c r="B1212" s="374">
        <v>17372.210310000002</v>
      </c>
      <c r="C1212" s="374">
        <v>16780.166470000004</v>
      </c>
      <c r="D1212" s="374">
        <v>14964.3</v>
      </c>
      <c r="E1212" s="374">
        <v>11652.4</v>
      </c>
      <c r="F1212" s="374">
        <v>13282.3</v>
      </c>
      <c r="G1212" s="374">
        <v>15029.099999999999</v>
      </c>
      <c r="H1212" s="374">
        <v>17444.5</v>
      </c>
      <c r="I1212" s="374">
        <v>8929.6500000000015</v>
      </c>
      <c r="J1212" s="374">
        <v>9408.2000000000007</v>
      </c>
      <c r="K1212" s="374">
        <v>5566.2889999999989</v>
      </c>
      <c r="L1212" s="374">
        <v>9347.2155110000003</v>
      </c>
      <c r="M1212" s="374">
        <f>M1209-M1211</f>
        <v>3785.5399999999991</v>
      </c>
      <c r="N1212" s="374">
        <f>N1209-N1211</f>
        <v>3399.3625600000014</v>
      </c>
      <c r="O1212" s="374">
        <f>O1209-O1211</f>
        <v>1991.4852800000008</v>
      </c>
      <c r="P1212" s="374">
        <f>P1209-P1211</f>
        <v>984.0175360000012</v>
      </c>
      <c r="Q1212" s="374">
        <f>Q1209-Q1211</f>
        <v>3318.8014080000012</v>
      </c>
      <c r="R1212" s="374"/>
      <c r="S1212" s="374"/>
    </row>
    <row r="1213" spans="1:19" x14ac:dyDescent="0.25">
      <c r="A1213" s="362" t="s">
        <v>22</v>
      </c>
      <c r="B1213" s="375"/>
      <c r="C1213" s="375"/>
      <c r="D1213" s="375"/>
      <c r="E1213" s="375"/>
      <c r="F1213" s="375"/>
      <c r="G1213" s="375"/>
      <c r="H1213" s="375"/>
      <c r="I1213" s="375"/>
      <c r="J1213" s="375">
        <v>2019</v>
      </c>
      <c r="K1213" s="375">
        <v>2020</v>
      </c>
      <c r="L1213" s="375">
        <v>2021</v>
      </c>
      <c r="M1213" s="375">
        <v>2022</v>
      </c>
      <c r="N1213" s="375">
        <v>2023</v>
      </c>
      <c r="O1213" s="375">
        <v>2024</v>
      </c>
      <c r="P1213" s="375">
        <v>2025</v>
      </c>
      <c r="Q1213" s="375">
        <v>2026</v>
      </c>
      <c r="R1213" s="375">
        <v>2027</v>
      </c>
      <c r="S1213" s="375">
        <v>2028</v>
      </c>
    </row>
    <row r="1214" spans="1:19" x14ac:dyDescent="0.25">
      <c r="A1214" s="364" t="s">
        <v>179</v>
      </c>
      <c r="B1214" s="366"/>
      <c r="C1214" s="366"/>
      <c r="D1214" s="366"/>
      <c r="E1214" s="366"/>
      <c r="F1214" s="366"/>
      <c r="G1214" s="366"/>
      <c r="H1214" s="366"/>
      <c r="I1214" s="366"/>
      <c r="J1214" s="366"/>
      <c r="K1214" s="366"/>
      <c r="L1214" s="366"/>
      <c r="M1214" s="366"/>
      <c r="N1214" s="366"/>
      <c r="O1214" s="366"/>
      <c r="P1214" s="366"/>
      <c r="Q1214" s="366"/>
      <c r="R1214" s="366"/>
      <c r="S1214" s="63"/>
    </row>
    <row r="1215" spans="1:19" x14ac:dyDescent="0.25">
      <c r="A1215" s="364" t="s">
        <v>196</v>
      </c>
      <c r="B1215" s="366"/>
      <c r="C1215" s="366"/>
      <c r="D1215" s="366"/>
      <c r="E1215" s="366"/>
      <c r="F1215" s="366"/>
      <c r="G1215" s="366"/>
      <c r="H1215" s="366"/>
      <c r="I1215" s="366"/>
      <c r="J1215" s="366"/>
      <c r="K1215" s="366"/>
      <c r="L1215" s="366"/>
      <c r="M1215" s="366"/>
      <c r="N1215" s="366"/>
      <c r="O1215" s="366"/>
      <c r="P1215" s="366"/>
      <c r="Q1215" s="366"/>
      <c r="R1215" s="366"/>
      <c r="S1215" s="63"/>
    </row>
    <row r="1216" spans="1:19" x14ac:dyDescent="0.25">
      <c r="A1216" s="367" t="s">
        <v>197</v>
      </c>
      <c r="B1216" s="337"/>
      <c r="C1216" s="337"/>
      <c r="D1216" s="337"/>
      <c r="E1216" s="337"/>
      <c r="F1216" s="337"/>
      <c r="G1216" s="337"/>
      <c r="H1216" s="337"/>
      <c r="I1216" s="337"/>
      <c r="J1216" s="337"/>
      <c r="K1216" s="337"/>
      <c r="L1216" s="337"/>
      <c r="M1216" s="337"/>
      <c r="N1216" s="337"/>
      <c r="O1216" s="337"/>
      <c r="P1216" s="337"/>
      <c r="Q1216" s="337"/>
      <c r="R1216" s="337"/>
      <c r="S1216" s="64"/>
    </row>
    <row r="1217" spans="1:19" x14ac:dyDescent="0.25">
      <c r="A1217" s="367" t="s">
        <v>235</v>
      </c>
      <c r="B1217" s="337"/>
      <c r="C1217" s="337"/>
      <c r="D1217" s="337"/>
      <c r="E1217" s="337"/>
      <c r="F1217" s="337"/>
      <c r="G1217" s="337"/>
      <c r="H1217" s="337"/>
      <c r="I1217" s="337"/>
      <c r="J1217" s="337"/>
      <c r="K1217" s="337"/>
      <c r="L1217" s="337"/>
      <c r="M1217" s="337"/>
      <c r="N1217" s="337"/>
      <c r="O1217" s="337"/>
      <c r="P1217" s="337"/>
      <c r="Q1217" s="337"/>
      <c r="R1217" s="337"/>
      <c r="S1217" s="64"/>
    </row>
    <row r="1218" spans="1:19" x14ac:dyDescent="0.25">
      <c r="A1218" s="367" t="s">
        <v>236</v>
      </c>
      <c r="B1218" s="368"/>
      <c r="C1218" s="370"/>
      <c r="D1218" s="369"/>
      <c r="E1218" s="337"/>
      <c r="F1218" s="337"/>
      <c r="G1218" s="370"/>
      <c r="H1218" s="337"/>
      <c r="I1218" s="337"/>
      <c r="J1218" s="337"/>
      <c r="K1218" s="337"/>
      <c r="L1218" s="337"/>
      <c r="M1218" s="337"/>
      <c r="N1218" s="337"/>
      <c r="O1218" s="337"/>
      <c r="P1218" s="337"/>
      <c r="Q1218" s="337"/>
      <c r="R1218" s="337"/>
      <c r="S1218" s="64"/>
    </row>
    <row r="1219" spans="1:19" x14ac:dyDescent="0.25">
      <c r="A1219" s="367" t="s">
        <v>237</v>
      </c>
      <c r="B1219" s="337"/>
      <c r="C1219" s="337"/>
      <c r="D1219" s="337"/>
      <c r="E1219" s="337"/>
      <c r="F1219" s="337"/>
      <c r="G1219" s="398"/>
      <c r="H1219" s="337"/>
      <c r="I1219" s="337"/>
      <c r="J1219" s="337"/>
      <c r="K1219" s="337"/>
      <c r="L1219" s="337"/>
      <c r="M1219" s="337"/>
      <c r="N1219" s="337"/>
      <c r="O1219" s="337"/>
      <c r="P1219" s="337"/>
      <c r="Q1219" s="337"/>
      <c r="R1219" s="337"/>
      <c r="S1219" s="64"/>
    </row>
    <row r="1220" spans="1:19" x14ac:dyDescent="0.25">
      <c r="A1220" s="367" t="s">
        <v>278</v>
      </c>
      <c r="B1220" s="337"/>
      <c r="C1220" s="337"/>
      <c r="D1220" s="337"/>
      <c r="E1220" s="337"/>
      <c r="F1220" s="337"/>
      <c r="G1220" s="337"/>
      <c r="H1220" s="337"/>
      <c r="I1220" s="337"/>
      <c r="J1220" s="337"/>
      <c r="K1220" s="337"/>
      <c r="L1220" s="337"/>
      <c r="M1220" s="337"/>
      <c r="N1220" s="337"/>
      <c r="O1220" s="337"/>
      <c r="P1220" s="337"/>
      <c r="Q1220" s="337"/>
      <c r="R1220" s="337"/>
      <c r="S1220" s="64"/>
    </row>
    <row r="1221" spans="1:19" x14ac:dyDescent="0.25">
      <c r="A1221" s="367" t="s">
        <v>238</v>
      </c>
      <c r="B1221" s="337"/>
      <c r="C1221" s="337"/>
      <c r="D1221" s="337"/>
      <c r="E1221" s="337"/>
      <c r="F1221" s="337"/>
      <c r="G1221" s="398"/>
      <c r="H1221" s="337"/>
      <c r="I1221" s="337"/>
      <c r="J1221" s="337"/>
      <c r="K1221" s="337"/>
      <c r="L1221" s="337"/>
      <c r="M1221" s="337"/>
      <c r="N1221" s="337"/>
      <c r="O1221" s="337"/>
      <c r="P1221" s="337"/>
      <c r="Q1221" s="337"/>
      <c r="R1221" s="337"/>
      <c r="S1221" s="64"/>
    </row>
    <row r="1222" spans="1:19" x14ac:dyDescent="0.25">
      <c r="A1222" s="367" t="s">
        <v>233</v>
      </c>
      <c r="B1222" s="337"/>
      <c r="C1222" s="337"/>
      <c r="D1222" s="337"/>
      <c r="E1222" s="337"/>
      <c r="F1222" s="337"/>
      <c r="G1222" s="398"/>
      <c r="H1222" s="337"/>
      <c r="I1222" s="337"/>
      <c r="J1222" s="337"/>
      <c r="K1222" s="337"/>
      <c r="L1222" s="337"/>
      <c r="M1222" s="337"/>
      <c r="N1222" s="337"/>
      <c r="O1222" s="337"/>
      <c r="P1222" s="337"/>
      <c r="Q1222" s="337"/>
      <c r="R1222" s="337"/>
      <c r="S1222" s="64"/>
    </row>
    <row r="1223" spans="1:19" x14ac:dyDescent="0.25">
      <c r="A1223" s="382" t="s">
        <v>234</v>
      </c>
      <c r="B1223" s="337"/>
      <c r="C1223" s="337"/>
      <c r="D1223" s="337"/>
      <c r="E1223" s="337"/>
      <c r="F1223" s="337"/>
      <c r="G1223" s="337"/>
      <c r="H1223" s="337"/>
      <c r="I1223" s="337"/>
      <c r="J1223" s="337"/>
      <c r="K1223" s="337"/>
      <c r="L1223" s="337"/>
      <c r="M1223" s="337"/>
      <c r="N1223" s="337"/>
      <c r="O1223" s="337"/>
      <c r="P1223" s="337"/>
      <c r="Q1223" s="337"/>
      <c r="R1223" s="337"/>
      <c r="S1223" s="64"/>
    </row>
    <row r="1224" spans="1:19" x14ac:dyDescent="0.25">
      <c r="A1224" s="382" t="s">
        <v>211</v>
      </c>
      <c r="B1224" s="337"/>
      <c r="C1224" s="337"/>
      <c r="D1224" s="337"/>
      <c r="E1224" s="337"/>
      <c r="F1224" s="337"/>
      <c r="G1224" s="337"/>
      <c r="H1224" s="337"/>
      <c r="I1224" s="337"/>
      <c r="J1224" s="337"/>
      <c r="K1224" s="337"/>
      <c r="L1224" s="337"/>
      <c r="M1224" s="337"/>
      <c r="N1224" s="337"/>
      <c r="O1224" s="337"/>
      <c r="P1224" s="337"/>
      <c r="Q1224" s="337"/>
      <c r="R1224" s="337"/>
      <c r="S1224" s="64"/>
    </row>
    <row r="1225" spans="1:19" x14ac:dyDescent="0.25">
      <c r="A1225" s="382" t="s">
        <v>277</v>
      </c>
      <c r="B1225" s="337"/>
      <c r="C1225" s="337"/>
      <c r="D1225" s="337"/>
      <c r="E1225" s="337"/>
      <c r="F1225" s="337"/>
      <c r="G1225" s="337"/>
      <c r="H1225" s="337"/>
      <c r="I1225" s="337"/>
      <c r="J1225" s="337"/>
      <c r="K1225" s="337"/>
      <c r="L1225" s="337"/>
      <c r="M1225" s="337"/>
      <c r="N1225" s="337"/>
      <c r="O1225" s="337"/>
      <c r="P1225" s="337"/>
      <c r="Q1225" s="337"/>
      <c r="R1225" s="337"/>
      <c r="S1225" s="64"/>
    </row>
    <row r="1226" spans="1:19" ht="13.2" customHeight="1" x14ac:dyDescent="0.25">
      <c r="A1226" s="382" t="s">
        <v>375</v>
      </c>
      <c r="B1226" s="337"/>
      <c r="C1226" s="337"/>
      <c r="D1226" s="337"/>
      <c r="E1226" s="337"/>
      <c r="F1226" s="337"/>
      <c r="G1226" s="337"/>
      <c r="H1226" s="337"/>
      <c r="I1226" s="337"/>
      <c r="J1226" s="337"/>
      <c r="K1226" s="337"/>
      <c r="L1226" s="337"/>
      <c r="M1226" s="337"/>
      <c r="N1226" s="337"/>
      <c r="O1226" s="337"/>
      <c r="P1226" s="337"/>
      <c r="Q1226" s="337"/>
      <c r="R1226" s="337"/>
      <c r="S1226" s="64"/>
    </row>
    <row r="1227" spans="1:19" ht="13.2" customHeight="1" x14ac:dyDescent="0.25">
      <c r="A1227" s="382" t="s">
        <v>570</v>
      </c>
      <c r="B1227" s="337"/>
      <c r="C1227" s="337"/>
      <c r="D1227" s="337"/>
      <c r="E1227" s="337"/>
      <c r="F1227" s="337"/>
      <c r="G1227" s="337"/>
      <c r="H1227" s="337"/>
      <c r="I1227" s="337"/>
      <c r="J1227" s="337"/>
      <c r="K1227" s="337"/>
      <c r="L1227" s="337"/>
      <c r="M1227" s="337"/>
      <c r="N1227" s="337"/>
      <c r="O1227" s="337"/>
      <c r="P1227" s="337"/>
      <c r="Q1227" s="337"/>
      <c r="R1227" s="337"/>
      <c r="S1227" s="64"/>
    </row>
    <row r="1228" spans="1:19" ht="13.2" customHeight="1" x14ac:dyDescent="0.25">
      <c r="A1228" s="382" t="s">
        <v>647</v>
      </c>
      <c r="B1228" s="337"/>
      <c r="C1228" s="337"/>
      <c r="D1228" s="337"/>
      <c r="E1228" s="337"/>
      <c r="F1228" s="337"/>
      <c r="G1228" s="337"/>
      <c r="H1228" s="337"/>
      <c r="I1228" s="337"/>
      <c r="J1228" s="337"/>
      <c r="K1228" s="337"/>
      <c r="L1228" s="337"/>
      <c r="M1228" s="337"/>
      <c r="N1228" s="337"/>
      <c r="O1228" s="337"/>
      <c r="P1228" s="337"/>
      <c r="Q1228" s="337"/>
      <c r="R1228" s="337"/>
      <c r="S1228" s="64"/>
    </row>
    <row r="1229" spans="1:19" ht="13.2" customHeight="1" x14ac:dyDescent="0.25">
      <c r="A1229" s="382" t="s">
        <v>591</v>
      </c>
      <c r="B1229" s="337"/>
      <c r="C1229" s="337"/>
      <c r="D1229" s="337"/>
      <c r="E1229" s="337"/>
      <c r="F1229" s="337"/>
      <c r="G1229" s="337"/>
      <c r="H1229" s="337"/>
      <c r="I1229" s="337"/>
      <c r="J1229" s="337"/>
      <c r="K1229" s="337"/>
      <c r="L1229" s="337"/>
      <c r="M1229" s="337"/>
      <c r="N1229" s="337"/>
      <c r="O1229" s="337"/>
      <c r="P1229" s="337"/>
      <c r="Q1229" s="337"/>
      <c r="R1229" s="337"/>
      <c r="S1229" s="64"/>
    </row>
    <row r="1230" spans="1:19" ht="13.2" customHeight="1" x14ac:dyDescent="0.25">
      <c r="A1230" s="382" t="s">
        <v>709</v>
      </c>
      <c r="B1230" s="337"/>
      <c r="C1230" s="337"/>
      <c r="D1230" s="337"/>
      <c r="E1230" s="337"/>
      <c r="F1230" s="337"/>
      <c r="G1230" s="337"/>
      <c r="H1230" s="337"/>
      <c r="I1230" s="337"/>
      <c r="J1230" s="337"/>
      <c r="K1230" s="337"/>
      <c r="L1230" s="337"/>
      <c r="M1230" s="337"/>
      <c r="N1230" s="337"/>
      <c r="O1230" s="337"/>
      <c r="P1230" s="337"/>
      <c r="Q1230" s="337"/>
      <c r="R1230" s="337"/>
      <c r="S1230" s="64"/>
    </row>
    <row r="1231" spans="1:19" ht="13.2" customHeight="1" x14ac:dyDescent="0.25">
      <c r="A1231" s="382" t="s">
        <v>811</v>
      </c>
      <c r="B1231" s="337"/>
      <c r="C1231" s="337"/>
      <c r="D1231" s="337"/>
      <c r="E1231" s="337"/>
      <c r="F1231" s="337"/>
      <c r="G1231" s="337"/>
      <c r="H1231" s="337"/>
      <c r="I1231" s="337"/>
      <c r="J1231" s="337"/>
      <c r="K1231" s="337"/>
      <c r="L1231" s="337"/>
      <c r="M1231" s="337"/>
      <c r="N1231" s="337"/>
      <c r="O1231" s="337"/>
      <c r="P1231" s="337"/>
      <c r="Q1231" s="337"/>
      <c r="R1231" s="337"/>
      <c r="S1231" s="64"/>
    </row>
    <row r="1232" spans="1:19" ht="13.2" customHeight="1" x14ac:dyDescent="0.25">
      <c r="A1232" s="397" t="s">
        <v>1036</v>
      </c>
      <c r="B1232" s="368"/>
      <c r="C1232" s="368"/>
      <c r="D1232" s="368"/>
      <c r="E1232" s="368"/>
      <c r="F1232" s="368"/>
      <c r="G1232" s="368"/>
      <c r="H1232" s="368"/>
      <c r="I1232" s="368"/>
      <c r="J1232" s="368"/>
      <c r="K1232" s="368"/>
      <c r="L1232" s="368"/>
      <c r="M1232" s="368"/>
      <c r="N1232" s="368"/>
      <c r="O1232" s="368"/>
      <c r="P1232" s="368"/>
      <c r="Q1232" s="368"/>
      <c r="R1232" s="368"/>
      <c r="S1232" s="64"/>
    </row>
    <row r="1233" spans="1:19" ht="13.2" customHeight="1" x14ac:dyDescent="0.25">
      <c r="A1233" s="416" t="s">
        <v>1220</v>
      </c>
      <c r="B1233" s="368"/>
      <c r="C1233" s="368"/>
      <c r="D1233" s="368"/>
      <c r="E1233" s="368"/>
      <c r="F1233" s="368"/>
      <c r="G1233" s="368"/>
      <c r="H1233" s="368"/>
      <c r="I1233" s="368"/>
      <c r="J1233" s="368"/>
      <c r="K1233" s="368"/>
      <c r="L1233" s="368"/>
      <c r="M1233" s="368"/>
      <c r="N1233" s="368"/>
      <c r="O1233" s="368"/>
      <c r="P1233" s="368"/>
      <c r="Q1233" s="368"/>
      <c r="R1233" s="368"/>
      <c r="S1233" s="64"/>
    </row>
    <row r="1234" spans="1:19" ht="13.2" customHeight="1" x14ac:dyDescent="0.25">
      <c r="A1234" s="416" t="s">
        <v>1243</v>
      </c>
      <c r="B1234" s="417"/>
      <c r="C1234" s="417"/>
      <c r="D1234" s="417"/>
      <c r="E1234" s="417"/>
      <c r="F1234" s="417"/>
      <c r="G1234" s="417"/>
      <c r="H1234" s="417"/>
      <c r="I1234" s="417"/>
      <c r="J1234" s="417"/>
      <c r="K1234" s="417"/>
      <c r="L1234" s="417"/>
      <c r="M1234" s="417"/>
      <c r="N1234" s="417"/>
      <c r="O1234" s="417"/>
      <c r="P1234" s="417"/>
      <c r="Q1234" s="417"/>
      <c r="R1234" s="417"/>
      <c r="S1234" s="48"/>
    </row>
    <row r="1235" spans="1:19" x14ac:dyDescent="0.25">
      <c r="A1235" s="313"/>
      <c r="C1235" s="346"/>
    </row>
    <row r="1236" spans="1:19" x14ac:dyDescent="0.25">
      <c r="A1236" s="410" t="s">
        <v>14</v>
      </c>
      <c r="B1236" s="351" t="s">
        <v>74</v>
      </c>
      <c r="C1236" s="403" t="s">
        <v>15</v>
      </c>
      <c r="D1236" s="337"/>
      <c r="E1236" s="337"/>
      <c r="F1236" s="337"/>
      <c r="G1236" s="337"/>
      <c r="H1236" s="337"/>
      <c r="I1236" s="337"/>
      <c r="J1236" s="337"/>
      <c r="K1236" s="337"/>
      <c r="L1236" s="337"/>
      <c r="M1236" s="337"/>
      <c r="N1236" s="337"/>
    </row>
    <row r="1237" spans="1:19" x14ac:dyDescent="0.25">
      <c r="A1237" s="411" t="s">
        <v>16</v>
      </c>
      <c r="B1237" s="412">
        <v>2008</v>
      </c>
      <c r="C1237" s="413">
        <v>2009</v>
      </c>
      <c r="D1237" s="413">
        <v>2010</v>
      </c>
      <c r="E1237" s="413">
        <v>2011</v>
      </c>
      <c r="F1237" s="412">
        <v>2012</v>
      </c>
      <c r="G1237" s="412">
        <v>2013</v>
      </c>
      <c r="H1237" s="412">
        <v>2014</v>
      </c>
      <c r="I1237" s="412">
        <v>2015</v>
      </c>
      <c r="J1237" s="412">
        <v>2016</v>
      </c>
      <c r="K1237" s="412">
        <v>2017</v>
      </c>
      <c r="L1237" s="412">
        <v>2018</v>
      </c>
      <c r="M1237" s="412">
        <v>2019</v>
      </c>
      <c r="N1237" s="412">
        <v>2020</v>
      </c>
      <c r="O1237" s="412">
        <v>2021</v>
      </c>
      <c r="P1237" s="152">
        <v>2022</v>
      </c>
      <c r="Q1237" s="152">
        <v>2023</v>
      </c>
      <c r="R1237" s="152">
        <v>2024</v>
      </c>
      <c r="S1237" s="152">
        <v>2025</v>
      </c>
    </row>
    <row r="1238" spans="1:19" x14ac:dyDescent="0.25">
      <c r="A1238" s="355" t="s">
        <v>17</v>
      </c>
      <c r="B1238" s="374">
        <v>839.5</v>
      </c>
      <c r="C1238" s="374">
        <v>839.5</v>
      </c>
      <c r="D1238" s="374">
        <v>839.5</v>
      </c>
      <c r="E1238" s="374">
        <v>839.5</v>
      </c>
      <c r="F1238" s="415">
        <v>503.7</v>
      </c>
      <c r="G1238" s="415">
        <v>390</v>
      </c>
      <c r="H1238" s="415">
        <v>390</v>
      </c>
      <c r="I1238" s="415">
        <v>390</v>
      </c>
      <c r="J1238" s="415">
        <v>390</v>
      </c>
      <c r="K1238" s="415">
        <v>390</v>
      </c>
      <c r="L1238" s="415">
        <v>390</v>
      </c>
      <c r="M1238" s="415">
        <v>390</v>
      </c>
      <c r="N1238" s="415">
        <v>328.1</v>
      </c>
      <c r="O1238" s="415">
        <v>328.1</v>
      </c>
      <c r="P1238" s="12">
        <v>328.1</v>
      </c>
      <c r="Q1238" s="12">
        <v>328.1</v>
      </c>
      <c r="R1238" s="12">
        <v>328.1</v>
      </c>
      <c r="S1238" s="12">
        <v>328.1</v>
      </c>
    </row>
    <row r="1239" spans="1:19" x14ac:dyDescent="0.25">
      <c r="A1239" s="358" t="s">
        <v>18</v>
      </c>
      <c r="B1239" s="374">
        <v>839.5</v>
      </c>
      <c r="C1239" s="374">
        <v>839.5</v>
      </c>
      <c r="D1239" s="374">
        <v>839.5</v>
      </c>
      <c r="E1239" s="374">
        <v>839.5</v>
      </c>
      <c r="F1239" s="374">
        <v>503.7</v>
      </c>
      <c r="G1239" s="415">
        <v>390</v>
      </c>
      <c r="H1239" s="415">
        <v>390</v>
      </c>
      <c r="I1239" s="415">
        <v>429</v>
      </c>
      <c r="J1239" s="415">
        <v>429</v>
      </c>
      <c r="K1239" s="415">
        <v>429</v>
      </c>
      <c r="L1239" s="415">
        <v>406.6</v>
      </c>
      <c r="M1239" s="415">
        <v>429</v>
      </c>
      <c r="N1239" s="415">
        <v>367.1</v>
      </c>
      <c r="O1239" s="415">
        <v>367.1</v>
      </c>
      <c r="P1239" s="12"/>
      <c r="Q1239" s="12"/>
      <c r="R1239" s="12">
        <f>R1238+P1242</f>
        <v>285.10000000000002</v>
      </c>
      <c r="S1239" s="12">
        <v>328.1</v>
      </c>
    </row>
    <row r="1240" spans="1:19" x14ac:dyDescent="0.25">
      <c r="A1240" s="358" t="s">
        <v>19</v>
      </c>
      <c r="B1240" s="374"/>
      <c r="C1240" s="418"/>
      <c r="D1240" s="374"/>
      <c r="E1240" s="415"/>
      <c r="F1240" s="415"/>
      <c r="G1240" s="415"/>
      <c r="H1240" s="415"/>
      <c r="I1240" s="415"/>
      <c r="J1240" s="415"/>
      <c r="K1240" s="415"/>
      <c r="L1240" s="415"/>
      <c r="M1240" s="415"/>
      <c r="N1240" s="415"/>
      <c r="O1240" s="415"/>
      <c r="P1240" s="12"/>
      <c r="Q1240" s="12"/>
      <c r="R1240" s="12"/>
      <c r="S1240" s="12"/>
    </row>
    <row r="1241" spans="1:19" x14ac:dyDescent="0.25">
      <c r="A1241" s="358" t="s">
        <v>20</v>
      </c>
      <c r="B1241" s="374">
        <v>704.14</v>
      </c>
      <c r="C1241" s="374">
        <v>553.45920000000001</v>
      </c>
      <c r="D1241" s="374">
        <v>425.98559999999998</v>
      </c>
      <c r="E1241" s="374">
        <v>478</v>
      </c>
      <c r="F1241" s="415">
        <v>305.5</v>
      </c>
      <c r="G1241" s="415">
        <v>231.5</v>
      </c>
      <c r="H1241" s="415">
        <v>288.8</v>
      </c>
      <c r="I1241" s="415">
        <v>261.5</v>
      </c>
      <c r="J1241" s="415">
        <v>412.4</v>
      </c>
      <c r="K1241" s="415">
        <v>308.10000000000002</v>
      </c>
      <c r="L1241" s="415">
        <v>352.2</v>
      </c>
      <c r="M1241" s="415">
        <v>336.88949500000001</v>
      </c>
      <c r="N1241" s="415">
        <v>285.10000000000002</v>
      </c>
      <c r="O1241" s="415">
        <v>289.39999999999998</v>
      </c>
      <c r="P1241" s="12">
        <v>371.1</v>
      </c>
      <c r="Q1241" s="12">
        <v>303.8</v>
      </c>
      <c r="R1241" s="12">
        <v>246.4</v>
      </c>
      <c r="S1241" s="12"/>
    </row>
    <row r="1242" spans="1:19" x14ac:dyDescent="0.25">
      <c r="A1242" s="358" t="s">
        <v>21</v>
      </c>
      <c r="B1242" s="374">
        <v>135.36000000000001</v>
      </c>
      <c r="C1242" s="374">
        <v>286.04079999999999</v>
      </c>
      <c r="D1242" s="374">
        <v>413.51440000000002</v>
      </c>
      <c r="E1242" s="374">
        <v>361.5</v>
      </c>
      <c r="F1242" s="374">
        <v>198.2</v>
      </c>
      <c r="G1242" s="415">
        <v>158.5</v>
      </c>
      <c r="H1242" s="415">
        <v>101.19999999999999</v>
      </c>
      <c r="I1242" s="415">
        <v>167.5</v>
      </c>
      <c r="J1242" s="415">
        <v>16.600000000000023</v>
      </c>
      <c r="K1242" s="415">
        <v>120.89999999999998</v>
      </c>
      <c r="L1242" s="415">
        <v>54.400000000000034</v>
      </c>
      <c r="M1242" s="415">
        <v>92.110504999999989</v>
      </c>
      <c r="N1242" s="415">
        <f>N1239-N1241</f>
        <v>82</v>
      </c>
      <c r="O1242" s="415">
        <f>O1239-O1241</f>
        <v>77.700000000000045</v>
      </c>
      <c r="P1242" s="12">
        <f>P1238-P1241</f>
        <v>-43</v>
      </c>
      <c r="Q1242" s="12">
        <f>Q1238-Q1241</f>
        <v>24.300000000000011</v>
      </c>
      <c r="R1242" s="12">
        <f>R1239-R1241</f>
        <v>38.700000000000017</v>
      </c>
      <c r="S1242" s="12"/>
    </row>
    <row r="1243" spans="1:19" x14ac:dyDescent="0.25">
      <c r="A1243" s="362" t="s">
        <v>22</v>
      </c>
      <c r="B1243" s="375"/>
      <c r="C1243" s="400"/>
      <c r="D1243" s="375"/>
      <c r="E1243" s="401"/>
      <c r="F1243" s="401"/>
      <c r="G1243" s="401"/>
      <c r="H1243" s="401"/>
      <c r="I1243" s="401"/>
      <c r="J1243" s="401"/>
      <c r="K1243" s="401"/>
      <c r="L1243" s="401"/>
      <c r="M1243" s="419"/>
      <c r="N1243" s="419"/>
      <c r="O1243" s="419"/>
      <c r="P1243" s="17"/>
      <c r="Q1243" s="17"/>
      <c r="R1243" s="17"/>
      <c r="S1243" s="17"/>
    </row>
    <row r="1244" spans="1:19" x14ac:dyDescent="0.25">
      <c r="A1244" s="358" t="s">
        <v>179</v>
      </c>
      <c r="B1244" s="420"/>
      <c r="C1244" s="420"/>
      <c r="D1244" s="420"/>
      <c r="E1244" s="420"/>
      <c r="F1244" s="420"/>
      <c r="G1244" s="420"/>
      <c r="H1244" s="420"/>
      <c r="I1244" s="420"/>
      <c r="J1244" s="420"/>
      <c r="K1244" s="420"/>
      <c r="L1244" s="420"/>
      <c r="M1244" s="420"/>
      <c r="N1244" s="420"/>
      <c r="O1244" s="420"/>
      <c r="P1244" s="36"/>
      <c r="Q1244" s="36"/>
      <c r="R1244" s="36"/>
      <c r="S1244" s="37"/>
    </row>
    <row r="1245" spans="1:19" x14ac:dyDescent="0.25">
      <c r="A1245" s="367" t="s">
        <v>198</v>
      </c>
      <c r="B1245" s="337"/>
      <c r="C1245" s="337"/>
      <c r="D1245" s="337"/>
      <c r="E1245" s="337"/>
      <c r="F1245" s="337"/>
      <c r="G1245" s="337"/>
      <c r="H1245" s="337"/>
      <c r="I1245" s="337"/>
      <c r="J1245" s="337"/>
      <c r="K1245" s="337"/>
      <c r="L1245" s="337"/>
      <c r="M1245" s="337"/>
      <c r="N1245" s="337"/>
      <c r="O1245" s="337"/>
      <c r="S1245" s="64"/>
    </row>
    <row r="1246" spans="1:19" x14ac:dyDescent="0.25">
      <c r="A1246" s="367" t="s">
        <v>199</v>
      </c>
      <c r="B1246" s="337"/>
      <c r="C1246" s="337"/>
      <c r="D1246" s="337"/>
      <c r="E1246" s="337"/>
      <c r="F1246" s="337"/>
      <c r="G1246" s="337"/>
      <c r="H1246" s="337"/>
      <c r="I1246" s="337"/>
      <c r="J1246" s="337"/>
      <c r="K1246" s="337"/>
      <c r="L1246" s="337"/>
      <c r="M1246" s="337"/>
      <c r="N1246" s="337"/>
      <c r="O1246" s="337"/>
      <c r="S1246" s="64"/>
    </row>
    <row r="1247" spans="1:19" x14ac:dyDescent="0.25">
      <c r="A1247" s="367" t="s">
        <v>239</v>
      </c>
      <c r="B1247" s="337"/>
      <c r="C1247" s="337"/>
      <c r="D1247" s="337"/>
      <c r="E1247" s="337"/>
      <c r="F1247" s="337"/>
      <c r="G1247" s="337"/>
      <c r="H1247" s="337"/>
      <c r="I1247" s="337"/>
      <c r="J1247" s="337"/>
      <c r="K1247" s="337"/>
      <c r="L1247" s="337"/>
      <c r="M1247" s="337"/>
      <c r="N1247" s="337"/>
      <c r="O1247" s="337"/>
      <c r="S1247" s="64"/>
    </row>
    <row r="1248" spans="1:19" x14ac:dyDescent="0.25">
      <c r="A1248" s="367" t="s">
        <v>240</v>
      </c>
      <c r="B1248" s="337"/>
      <c r="C1248" s="337"/>
      <c r="D1248" s="337"/>
      <c r="E1248" s="337"/>
      <c r="F1248" s="337"/>
      <c r="G1248" s="337"/>
      <c r="H1248" s="370"/>
      <c r="I1248" s="337"/>
      <c r="J1248" s="337"/>
      <c r="K1248" s="337"/>
      <c r="L1248" s="337"/>
      <c r="M1248" s="337"/>
      <c r="N1248" s="337"/>
      <c r="O1248" s="337"/>
      <c r="S1248" s="64"/>
    </row>
    <row r="1249" spans="1:19" x14ac:dyDescent="0.25">
      <c r="A1249" s="367" t="s">
        <v>279</v>
      </c>
      <c r="B1249" s="337"/>
      <c r="C1249" s="337"/>
      <c r="D1249" s="337"/>
      <c r="E1249" s="337"/>
      <c r="F1249" s="337"/>
      <c r="G1249" s="337"/>
      <c r="H1249" s="370"/>
      <c r="I1249" s="337"/>
      <c r="J1249" s="337"/>
      <c r="K1249" s="337"/>
      <c r="L1249" s="337"/>
      <c r="M1249" s="337"/>
      <c r="N1249" s="337"/>
      <c r="O1249" s="337"/>
      <c r="S1249" s="64"/>
    </row>
    <row r="1250" spans="1:19" x14ac:dyDescent="0.25">
      <c r="A1250" s="367" t="s">
        <v>280</v>
      </c>
      <c r="B1250" s="337"/>
      <c r="C1250" s="337"/>
      <c r="D1250" s="337"/>
      <c r="E1250" s="337"/>
      <c r="F1250" s="337"/>
      <c r="G1250" s="337"/>
      <c r="H1250" s="370"/>
      <c r="I1250" s="337"/>
      <c r="J1250" s="337"/>
      <c r="K1250" s="337"/>
      <c r="L1250" s="337"/>
      <c r="M1250" s="337"/>
      <c r="N1250" s="337"/>
      <c r="O1250" s="337"/>
      <c r="S1250" s="64"/>
    </row>
    <row r="1251" spans="1:19" x14ac:dyDescent="0.25">
      <c r="A1251" s="367" t="s">
        <v>281</v>
      </c>
      <c r="B1251" s="337"/>
      <c r="C1251" s="337"/>
      <c r="D1251" s="337"/>
      <c r="E1251" s="337"/>
      <c r="F1251" s="337"/>
      <c r="G1251" s="337"/>
      <c r="H1251" s="370"/>
      <c r="I1251" s="337"/>
      <c r="J1251" s="337"/>
      <c r="K1251" s="337"/>
      <c r="L1251" s="337"/>
      <c r="M1251" s="337"/>
      <c r="N1251" s="337"/>
      <c r="O1251" s="337"/>
      <c r="S1251" s="64"/>
    </row>
    <row r="1252" spans="1:19" x14ac:dyDescent="0.25">
      <c r="A1252" s="367" t="s">
        <v>465</v>
      </c>
      <c r="B1252" s="337"/>
      <c r="C1252" s="337"/>
      <c r="D1252" s="337"/>
      <c r="E1252" s="337"/>
      <c r="F1252" s="337"/>
      <c r="G1252" s="337"/>
      <c r="H1252" s="370"/>
      <c r="I1252" s="337"/>
      <c r="J1252" s="337"/>
      <c r="K1252" s="337"/>
      <c r="L1252" s="337"/>
      <c r="M1252" s="337"/>
      <c r="N1252" s="337"/>
      <c r="O1252" s="337"/>
      <c r="S1252" s="64"/>
    </row>
    <row r="1253" spans="1:19" x14ac:dyDescent="0.25">
      <c r="A1253" s="367" t="s">
        <v>648</v>
      </c>
      <c r="B1253" s="337"/>
      <c r="C1253" s="337"/>
      <c r="D1253" s="337"/>
      <c r="E1253" s="337"/>
      <c r="F1253" s="337"/>
      <c r="G1253" s="337"/>
      <c r="H1253" s="370"/>
      <c r="I1253" s="337"/>
      <c r="J1253" s="337"/>
      <c r="K1253" s="337"/>
      <c r="L1253" s="337"/>
      <c r="M1253" s="337"/>
      <c r="N1253" s="337"/>
      <c r="O1253" s="337"/>
      <c r="S1253" s="64"/>
    </row>
    <row r="1254" spans="1:19" x14ac:dyDescent="0.25">
      <c r="A1254" s="367" t="s">
        <v>812</v>
      </c>
      <c r="B1254" s="337"/>
      <c r="C1254" s="337"/>
      <c r="D1254" s="337"/>
      <c r="E1254" s="337"/>
      <c r="F1254" s="337"/>
      <c r="G1254" s="337"/>
      <c r="H1254" s="370"/>
      <c r="I1254" s="337"/>
      <c r="J1254" s="337"/>
      <c r="K1254" s="337"/>
      <c r="L1254" s="337"/>
      <c r="M1254" s="337"/>
      <c r="N1254" s="337"/>
      <c r="O1254" s="337"/>
      <c r="S1254" s="64"/>
    </row>
    <row r="1255" spans="1:19" x14ac:dyDescent="0.25">
      <c r="A1255" s="367" t="s">
        <v>886</v>
      </c>
      <c r="B1255" s="337"/>
      <c r="C1255" s="337"/>
      <c r="D1255" s="337"/>
      <c r="E1255" s="337"/>
      <c r="F1255" s="337"/>
      <c r="G1255" s="337"/>
      <c r="H1255" s="370"/>
      <c r="I1255" s="337"/>
      <c r="J1255" s="337"/>
      <c r="K1255" s="337"/>
      <c r="L1255" s="337"/>
      <c r="M1255" s="337"/>
      <c r="N1255" s="337"/>
      <c r="O1255" s="337"/>
      <c r="S1255" s="64"/>
    </row>
    <row r="1256" spans="1:19" x14ac:dyDescent="0.25">
      <c r="A1256" s="421" t="s">
        <v>1177</v>
      </c>
      <c r="B1256" s="371"/>
      <c r="C1256" s="371"/>
      <c r="D1256" s="371"/>
      <c r="E1256" s="371"/>
      <c r="F1256" s="371"/>
      <c r="G1256" s="371"/>
      <c r="H1256" s="422"/>
      <c r="I1256" s="371"/>
      <c r="J1256" s="371"/>
      <c r="K1256" s="371"/>
      <c r="L1256" s="371"/>
      <c r="M1256" s="371"/>
      <c r="N1256" s="371"/>
      <c r="O1256" s="371"/>
      <c r="P1256" s="34"/>
      <c r="Q1256" s="34"/>
      <c r="R1256" s="34"/>
      <c r="S1256" s="48"/>
    </row>
    <row r="1257" spans="1:19" x14ac:dyDescent="0.25">
      <c r="A1257" s="313"/>
      <c r="C1257" s="346"/>
    </row>
    <row r="1258" spans="1:19" x14ac:dyDescent="0.25">
      <c r="A1258" s="350" t="s">
        <v>14</v>
      </c>
      <c r="B1258" s="351" t="s">
        <v>79</v>
      </c>
      <c r="C1258" s="403" t="s">
        <v>15</v>
      </c>
      <c r="D1258" s="337"/>
      <c r="E1258" s="337"/>
      <c r="F1258" s="337"/>
      <c r="G1258" s="337"/>
      <c r="H1258" s="337"/>
      <c r="I1258" s="337"/>
      <c r="J1258" s="337"/>
      <c r="K1258" s="337"/>
      <c r="L1258" s="337"/>
      <c r="M1258" s="337"/>
      <c r="N1258" s="337"/>
    </row>
    <row r="1259" spans="1:19" x14ac:dyDescent="0.25">
      <c r="A1259" s="358" t="s">
        <v>16</v>
      </c>
      <c r="B1259" s="357">
        <v>2008</v>
      </c>
      <c r="C1259" s="357">
        <v>2009</v>
      </c>
      <c r="D1259" s="357">
        <v>2010</v>
      </c>
      <c r="E1259" s="357">
        <v>2011</v>
      </c>
      <c r="F1259" s="357">
        <v>2012</v>
      </c>
      <c r="G1259" s="357">
        <v>2013</v>
      </c>
      <c r="H1259" s="357">
        <v>2014</v>
      </c>
      <c r="I1259" s="357">
        <v>2015</v>
      </c>
      <c r="J1259" s="357">
        <v>2016</v>
      </c>
      <c r="K1259" s="357">
        <v>2017</v>
      </c>
      <c r="L1259" s="357">
        <v>2018</v>
      </c>
      <c r="M1259" s="357">
        <v>2019</v>
      </c>
      <c r="N1259" s="357">
        <v>2020</v>
      </c>
      <c r="O1259" s="357">
        <v>2021</v>
      </c>
      <c r="P1259" s="152">
        <v>2022</v>
      </c>
      <c r="Q1259" s="152">
        <v>2023</v>
      </c>
      <c r="R1259" s="152">
        <v>2024</v>
      </c>
      <c r="S1259" s="152">
        <v>2025</v>
      </c>
    </row>
    <row r="1260" spans="1:19" x14ac:dyDescent="0.25">
      <c r="A1260" s="358" t="s">
        <v>17</v>
      </c>
      <c r="B1260" s="374">
        <v>37</v>
      </c>
      <c r="C1260" s="374">
        <v>37</v>
      </c>
      <c r="D1260" s="374">
        <v>37</v>
      </c>
      <c r="E1260" s="374">
        <v>37</v>
      </c>
      <c r="F1260" s="374">
        <v>33.6</v>
      </c>
      <c r="G1260" s="374">
        <v>35</v>
      </c>
      <c r="H1260" s="374">
        <v>35</v>
      </c>
      <c r="I1260" s="374">
        <v>35</v>
      </c>
      <c r="J1260" s="374">
        <v>35</v>
      </c>
      <c r="K1260" s="374">
        <v>35</v>
      </c>
      <c r="L1260" s="374">
        <v>35</v>
      </c>
      <c r="M1260" s="374">
        <v>35</v>
      </c>
      <c r="N1260" s="374">
        <v>35</v>
      </c>
      <c r="O1260" s="374">
        <v>35</v>
      </c>
      <c r="P1260" s="12">
        <v>35</v>
      </c>
      <c r="Q1260" s="12">
        <v>35</v>
      </c>
      <c r="R1260" s="12">
        <v>35</v>
      </c>
      <c r="S1260" s="12">
        <v>35</v>
      </c>
    </row>
    <row r="1261" spans="1:19" x14ac:dyDescent="0.25">
      <c r="A1261" s="358" t="s">
        <v>18</v>
      </c>
      <c r="B1261" s="374">
        <v>37</v>
      </c>
      <c r="C1261" s="374">
        <v>37</v>
      </c>
      <c r="D1261" s="374">
        <v>37</v>
      </c>
      <c r="E1261" s="374">
        <v>37</v>
      </c>
      <c r="F1261" s="374">
        <v>33.6</v>
      </c>
      <c r="G1261" s="374">
        <v>35</v>
      </c>
      <c r="H1261" s="374">
        <v>35</v>
      </c>
      <c r="I1261" s="374">
        <v>42</v>
      </c>
      <c r="J1261" s="374">
        <v>42</v>
      </c>
      <c r="K1261" s="374">
        <v>42</v>
      </c>
      <c r="L1261" s="374">
        <v>42</v>
      </c>
      <c r="M1261" s="374">
        <v>42</v>
      </c>
      <c r="N1261" s="374">
        <v>42</v>
      </c>
      <c r="O1261" s="374">
        <v>42</v>
      </c>
      <c r="P1261" s="12">
        <v>35</v>
      </c>
      <c r="Q1261" s="12">
        <v>35</v>
      </c>
      <c r="R1261" s="12">
        <v>35</v>
      </c>
      <c r="S1261" s="12">
        <v>35</v>
      </c>
    </row>
    <row r="1262" spans="1:19" x14ac:dyDescent="0.25">
      <c r="A1262" s="358" t="s">
        <v>19</v>
      </c>
      <c r="B1262" s="374"/>
      <c r="C1262" s="374"/>
      <c r="D1262" s="374"/>
      <c r="E1262" s="374"/>
      <c r="F1262" s="374"/>
      <c r="G1262" s="374"/>
      <c r="H1262" s="374"/>
      <c r="I1262" s="374"/>
      <c r="J1262" s="374"/>
      <c r="K1262" s="374"/>
      <c r="L1262" s="374"/>
      <c r="M1262" s="374"/>
      <c r="N1262" s="374"/>
      <c r="O1262" s="374"/>
      <c r="P1262" s="12"/>
      <c r="Q1262" s="12"/>
      <c r="R1262" s="12"/>
      <c r="S1262" s="12"/>
    </row>
    <row r="1263" spans="1:19" x14ac:dyDescent="0.25">
      <c r="A1263" s="358" t="s">
        <v>20</v>
      </c>
      <c r="B1263" s="374">
        <v>28.84</v>
      </c>
      <c r="C1263" s="374">
        <v>28.802399999999999</v>
      </c>
      <c r="D1263" s="374">
        <v>40.781999999999996</v>
      </c>
      <c r="E1263" s="374">
        <v>27.9</v>
      </c>
      <c r="F1263" s="374">
        <v>49.6</v>
      </c>
      <c r="G1263" s="374">
        <v>16.899999999999999</v>
      </c>
      <c r="H1263" s="374">
        <v>5.7</v>
      </c>
      <c r="I1263" s="374">
        <v>9.9</v>
      </c>
      <c r="J1263" s="374">
        <v>12.6</v>
      </c>
      <c r="K1263" s="374">
        <v>9.1999999999999993</v>
      </c>
      <c r="L1263" s="374">
        <v>14.4</v>
      </c>
      <c r="M1263" s="374">
        <v>10.852466</v>
      </c>
      <c r="N1263" s="374">
        <v>7.9</v>
      </c>
      <c r="O1263" s="374">
        <v>6.1</v>
      </c>
      <c r="P1263" s="12">
        <v>6.4</v>
      </c>
      <c r="Q1263" s="12">
        <v>6.4</v>
      </c>
      <c r="R1263" s="12">
        <v>0.6</v>
      </c>
      <c r="S1263" s="12"/>
    </row>
    <row r="1264" spans="1:19" x14ac:dyDescent="0.25">
      <c r="A1264" s="358" t="s">
        <v>21</v>
      </c>
      <c r="B1264" s="374">
        <v>8.16</v>
      </c>
      <c r="C1264" s="374">
        <v>8.1976000000000013</v>
      </c>
      <c r="D1264" s="374">
        <v>3.782</v>
      </c>
      <c r="E1264" s="374">
        <v>9.1000000000000014</v>
      </c>
      <c r="F1264" s="374">
        <v>16</v>
      </c>
      <c r="G1264" s="374">
        <v>18.100000000000001</v>
      </c>
      <c r="H1264" s="374">
        <v>29.3</v>
      </c>
      <c r="I1264" s="374">
        <v>32.1</v>
      </c>
      <c r="J1264" s="374">
        <v>29.4</v>
      </c>
      <c r="K1264" s="374">
        <v>32.799999999999997</v>
      </c>
      <c r="L1264" s="374">
        <v>27.6</v>
      </c>
      <c r="M1264" s="374">
        <v>31.147534</v>
      </c>
      <c r="N1264" s="374">
        <f>N1261-N1263</f>
        <v>34.1</v>
      </c>
      <c r="O1264" s="374">
        <f>O1261-O1263</f>
        <v>35.9</v>
      </c>
      <c r="P1264" s="12">
        <f>P1260-P1263</f>
        <v>28.6</v>
      </c>
      <c r="Q1264" s="12">
        <f t="shared" ref="Q1264:R1264" si="50">Q1260-Q1263</f>
        <v>28.6</v>
      </c>
      <c r="R1264" s="12">
        <f t="shared" si="50"/>
        <v>34.4</v>
      </c>
      <c r="S1264" s="12"/>
    </row>
    <row r="1265" spans="1:19" x14ac:dyDescent="0.25">
      <c r="A1265" s="362" t="s">
        <v>22</v>
      </c>
      <c r="B1265" s="363"/>
      <c r="C1265" s="423"/>
      <c r="D1265" s="363"/>
      <c r="E1265" s="419"/>
      <c r="F1265" s="363"/>
      <c r="G1265" s="363"/>
      <c r="H1265" s="419"/>
      <c r="I1265" s="419"/>
      <c r="J1265" s="419"/>
      <c r="K1265" s="419"/>
      <c r="L1265" s="419"/>
      <c r="M1265" s="419"/>
      <c r="N1265" s="419"/>
      <c r="O1265" s="419"/>
      <c r="P1265" s="17"/>
      <c r="Q1265" s="17"/>
      <c r="R1265" s="17"/>
      <c r="S1265" s="17"/>
    </row>
    <row r="1266" spans="1:19" x14ac:dyDescent="0.25">
      <c r="A1266" s="362" t="s">
        <v>179</v>
      </c>
      <c r="B1266" s="400"/>
      <c r="C1266" s="400"/>
      <c r="D1266" s="400"/>
      <c r="E1266" s="400"/>
      <c r="F1266" s="400"/>
      <c r="G1266" s="400"/>
      <c r="H1266" s="400"/>
      <c r="I1266" s="400"/>
      <c r="J1266" s="400"/>
      <c r="K1266" s="400"/>
      <c r="L1266" s="400"/>
      <c r="M1266" s="400"/>
      <c r="N1266" s="400"/>
      <c r="O1266" s="400"/>
      <c r="P1266" s="46"/>
      <c r="Q1266" s="46"/>
      <c r="R1266" s="46"/>
      <c r="S1266" s="47"/>
    </row>
    <row r="1267" spans="1:19" x14ac:dyDescent="0.25">
      <c r="A1267" s="362" t="s">
        <v>200</v>
      </c>
      <c r="B1267" s="400"/>
      <c r="C1267" s="400"/>
      <c r="D1267" s="400"/>
      <c r="E1267" s="400"/>
      <c r="F1267" s="400"/>
      <c r="G1267" s="400"/>
      <c r="H1267" s="400"/>
      <c r="I1267" s="400"/>
      <c r="J1267" s="400"/>
      <c r="K1267" s="400"/>
      <c r="L1267" s="400"/>
      <c r="M1267" s="400"/>
      <c r="N1267" s="400"/>
      <c r="O1267" s="400"/>
      <c r="P1267" s="46"/>
      <c r="Q1267" s="46"/>
      <c r="R1267" s="46"/>
      <c r="S1267" s="47"/>
    </row>
    <row r="1268" spans="1:19" x14ac:dyDescent="0.25">
      <c r="A1268" s="367" t="s">
        <v>201</v>
      </c>
      <c r="B1268" s="337"/>
      <c r="C1268" s="337"/>
      <c r="D1268" s="337"/>
      <c r="E1268" s="337"/>
      <c r="F1268" s="337"/>
      <c r="G1268" s="337"/>
      <c r="H1268" s="337"/>
      <c r="I1268" s="337"/>
      <c r="J1268" s="337"/>
      <c r="K1268" s="337"/>
      <c r="L1268" s="337"/>
      <c r="M1268" s="337"/>
      <c r="N1268" s="337"/>
      <c r="O1268" s="337"/>
      <c r="S1268" s="64"/>
    </row>
    <row r="1269" spans="1:19" x14ac:dyDescent="0.25">
      <c r="A1269" s="367" t="s">
        <v>212</v>
      </c>
      <c r="B1269" s="337"/>
      <c r="C1269" s="337"/>
      <c r="D1269" s="337"/>
      <c r="E1269" s="337"/>
      <c r="F1269" s="337"/>
      <c r="G1269" s="337"/>
      <c r="H1269" s="337"/>
      <c r="I1269" s="337"/>
      <c r="J1269" s="337"/>
      <c r="K1269" s="337"/>
      <c r="L1269" s="337"/>
      <c r="M1269" s="337"/>
      <c r="N1269" s="337"/>
      <c r="O1269" s="337"/>
      <c r="S1269" s="64"/>
    </row>
    <row r="1270" spans="1:19" x14ac:dyDescent="0.25">
      <c r="A1270" s="367" t="s">
        <v>213</v>
      </c>
      <c r="B1270" s="337"/>
      <c r="C1270" s="337"/>
      <c r="D1270" s="337"/>
      <c r="E1270" s="337"/>
      <c r="F1270" s="337"/>
      <c r="G1270" s="337"/>
      <c r="H1270" s="337"/>
      <c r="I1270" s="337"/>
      <c r="J1270" s="337"/>
      <c r="K1270" s="337"/>
      <c r="L1270" s="337"/>
      <c r="M1270" s="337"/>
      <c r="N1270" s="337"/>
      <c r="O1270" s="337"/>
      <c r="S1270" s="64"/>
    </row>
    <row r="1271" spans="1:19" x14ac:dyDescent="0.25">
      <c r="A1271" s="367" t="s">
        <v>214</v>
      </c>
      <c r="B1271" s="337"/>
      <c r="C1271" s="368"/>
      <c r="D1271" s="370"/>
      <c r="E1271" s="369"/>
      <c r="F1271" s="337"/>
      <c r="G1271" s="337"/>
      <c r="H1271" s="370"/>
      <c r="I1271" s="337"/>
      <c r="J1271" s="337"/>
      <c r="K1271" s="337"/>
      <c r="L1271" s="337"/>
      <c r="M1271" s="337"/>
      <c r="N1271" s="337"/>
      <c r="O1271" s="337"/>
      <c r="S1271" s="64"/>
    </row>
    <row r="1272" spans="1:19" x14ac:dyDescent="0.25">
      <c r="A1272" s="367" t="s">
        <v>241</v>
      </c>
      <c r="B1272" s="337"/>
      <c r="C1272" s="337"/>
      <c r="D1272" s="337"/>
      <c r="E1272" s="337"/>
      <c r="F1272" s="337"/>
      <c r="G1272" s="337"/>
      <c r="H1272" s="370"/>
      <c r="I1272" s="337"/>
      <c r="J1272" s="337"/>
      <c r="K1272" s="337"/>
      <c r="L1272" s="337"/>
      <c r="M1272" s="337"/>
      <c r="N1272" s="337"/>
      <c r="O1272" s="337"/>
      <c r="S1272" s="64"/>
    </row>
    <row r="1273" spans="1:19" x14ac:dyDescent="0.25">
      <c r="A1273" s="367" t="s">
        <v>282</v>
      </c>
      <c r="B1273" s="337"/>
      <c r="C1273" s="337"/>
      <c r="D1273" s="337"/>
      <c r="E1273" s="337"/>
      <c r="F1273" s="337"/>
      <c r="G1273" s="337"/>
      <c r="H1273" s="370"/>
      <c r="I1273" s="337"/>
      <c r="J1273" s="337"/>
      <c r="K1273" s="337"/>
      <c r="L1273" s="337"/>
      <c r="M1273" s="337"/>
      <c r="N1273" s="337"/>
      <c r="O1273" s="337"/>
      <c r="S1273" s="64"/>
    </row>
    <row r="1274" spans="1:19" x14ac:dyDescent="0.25">
      <c r="A1274" s="367" t="s">
        <v>283</v>
      </c>
      <c r="B1274" s="337"/>
      <c r="C1274" s="337"/>
      <c r="D1274" s="337"/>
      <c r="E1274" s="337"/>
      <c r="F1274" s="337"/>
      <c r="G1274" s="337"/>
      <c r="H1274" s="370"/>
      <c r="I1274" s="337"/>
      <c r="J1274" s="337"/>
      <c r="K1274" s="337"/>
      <c r="L1274" s="337"/>
      <c r="M1274" s="337"/>
      <c r="N1274" s="337"/>
      <c r="O1274" s="337"/>
      <c r="S1274" s="64"/>
    </row>
    <row r="1275" spans="1:19" x14ac:dyDescent="0.25">
      <c r="A1275" s="367" t="s">
        <v>284</v>
      </c>
      <c r="B1275" s="337"/>
      <c r="C1275" s="337"/>
      <c r="D1275" s="337"/>
      <c r="E1275" s="337"/>
      <c r="F1275" s="337"/>
      <c r="G1275" s="337"/>
      <c r="H1275" s="370"/>
      <c r="I1275" s="337"/>
      <c r="J1275" s="337"/>
      <c r="K1275" s="337"/>
      <c r="L1275" s="337"/>
      <c r="M1275" s="337"/>
      <c r="N1275" s="337"/>
      <c r="O1275" s="337"/>
      <c r="S1275" s="64"/>
    </row>
    <row r="1276" spans="1:19" x14ac:dyDescent="0.25">
      <c r="A1276" s="367" t="s">
        <v>649</v>
      </c>
      <c r="B1276" s="337"/>
      <c r="C1276" s="337"/>
      <c r="D1276" s="337"/>
      <c r="E1276" s="337"/>
      <c r="F1276" s="337"/>
      <c r="G1276" s="337"/>
      <c r="H1276" s="370"/>
      <c r="I1276" s="337"/>
      <c r="J1276" s="337"/>
      <c r="K1276" s="337"/>
      <c r="L1276" s="337"/>
      <c r="M1276" s="337"/>
      <c r="N1276" s="337"/>
      <c r="O1276" s="337"/>
      <c r="S1276" s="64"/>
    </row>
    <row r="1277" spans="1:19" x14ac:dyDescent="0.25">
      <c r="A1277" s="367" t="s">
        <v>813</v>
      </c>
      <c r="B1277" s="337"/>
      <c r="C1277" s="337"/>
      <c r="D1277" s="337"/>
      <c r="E1277" s="337"/>
      <c r="F1277" s="337"/>
      <c r="G1277" s="337"/>
      <c r="H1277" s="370"/>
      <c r="I1277" s="337"/>
      <c r="J1277" s="337"/>
      <c r="K1277" s="337"/>
      <c r="L1277" s="337"/>
      <c r="M1277" s="337"/>
      <c r="N1277" s="337"/>
      <c r="O1277" s="337"/>
      <c r="S1277" s="64"/>
    </row>
    <row r="1278" spans="1:19" x14ac:dyDescent="0.25">
      <c r="A1278" s="424" t="s">
        <v>1178</v>
      </c>
      <c r="B1278" s="337"/>
      <c r="C1278" s="337"/>
      <c r="D1278" s="337"/>
      <c r="E1278" s="337"/>
      <c r="F1278" s="337"/>
      <c r="G1278" s="337"/>
      <c r="H1278" s="370"/>
      <c r="I1278" s="337"/>
      <c r="J1278" s="337"/>
      <c r="K1278" s="337"/>
      <c r="L1278" s="337"/>
      <c r="M1278" s="337"/>
      <c r="N1278" s="337"/>
      <c r="O1278" s="337"/>
      <c r="S1278" s="64"/>
    </row>
    <row r="1279" spans="1:19" x14ac:dyDescent="0.25">
      <c r="A1279" s="421" t="s">
        <v>1179</v>
      </c>
      <c r="B1279" s="371"/>
      <c r="C1279" s="371"/>
      <c r="D1279" s="371"/>
      <c r="E1279" s="371"/>
      <c r="F1279" s="371"/>
      <c r="G1279" s="371"/>
      <c r="H1279" s="371"/>
      <c r="I1279" s="371"/>
      <c r="J1279" s="371"/>
      <c r="K1279" s="371"/>
      <c r="L1279" s="371"/>
      <c r="M1279" s="371"/>
      <c r="N1279" s="371"/>
      <c r="O1279" s="371"/>
      <c r="P1279" s="34"/>
      <c r="Q1279" s="34"/>
      <c r="R1279" s="34"/>
      <c r="S1279" s="48"/>
    </row>
    <row r="1280" spans="1:19" x14ac:dyDescent="0.25">
      <c r="A1280" s="313"/>
      <c r="C1280" s="346"/>
    </row>
    <row r="1281" spans="1:7" s="200" customFormat="1" x14ac:dyDescent="0.25">
      <c r="A1281" s="350" t="s">
        <v>14</v>
      </c>
      <c r="B1281" s="351" t="s">
        <v>571</v>
      </c>
      <c r="C1281" s="351" t="s">
        <v>15</v>
      </c>
      <c r="D1281" s="337"/>
    </row>
    <row r="1282" spans="1:7" s="200" customFormat="1" x14ac:dyDescent="0.25">
      <c r="A1282" s="355" t="s">
        <v>16</v>
      </c>
      <c r="B1282" s="356">
        <v>2020</v>
      </c>
      <c r="C1282" s="357">
        <v>2021</v>
      </c>
      <c r="D1282" s="357">
        <v>2022</v>
      </c>
      <c r="E1282" s="357">
        <v>2023</v>
      </c>
      <c r="F1282" s="357">
        <v>2024</v>
      </c>
      <c r="G1282" s="357">
        <v>2025</v>
      </c>
    </row>
    <row r="1283" spans="1:7" s="200" customFormat="1" x14ac:dyDescent="0.25">
      <c r="A1283" s="358" t="s">
        <v>17</v>
      </c>
      <c r="B1283" s="374">
        <v>4010</v>
      </c>
      <c r="C1283" s="374">
        <v>4010</v>
      </c>
      <c r="D1283" s="374">
        <v>4010</v>
      </c>
      <c r="E1283" s="374">
        <v>4010</v>
      </c>
      <c r="F1283" s="374">
        <v>3055</v>
      </c>
      <c r="G1283" s="374">
        <v>3055</v>
      </c>
    </row>
    <row r="1284" spans="1:7" s="200" customFormat="1" x14ac:dyDescent="0.25">
      <c r="A1284" s="358" t="s">
        <v>18</v>
      </c>
      <c r="B1284" s="374"/>
      <c r="C1284" s="374"/>
      <c r="D1284" s="374"/>
      <c r="E1284" s="374"/>
      <c r="F1284" s="374">
        <f>F1283-43</f>
        <v>3012</v>
      </c>
      <c r="G1284" s="374">
        <f>G1283-43</f>
        <v>3012</v>
      </c>
    </row>
    <row r="1285" spans="1:7" s="200" customFormat="1" x14ac:dyDescent="0.25">
      <c r="A1285" s="358" t="s">
        <v>19</v>
      </c>
      <c r="B1285" s="374"/>
      <c r="C1285" s="374"/>
      <c r="D1285" s="374"/>
      <c r="E1285" s="374"/>
      <c r="F1285" s="374"/>
      <c r="G1285" s="374"/>
    </row>
    <row r="1286" spans="1:7" s="200" customFormat="1" x14ac:dyDescent="0.25">
      <c r="A1286" s="358" t="s">
        <v>20</v>
      </c>
      <c r="B1286" s="374">
        <v>1896.6</v>
      </c>
      <c r="C1286" s="374">
        <v>1798</v>
      </c>
      <c r="D1286" s="374">
        <v>2237.3000000000002</v>
      </c>
      <c r="E1286" s="374">
        <v>2254.5</v>
      </c>
      <c r="F1286" s="374">
        <v>2010.9</v>
      </c>
      <c r="G1286" s="374"/>
    </row>
    <row r="1287" spans="1:7" s="200" customFormat="1" x14ac:dyDescent="0.25">
      <c r="A1287" s="358" t="s">
        <v>21</v>
      </c>
      <c r="B1287" s="374">
        <v>2113.4</v>
      </c>
      <c r="C1287" s="374">
        <f>C1283-C1286</f>
        <v>2212</v>
      </c>
      <c r="D1287" s="374">
        <f>D1283-D1286</f>
        <v>1772.6999999999998</v>
      </c>
      <c r="E1287" s="374">
        <f>E1283-E1286</f>
        <v>1755.5</v>
      </c>
      <c r="F1287" s="374">
        <f>F1284-F1286</f>
        <v>1001.0999999999999</v>
      </c>
      <c r="G1287" s="374"/>
    </row>
    <row r="1288" spans="1:7" s="200" customFormat="1" x14ac:dyDescent="0.25">
      <c r="A1288" s="362" t="s">
        <v>22</v>
      </c>
      <c r="B1288" s="363"/>
      <c r="C1288" s="363"/>
      <c r="D1288" s="363"/>
      <c r="E1288" s="363"/>
      <c r="F1288" s="363"/>
      <c r="G1288" s="363"/>
    </row>
    <row r="1289" spans="1:7" s="200" customFormat="1" x14ac:dyDescent="0.25">
      <c r="A1289" s="364" t="s">
        <v>23</v>
      </c>
      <c r="B1289" s="366"/>
      <c r="C1289" s="366"/>
      <c r="D1289" s="366"/>
      <c r="E1289" s="366"/>
      <c r="F1289" s="366"/>
      <c r="G1289" s="395"/>
    </row>
    <row r="1290" spans="1:7" s="200" customFormat="1" x14ac:dyDescent="0.25">
      <c r="A1290" s="364" t="s">
        <v>814</v>
      </c>
      <c r="B1290" s="366"/>
      <c r="C1290" s="366"/>
      <c r="D1290" s="366"/>
      <c r="E1290" s="366"/>
      <c r="F1290" s="366"/>
      <c r="G1290" s="395"/>
    </row>
    <row r="1291" spans="1:7" s="200" customFormat="1" x14ac:dyDescent="0.25">
      <c r="A1291" s="367" t="s">
        <v>650</v>
      </c>
      <c r="B1291" s="337"/>
      <c r="C1291" s="337"/>
      <c r="D1291" s="337"/>
      <c r="E1291" s="337"/>
      <c r="F1291" s="337"/>
      <c r="G1291" s="396"/>
    </row>
    <row r="1292" spans="1:7" s="200" customFormat="1" x14ac:dyDescent="0.25">
      <c r="A1292" s="367" t="s">
        <v>651</v>
      </c>
      <c r="B1292" s="337"/>
      <c r="C1292" s="337"/>
      <c r="D1292" s="337"/>
      <c r="E1292" s="337"/>
      <c r="F1292" s="337"/>
      <c r="G1292" s="396"/>
    </row>
    <row r="1293" spans="1:7" s="200" customFormat="1" x14ac:dyDescent="0.25">
      <c r="A1293" s="367" t="s">
        <v>815</v>
      </c>
      <c r="B1293" s="337"/>
      <c r="C1293" s="337"/>
      <c r="D1293" s="337"/>
      <c r="E1293" s="337"/>
      <c r="F1293" s="337"/>
      <c r="G1293" s="396"/>
    </row>
    <row r="1294" spans="1:7" s="200" customFormat="1" x14ac:dyDescent="0.25">
      <c r="A1294" s="367" t="s">
        <v>816</v>
      </c>
      <c r="B1294" s="337"/>
      <c r="C1294" s="337"/>
      <c r="D1294" s="337"/>
      <c r="E1294" s="337"/>
      <c r="F1294" s="337"/>
      <c r="G1294" s="396"/>
    </row>
    <row r="1295" spans="1:7" s="200" customFormat="1" x14ac:dyDescent="0.25">
      <c r="A1295" s="425" t="s">
        <v>1037</v>
      </c>
      <c r="B1295" s="337"/>
      <c r="C1295" s="337"/>
      <c r="D1295" s="337"/>
      <c r="E1295" s="337"/>
      <c r="F1295" s="337"/>
      <c r="G1295" s="396"/>
    </row>
    <row r="1296" spans="1:7" x14ac:dyDescent="0.25">
      <c r="A1296" s="425" t="s">
        <v>1085</v>
      </c>
      <c r="C1296" s="346"/>
      <c r="G1296" s="64"/>
    </row>
    <row r="1297" spans="1:16" s="409" customFormat="1" ht="13.8" x14ac:dyDescent="0.3">
      <c r="A1297" s="421" t="s">
        <v>1227</v>
      </c>
      <c r="B1297" s="34"/>
      <c r="C1297" s="34"/>
      <c r="D1297" s="34"/>
      <c r="E1297" s="34"/>
      <c r="F1297" s="34"/>
      <c r="G1297" s="48"/>
      <c r="H1297" s="48"/>
      <c r="I1297" s="3"/>
      <c r="J1297" s="3"/>
      <c r="K1297" s="3"/>
      <c r="L1297" s="3"/>
      <c r="M1297" s="3"/>
      <c r="N1297" s="3"/>
      <c r="O1297" s="3"/>
      <c r="P1297" s="3"/>
    </row>
    <row r="1298" spans="1:16" s="409" customFormat="1" ht="13.8" x14ac:dyDescent="0.3">
      <c r="A1298" s="610"/>
      <c r="B1298" s="3"/>
      <c r="C1298" s="3"/>
      <c r="D1298" s="3"/>
      <c r="E1298" s="3"/>
      <c r="F1298" s="3"/>
      <c r="G1298" s="3"/>
      <c r="H1298" s="3"/>
      <c r="I1298" s="3"/>
      <c r="J1298" s="3"/>
      <c r="K1298" s="3"/>
      <c r="L1298" s="3"/>
      <c r="M1298" s="3"/>
      <c r="N1298" s="3"/>
      <c r="O1298" s="3"/>
      <c r="P1298" s="3"/>
    </row>
    <row r="1299" spans="1:16" s="409" customFormat="1" ht="13.8" x14ac:dyDescent="0.3">
      <c r="A1299" s="624" t="s">
        <v>12</v>
      </c>
      <c r="B1299" s="625" t="s">
        <v>173</v>
      </c>
      <c r="C1299" s="337"/>
      <c r="D1299" s="337"/>
      <c r="E1299" s="3"/>
      <c r="F1299" s="3"/>
      <c r="G1299" s="3"/>
      <c r="H1299" s="3"/>
      <c r="I1299" s="3"/>
      <c r="J1299" s="3"/>
      <c r="K1299" s="3"/>
      <c r="L1299" s="3"/>
      <c r="M1299" s="3"/>
      <c r="N1299" s="3"/>
      <c r="O1299" s="3"/>
      <c r="P1299" s="3"/>
    </row>
    <row r="1300" spans="1:16" s="409" customFormat="1" ht="13.8" x14ac:dyDescent="0.3">
      <c r="A1300" s="624" t="s">
        <v>14</v>
      </c>
      <c r="B1300" s="625" t="s">
        <v>1229</v>
      </c>
      <c r="C1300" s="625" t="s">
        <v>15</v>
      </c>
      <c r="D1300" s="337"/>
      <c r="E1300" s="3"/>
      <c r="F1300" s="3"/>
      <c r="G1300" s="3"/>
      <c r="H1300" s="3"/>
      <c r="I1300" s="3"/>
      <c r="J1300" s="3"/>
      <c r="K1300" s="3"/>
      <c r="L1300" s="3"/>
      <c r="M1300" s="3"/>
      <c r="N1300" s="3"/>
      <c r="O1300" s="3"/>
      <c r="P1300" s="3"/>
    </row>
    <row r="1301" spans="1:16" s="409" customFormat="1" ht="13.8" x14ac:dyDescent="0.3">
      <c r="A1301" s="377" t="s">
        <v>16</v>
      </c>
      <c r="B1301" s="618">
        <v>2024</v>
      </c>
      <c r="C1301" s="618">
        <v>2025</v>
      </c>
      <c r="D1301" s="618">
        <v>2026</v>
      </c>
      <c r="E1301" s="3"/>
      <c r="F1301" s="3"/>
      <c r="G1301" s="3"/>
      <c r="H1301" s="3"/>
      <c r="I1301" s="3"/>
      <c r="J1301" s="3"/>
      <c r="K1301" s="3"/>
      <c r="L1301" s="3"/>
      <c r="M1301" s="3"/>
      <c r="N1301" s="3"/>
      <c r="O1301" s="3"/>
      <c r="P1301" s="3"/>
    </row>
    <row r="1302" spans="1:16" s="409" customFormat="1" ht="13.8" x14ac:dyDescent="0.3">
      <c r="A1302" s="377" t="s">
        <v>17</v>
      </c>
      <c r="B1302" s="630">
        <v>1520</v>
      </c>
      <c r="C1302" s="630">
        <v>1520</v>
      </c>
      <c r="D1302" s="630">
        <v>1520</v>
      </c>
      <c r="E1302" s="3"/>
      <c r="F1302" s="3"/>
      <c r="G1302" s="3"/>
      <c r="H1302" s="3"/>
      <c r="I1302" s="3"/>
      <c r="J1302" s="3"/>
      <c r="K1302" s="3"/>
      <c r="L1302" s="3"/>
      <c r="M1302" s="3"/>
      <c r="N1302" s="3"/>
      <c r="O1302" s="3"/>
      <c r="P1302" s="3"/>
    </row>
    <row r="1303" spans="1:16" s="409" customFormat="1" ht="13.8" x14ac:dyDescent="0.3">
      <c r="A1303" s="377" t="s">
        <v>18</v>
      </c>
      <c r="B1303" s="630">
        <v>1520</v>
      </c>
      <c r="C1303" s="630">
        <v>1520</v>
      </c>
      <c r="D1303" s="630">
        <v>1520</v>
      </c>
      <c r="E1303" s="3"/>
      <c r="F1303" s="3"/>
      <c r="G1303" s="3"/>
      <c r="H1303" s="3"/>
      <c r="I1303" s="3"/>
      <c r="J1303" s="3"/>
      <c r="K1303" s="3"/>
      <c r="L1303" s="3"/>
      <c r="M1303" s="3"/>
      <c r="N1303" s="3"/>
      <c r="O1303" s="3"/>
      <c r="P1303" s="3"/>
    </row>
    <row r="1304" spans="1:16" s="409" customFormat="1" ht="13.8" x14ac:dyDescent="0.3">
      <c r="A1304" s="377" t="s">
        <v>19</v>
      </c>
      <c r="B1304" s="630"/>
      <c r="C1304" s="630"/>
      <c r="D1304" s="630"/>
      <c r="E1304" s="3"/>
      <c r="F1304" s="3"/>
      <c r="G1304" s="3"/>
      <c r="H1304" s="3"/>
      <c r="I1304" s="3"/>
      <c r="J1304" s="3"/>
      <c r="K1304" s="3"/>
      <c r="L1304" s="3"/>
      <c r="M1304" s="3"/>
      <c r="N1304" s="3"/>
      <c r="O1304" s="3"/>
      <c r="P1304" s="3"/>
    </row>
    <row r="1305" spans="1:16" s="409" customFormat="1" ht="13.8" x14ac:dyDescent="0.3">
      <c r="A1305" s="377" t="s">
        <v>20</v>
      </c>
      <c r="B1305" s="631">
        <v>858.7</v>
      </c>
      <c r="C1305" s="632" t="s">
        <v>1131</v>
      </c>
      <c r="D1305" s="632" t="s">
        <v>1131</v>
      </c>
      <c r="E1305" s="3"/>
      <c r="F1305" s="3"/>
      <c r="G1305" s="3"/>
      <c r="H1305" s="3"/>
      <c r="I1305" s="3"/>
      <c r="J1305" s="3"/>
      <c r="K1305" s="3"/>
      <c r="L1305" s="3"/>
      <c r="M1305" s="3"/>
      <c r="N1305" s="3"/>
      <c r="O1305" s="3"/>
      <c r="P1305" s="3"/>
    </row>
    <row r="1306" spans="1:16" s="409" customFormat="1" ht="13.8" x14ac:dyDescent="0.3">
      <c r="A1306" s="364" t="s">
        <v>21</v>
      </c>
      <c r="B1306" s="633">
        <f>B1303-B1305</f>
        <v>661.3</v>
      </c>
      <c r="C1306" s="634" t="s">
        <v>1131</v>
      </c>
      <c r="D1306" s="634" t="s">
        <v>1131</v>
      </c>
      <c r="E1306" s="3"/>
      <c r="F1306" s="3"/>
      <c r="G1306" s="3"/>
      <c r="H1306" s="3"/>
      <c r="I1306" s="3"/>
      <c r="J1306" s="3"/>
      <c r="K1306" s="3"/>
      <c r="L1306" s="3"/>
      <c r="M1306" s="3"/>
      <c r="N1306" s="3"/>
      <c r="O1306" s="3"/>
      <c r="P1306" s="3"/>
    </row>
    <row r="1307" spans="1:16" s="409" customFormat="1" ht="13.8" x14ac:dyDescent="0.3">
      <c r="A1307" s="377" t="s">
        <v>22</v>
      </c>
      <c r="B1307" s="378"/>
      <c r="C1307" s="378"/>
      <c r="D1307" s="626"/>
      <c r="E1307" s="3"/>
      <c r="F1307" s="3"/>
      <c r="G1307" s="3"/>
      <c r="H1307" s="3"/>
      <c r="I1307" s="3"/>
      <c r="J1307" s="3"/>
      <c r="K1307" s="3"/>
      <c r="L1307" s="3"/>
      <c r="M1307" s="3"/>
      <c r="N1307" s="3"/>
      <c r="O1307" s="3"/>
      <c r="P1307" s="3"/>
    </row>
    <row r="1308" spans="1:16" s="409" customFormat="1" ht="13.8" x14ac:dyDescent="0.3">
      <c r="A1308" s="367" t="s">
        <v>23</v>
      </c>
      <c r="B1308" s="8"/>
      <c r="C1308" s="8"/>
      <c r="D1308" s="627"/>
      <c r="E1308" s="3"/>
      <c r="F1308" s="3"/>
      <c r="G1308" s="3"/>
      <c r="H1308" s="3"/>
      <c r="I1308" s="3"/>
      <c r="J1308" s="3"/>
      <c r="K1308" s="3"/>
      <c r="L1308" s="3"/>
      <c r="M1308" s="3"/>
      <c r="N1308" s="3"/>
      <c r="O1308" s="3"/>
      <c r="P1308" s="3"/>
    </row>
    <row r="1309" spans="1:16" s="629" customFormat="1" ht="13.8" x14ac:dyDescent="0.3">
      <c r="A1309" s="421" t="s">
        <v>1230</v>
      </c>
      <c r="B1309" s="623"/>
      <c r="C1309" s="623"/>
      <c r="D1309" s="628"/>
      <c r="E1309" s="45"/>
      <c r="F1309" s="45"/>
      <c r="G1309" s="45"/>
      <c r="H1309" s="45"/>
      <c r="I1309" s="45"/>
      <c r="J1309" s="45"/>
      <c r="K1309" s="45"/>
      <c r="L1309" s="45"/>
      <c r="M1309" s="45"/>
      <c r="N1309" s="45"/>
      <c r="O1309" s="45"/>
      <c r="P1309" s="45"/>
    </row>
    <row r="1310" spans="1:16" x14ac:dyDescent="0.25">
      <c r="A1310" s="427"/>
      <c r="C1310" s="346"/>
    </row>
    <row r="1311" spans="1:16" x14ac:dyDescent="0.25">
      <c r="A1311" s="350" t="s">
        <v>14</v>
      </c>
      <c r="B1311" s="403" t="s">
        <v>1048</v>
      </c>
      <c r="C1311" s="403" t="s">
        <v>15</v>
      </c>
      <c r="D1311" s="337"/>
    </row>
    <row r="1312" spans="1:16" x14ac:dyDescent="0.25">
      <c r="A1312" s="358" t="s">
        <v>16</v>
      </c>
      <c r="B1312" s="428">
        <v>2023</v>
      </c>
      <c r="C1312" s="428">
        <v>2024</v>
      </c>
      <c r="D1312" s="428">
        <v>2025</v>
      </c>
      <c r="E1312" s="429"/>
      <c r="F1312" s="428"/>
    </row>
    <row r="1313" spans="1:16" x14ac:dyDescent="0.25">
      <c r="A1313" s="358" t="s">
        <v>17</v>
      </c>
      <c r="B1313" s="359">
        <v>62</v>
      </c>
      <c r="C1313" s="359">
        <v>62</v>
      </c>
      <c r="D1313" s="359">
        <v>62</v>
      </c>
      <c r="E1313" s="430"/>
      <c r="F1313" s="359"/>
    </row>
    <row r="1314" spans="1:16" x14ac:dyDescent="0.25">
      <c r="A1314" s="358" t="s">
        <v>18</v>
      </c>
      <c r="B1314" s="359">
        <v>62</v>
      </c>
      <c r="C1314" s="359">
        <v>62</v>
      </c>
      <c r="D1314" s="359">
        <v>62</v>
      </c>
      <c r="E1314" s="430"/>
      <c r="F1314" s="359"/>
    </row>
    <row r="1315" spans="1:16" x14ac:dyDescent="0.25">
      <c r="A1315" s="358" t="s">
        <v>19</v>
      </c>
      <c r="B1315" s="359"/>
      <c r="C1315" s="359"/>
      <c r="D1315" s="359"/>
      <c r="E1315" s="430"/>
      <c r="F1315" s="359"/>
    </row>
    <row r="1316" spans="1:16" x14ac:dyDescent="0.25">
      <c r="A1316" s="358" t="s">
        <v>20</v>
      </c>
      <c r="B1316" s="359">
        <v>4.4000000000000004</v>
      </c>
      <c r="C1316" s="359">
        <v>6.8</v>
      </c>
      <c r="D1316" s="359"/>
      <c r="E1316" s="430"/>
      <c r="F1316" s="359"/>
    </row>
    <row r="1317" spans="1:16" x14ac:dyDescent="0.25">
      <c r="A1317" s="358" t="s">
        <v>21</v>
      </c>
      <c r="B1317" s="363">
        <f>B1313-B1316</f>
        <v>57.6</v>
      </c>
      <c r="C1317" s="363">
        <f>C1313-C1316</f>
        <v>55.2</v>
      </c>
      <c r="D1317" s="363"/>
      <c r="E1317" s="431"/>
      <c r="F1317" s="359"/>
    </row>
    <row r="1318" spans="1:16" ht="13.8" x14ac:dyDescent="0.3">
      <c r="A1318" s="364" t="s">
        <v>22</v>
      </c>
      <c r="B1318" s="622"/>
      <c r="C1318" s="621"/>
      <c r="D1318" s="621"/>
      <c r="E1318" s="366"/>
      <c r="F1318" s="621"/>
    </row>
    <row r="1319" spans="1:16" x14ac:dyDescent="0.25">
      <c r="A1319" s="364" t="s">
        <v>23</v>
      </c>
      <c r="B1319" s="366"/>
      <c r="C1319" s="366"/>
      <c r="D1319" s="366"/>
      <c r="E1319" s="19"/>
      <c r="F1319" s="63"/>
    </row>
    <row r="1320" spans="1:16" x14ac:dyDescent="0.25">
      <c r="A1320" s="367" t="s">
        <v>1086</v>
      </c>
      <c r="B1320" s="337"/>
      <c r="C1320" s="337"/>
      <c r="D1320" s="337"/>
      <c r="F1320" s="64"/>
    </row>
    <row r="1321" spans="1:16" x14ac:dyDescent="0.25">
      <c r="A1321" s="424" t="s">
        <v>1180</v>
      </c>
      <c r="F1321" s="64"/>
    </row>
    <row r="1322" spans="1:16" s="409" customFormat="1" ht="13.8" x14ac:dyDescent="0.3">
      <c r="A1322" s="421" t="s">
        <v>1228</v>
      </c>
      <c r="B1322" s="43"/>
      <c r="C1322" s="43"/>
      <c r="D1322" s="43"/>
      <c r="E1322" s="43"/>
      <c r="F1322" s="44"/>
      <c r="G1322" s="3"/>
      <c r="H1322" s="3"/>
      <c r="I1322" s="3"/>
      <c r="J1322" s="3"/>
      <c r="K1322" s="3"/>
      <c r="L1322" s="3"/>
      <c r="M1322" s="3"/>
      <c r="N1322" s="3"/>
      <c r="O1322" s="3"/>
      <c r="P1322" s="3"/>
    </row>
    <row r="1323" spans="1:16" x14ac:dyDescent="0.25">
      <c r="A1323" s="427"/>
      <c r="C1323" s="346"/>
    </row>
    <row r="1324" spans="1:16" x14ac:dyDescent="0.25">
      <c r="A1324" s="313"/>
      <c r="C1324" s="346"/>
    </row>
    <row r="1325" spans="1:16" x14ac:dyDescent="0.25">
      <c r="A1325" s="98" t="s">
        <v>673</v>
      </c>
      <c r="B1325" s="66" t="s">
        <v>672</v>
      </c>
      <c r="C1325" s="8"/>
      <c r="D1325" s="8"/>
      <c r="E1325" s="8"/>
      <c r="F1325" s="8"/>
      <c r="G1325" s="8"/>
    </row>
    <row r="1326" spans="1:16" x14ac:dyDescent="0.25">
      <c r="A1326" s="103" t="s">
        <v>14</v>
      </c>
      <c r="B1326" s="104" t="s">
        <v>624</v>
      </c>
      <c r="C1326" s="66" t="s">
        <v>15</v>
      </c>
      <c r="D1326" s="8"/>
      <c r="E1326" s="8"/>
      <c r="F1326" s="8"/>
      <c r="G1326" s="8"/>
    </row>
    <row r="1327" spans="1:16" x14ac:dyDescent="0.25">
      <c r="A1327" s="95" t="s">
        <v>16</v>
      </c>
      <c r="B1327" s="268">
        <v>2014</v>
      </c>
      <c r="C1327" s="261">
        <v>2015</v>
      </c>
      <c r="D1327" s="261">
        <v>2016</v>
      </c>
      <c r="E1327" s="261">
        <v>2017</v>
      </c>
      <c r="F1327" s="339">
        <v>2018</v>
      </c>
      <c r="G1327" s="339">
        <v>2019</v>
      </c>
      <c r="H1327" s="152">
        <v>2020</v>
      </c>
      <c r="I1327" s="152">
        <v>2021</v>
      </c>
      <c r="J1327" s="152">
        <v>2022</v>
      </c>
      <c r="K1327" s="152">
        <v>2023</v>
      </c>
      <c r="L1327" s="152">
        <v>2024</v>
      </c>
      <c r="M1327" s="152">
        <v>2025</v>
      </c>
    </row>
    <row r="1328" spans="1:16" x14ac:dyDescent="0.25">
      <c r="A1328" s="68" t="s">
        <v>17</v>
      </c>
      <c r="B1328" s="72">
        <v>200</v>
      </c>
      <c r="C1328" s="72">
        <v>200</v>
      </c>
      <c r="D1328" s="72">
        <v>200</v>
      </c>
      <c r="E1328" s="72">
        <v>200</v>
      </c>
      <c r="F1328" s="97">
        <v>200</v>
      </c>
      <c r="G1328" s="97">
        <v>215</v>
      </c>
      <c r="H1328" s="97">
        <v>215</v>
      </c>
      <c r="I1328" s="97">
        <v>242</v>
      </c>
      <c r="J1328" s="97">
        <v>242</v>
      </c>
      <c r="K1328" s="97">
        <v>242</v>
      </c>
      <c r="L1328" s="97">
        <v>302</v>
      </c>
      <c r="M1328" s="97">
        <v>302</v>
      </c>
    </row>
    <row r="1329" spans="1:14" x14ac:dyDescent="0.25">
      <c r="A1329" s="68" t="s">
        <v>18</v>
      </c>
      <c r="B1329" s="72">
        <v>250</v>
      </c>
      <c r="C1329" s="72">
        <v>215.6</v>
      </c>
      <c r="D1329" s="72">
        <v>250</v>
      </c>
      <c r="E1329" s="72">
        <v>250</v>
      </c>
      <c r="F1329" s="97">
        <v>250</v>
      </c>
      <c r="G1329" s="97">
        <v>265</v>
      </c>
      <c r="H1329" s="97">
        <v>265</v>
      </c>
      <c r="I1329" s="97">
        <f>I1328+0.25*G1328</f>
        <v>295.75</v>
      </c>
      <c r="J1329" s="97">
        <f>J1328+0.25*H1328</f>
        <v>295.75</v>
      </c>
      <c r="K1329" s="97">
        <f>K1328+I1328*0.25</f>
        <v>302.5</v>
      </c>
      <c r="L1329" s="97">
        <f>L1328+J1328*0.25</f>
        <v>362.5</v>
      </c>
      <c r="M1329" s="97">
        <f>M1328+K1328*0.25</f>
        <v>362.5</v>
      </c>
    </row>
    <row r="1330" spans="1:14" x14ac:dyDescent="0.25">
      <c r="A1330" s="68" t="s">
        <v>19</v>
      </c>
      <c r="B1330" s="432" t="s">
        <v>132</v>
      </c>
      <c r="C1330" s="251" t="s">
        <v>133</v>
      </c>
      <c r="D1330" s="251" t="s">
        <v>134</v>
      </c>
      <c r="E1330" s="251" t="s">
        <v>134</v>
      </c>
      <c r="F1330" s="251" t="s">
        <v>134</v>
      </c>
      <c r="G1330" s="251" t="s">
        <v>497</v>
      </c>
      <c r="H1330" s="251" t="s">
        <v>497</v>
      </c>
      <c r="I1330" s="251" t="s">
        <v>498</v>
      </c>
      <c r="J1330" s="251" t="s">
        <v>498</v>
      </c>
      <c r="K1330" s="251" t="s">
        <v>822</v>
      </c>
      <c r="L1330" s="251" t="s">
        <v>822</v>
      </c>
      <c r="M1330" s="251" t="s">
        <v>822</v>
      </c>
    </row>
    <row r="1331" spans="1:14" x14ac:dyDescent="0.25">
      <c r="A1331" s="68" t="s">
        <v>20</v>
      </c>
      <c r="B1331" s="72">
        <v>63.87</v>
      </c>
      <c r="C1331" s="72">
        <v>4.54</v>
      </c>
      <c r="D1331" s="72">
        <v>13.18</v>
      </c>
      <c r="E1331" s="72">
        <v>7.9</v>
      </c>
      <c r="F1331" s="97">
        <v>27.27</v>
      </c>
      <c r="G1331" s="97">
        <v>48.48</v>
      </c>
      <c r="H1331" s="12">
        <v>115.9</v>
      </c>
      <c r="I1331" s="12">
        <v>114.61</v>
      </c>
      <c r="J1331" s="12">
        <v>124.28</v>
      </c>
      <c r="K1331" s="12">
        <v>105.64</v>
      </c>
      <c r="L1331" s="12">
        <v>127.99</v>
      </c>
      <c r="M1331" s="12"/>
    </row>
    <row r="1332" spans="1:14" x14ac:dyDescent="0.25">
      <c r="A1332" s="68" t="s">
        <v>21</v>
      </c>
      <c r="B1332" s="72">
        <v>186.13</v>
      </c>
      <c r="C1332" s="72">
        <v>211.06</v>
      </c>
      <c r="D1332" s="72">
        <v>236.82</v>
      </c>
      <c r="E1332" s="72">
        <v>242.1</v>
      </c>
      <c r="F1332" s="97">
        <v>222.73</v>
      </c>
      <c r="G1332" s="97">
        <f t="shared" ref="G1332:L1332" si="51">G1329-G1331</f>
        <v>216.52</v>
      </c>
      <c r="H1332" s="12">
        <f t="shared" si="51"/>
        <v>149.1</v>
      </c>
      <c r="I1332" s="12">
        <f t="shared" si="51"/>
        <v>181.14</v>
      </c>
      <c r="J1332" s="12">
        <f t="shared" si="51"/>
        <v>171.47</v>
      </c>
      <c r="K1332" s="12">
        <f t="shared" si="51"/>
        <v>196.86</v>
      </c>
      <c r="L1332" s="12">
        <f t="shared" si="51"/>
        <v>234.51</v>
      </c>
      <c r="M1332" s="12"/>
    </row>
    <row r="1333" spans="1:14" x14ac:dyDescent="0.25">
      <c r="A1333" s="73" t="s">
        <v>22</v>
      </c>
      <c r="B1333" s="252">
        <v>2016</v>
      </c>
      <c r="C1333" s="252">
        <v>2017</v>
      </c>
      <c r="D1333" s="252">
        <v>2018</v>
      </c>
      <c r="E1333" s="252">
        <v>2019</v>
      </c>
      <c r="F1333" s="433">
        <v>2020</v>
      </c>
      <c r="G1333" s="433">
        <v>2021</v>
      </c>
      <c r="H1333" s="157">
        <v>2022</v>
      </c>
      <c r="I1333" s="157">
        <v>2023</v>
      </c>
      <c r="J1333" s="157">
        <v>2024</v>
      </c>
      <c r="K1333" s="157">
        <v>2025</v>
      </c>
      <c r="L1333" s="157">
        <v>2026</v>
      </c>
      <c r="M1333" s="178">
        <v>2027</v>
      </c>
    </row>
    <row r="1334" spans="1:14" x14ac:dyDescent="0.25">
      <c r="A1334" s="434" t="s">
        <v>135</v>
      </c>
      <c r="B1334" s="435"/>
      <c r="C1334" s="435"/>
      <c r="D1334" s="435"/>
      <c r="E1334" s="435"/>
      <c r="F1334" s="435"/>
      <c r="G1334" s="435"/>
      <c r="H1334" s="435"/>
      <c r="I1334" s="435"/>
      <c r="J1334" s="30"/>
      <c r="K1334" s="30"/>
      <c r="L1334" s="30"/>
      <c r="M1334" s="88"/>
    </row>
    <row r="1335" spans="1:14" x14ac:dyDescent="0.25">
      <c r="A1335" s="313"/>
      <c r="C1335" s="346"/>
    </row>
    <row r="1336" spans="1:14" x14ac:dyDescent="0.25">
      <c r="A1336" s="98" t="s">
        <v>14</v>
      </c>
      <c r="B1336" s="66" t="s">
        <v>638</v>
      </c>
      <c r="C1336" s="66" t="s">
        <v>15</v>
      </c>
      <c r="D1336" s="8"/>
      <c r="E1336" s="8"/>
      <c r="F1336" s="8"/>
      <c r="G1336" s="8"/>
    </row>
    <row r="1337" spans="1:14" x14ac:dyDescent="0.25">
      <c r="A1337" s="95" t="s">
        <v>16</v>
      </c>
      <c r="B1337" s="268">
        <v>2014</v>
      </c>
      <c r="C1337" s="261">
        <v>2015</v>
      </c>
      <c r="D1337" s="261">
        <v>2016</v>
      </c>
      <c r="E1337" s="261">
        <v>2017</v>
      </c>
      <c r="F1337" s="339">
        <v>2018</v>
      </c>
      <c r="G1337" s="339">
        <v>2019</v>
      </c>
      <c r="H1337" s="152">
        <v>2020</v>
      </c>
      <c r="I1337" s="152">
        <v>2021</v>
      </c>
      <c r="J1337" s="152">
        <v>2022</v>
      </c>
      <c r="K1337" s="152">
        <v>2023</v>
      </c>
      <c r="L1337" s="152">
        <v>2024</v>
      </c>
      <c r="M1337" s="152">
        <v>2025</v>
      </c>
      <c r="N1337" s="152">
        <v>2026</v>
      </c>
    </row>
    <row r="1338" spans="1:14" x14ac:dyDescent="0.25">
      <c r="A1338" s="68" t="s">
        <v>17</v>
      </c>
      <c r="B1338" s="72">
        <v>140</v>
      </c>
      <c r="C1338" s="72">
        <v>140</v>
      </c>
      <c r="D1338" s="72">
        <v>140</v>
      </c>
      <c r="E1338" s="72">
        <v>140</v>
      </c>
      <c r="F1338" s="97">
        <v>140</v>
      </c>
      <c r="G1338" s="97">
        <v>140</v>
      </c>
      <c r="H1338" s="97">
        <v>140</v>
      </c>
      <c r="I1338" s="97">
        <v>140</v>
      </c>
      <c r="J1338" s="97">
        <v>140</v>
      </c>
      <c r="K1338" s="97">
        <v>170</v>
      </c>
      <c r="L1338" s="97">
        <v>170</v>
      </c>
      <c r="M1338" s="97">
        <v>170</v>
      </c>
      <c r="N1338" s="97">
        <v>170</v>
      </c>
    </row>
    <row r="1339" spans="1:14" x14ac:dyDescent="0.25">
      <c r="A1339" s="68" t="s">
        <v>18</v>
      </c>
      <c r="B1339" s="72">
        <v>140</v>
      </c>
      <c r="C1339" s="72">
        <v>177.5</v>
      </c>
      <c r="D1339" s="72">
        <v>175</v>
      </c>
      <c r="E1339" s="72">
        <v>175</v>
      </c>
      <c r="F1339" s="97">
        <v>175</v>
      </c>
      <c r="G1339" s="97">
        <v>175</v>
      </c>
      <c r="H1339" s="97">
        <v>148.36000000000001</v>
      </c>
      <c r="I1339" s="97">
        <v>144.99</v>
      </c>
      <c r="J1339" s="97">
        <f>J1338+H1342</f>
        <v>156.91000000000003</v>
      </c>
      <c r="K1339" s="97">
        <f>K1338+I1342</f>
        <v>183.97</v>
      </c>
      <c r="L1339" s="97">
        <f>L1338+2.08</f>
        <v>172.08</v>
      </c>
      <c r="M1339" s="97">
        <f>M1338+0.25*K1338</f>
        <v>212.5</v>
      </c>
      <c r="N1339" s="97">
        <f>N1338+0.25*L1338</f>
        <v>212.5</v>
      </c>
    </row>
    <row r="1340" spans="1:14" x14ac:dyDescent="0.25">
      <c r="A1340" s="68" t="s">
        <v>19</v>
      </c>
      <c r="B1340" s="251" t="s">
        <v>136</v>
      </c>
      <c r="C1340" s="251" t="s">
        <v>137</v>
      </c>
      <c r="D1340" s="251" t="s">
        <v>138</v>
      </c>
      <c r="E1340" s="251" t="s">
        <v>138</v>
      </c>
      <c r="F1340" s="251" t="s">
        <v>138</v>
      </c>
      <c r="G1340" s="251" t="s">
        <v>138</v>
      </c>
      <c r="H1340" s="251" t="s">
        <v>285</v>
      </c>
      <c r="I1340" s="251" t="s">
        <v>499</v>
      </c>
      <c r="J1340" s="251" t="s">
        <v>500</v>
      </c>
      <c r="K1340" s="251" t="s">
        <v>733</v>
      </c>
      <c r="L1340" s="251" t="s">
        <v>926</v>
      </c>
      <c r="M1340" s="251" t="s">
        <v>1101</v>
      </c>
      <c r="N1340" s="251" t="s">
        <v>1101</v>
      </c>
    </row>
    <row r="1341" spans="1:14" x14ac:dyDescent="0.25">
      <c r="A1341" s="68" t="s">
        <v>20</v>
      </c>
      <c r="B1341" s="72">
        <v>3.42</v>
      </c>
      <c r="C1341" s="72">
        <v>3.47</v>
      </c>
      <c r="D1341" s="72">
        <v>48.27</v>
      </c>
      <c r="E1341" s="72">
        <v>85.96</v>
      </c>
      <c r="F1341" s="97">
        <v>166.64</v>
      </c>
      <c r="G1341" s="97">
        <v>170.01</v>
      </c>
      <c r="H1341" s="12">
        <v>131.44999999999999</v>
      </c>
      <c r="I1341" s="12">
        <v>131.02000000000001</v>
      </c>
      <c r="J1341" s="12">
        <v>152.91999999999999</v>
      </c>
      <c r="K1341" s="12">
        <v>88</v>
      </c>
      <c r="L1341" s="12">
        <v>168.33</v>
      </c>
      <c r="M1341" s="12"/>
      <c r="N1341" s="12"/>
    </row>
    <row r="1342" spans="1:14" x14ac:dyDescent="0.25">
      <c r="A1342" s="68" t="s">
        <v>21</v>
      </c>
      <c r="B1342" s="436">
        <v>136.58000000000001</v>
      </c>
      <c r="C1342" s="72">
        <v>174.03</v>
      </c>
      <c r="D1342" s="72">
        <v>126.73</v>
      </c>
      <c r="E1342" s="72">
        <v>89.04</v>
      </c>
      <c r="F1342" s="97">
        <v>8.36</v>
      </c>
      <c r="G1342" s="97">
        <f t="shared" ref="G1342:K1342" si="52">G1339-G1341</f>
        <v>4.9900000000000091</v>
      </c>
      <c r="H1342" s="12">
        <f t="shared" si="52"/>
        <v>16.910000000000025</v>
      </c>
      <c r="I1342" s="12">
        <f t="shared" si="52"/>
        <v>13.969999999999999</v>
      </c>
      <c r="J1342" s="12">
        <f t="shared" si="52"/>
        <v>3.9900000000000375</v>
      </c>
      <c r="K1342" s="12">
        <f t="shared" si="52"/>
        <v>95.97</v>
      </c>
      <c r="L1342" s="12">
        <f>L1339-L1341</f>
        <v>3.75</v>
      </c>
      <c r="M1342" s="12"/>
      <c r="N1342" s="12"/>
    </row>
    <row r="1343" spans="1:14" x14ac:dyDescent="0.25">
      <c r="A1343" s="73" t="s">
        <v>22</v>
      </c>
      <c r="B1343" s="252">
        <v>2016</v>
      </c>
      <c r="C1343" s="252">
        <v>2017</v>
      </c>
      <c r="D1343" s="252">
        <v>2018</v>
      </c>
      <c r="E1343" s="252">
        <v>2019</v>
      </c>
      <c r="F1343" s="433">
        <v>2020</v>
      </c>
      <c r="G1343" s="433">
        <v>2021</v>
      </c>
      <c r="H1343" s="157">
        <v>2022</v>
      </c>
      <c r="I1343" s="157">
        <v>2023</v>
      </c>
      <c r="J1343" s="157">
        <v>2024</v>
      </c>
      <c r="K1343" s="157">
        <v>2025</v>
      </c>
      <c r="L1343" s="157">
        <v>2026</v>
      </c>
      <c r="M1343" s="157">
        <v>2027</v>
      </c>
      <c r="N1343" s="195">
        <v>2028</v>
      </c>
    </row>
    <row r="1344" spans="1:14" x14ac:dyDescent="0.25">
      <c r="A1344" s="92" t="s">
        <v>135</v>
      </c>
      <c r="B1344" s="253"/>
      <c r="C1344" s="253"/>
      <c r="D1344" s="253"/>
      <c r="E1344" s="253"/>
      <c r="F1344" s="253"/>
      <c r="G1344" s="253"/>
      <c r="H1344" s="437"/>
      <c r="I1344" s="437"/>
      <c r="J1344" s="437"/>
      <c r="K1344" s="437"/>
      <c r="L1344" s="437"/>
      <c r="M1344" s="437"/>
      <c r="N1344" s="63"/>
    </row>
    <row r="1345" spans="1:14" x14ac:dyDescent="0.25">
      <c r="A1345" s="438" t="s">
        <v>927</v>
      </c>
      <c r="B1345" s="111"/>
      <c r="C1345" s="111"/>
      <c r="D1345" s="111"/>
      <c r="E1345" s="111"/>
      <c r="F1345" s="111"/>
      <c r="G1345" s="111"/>
      <c r="H1345" s="111"/>
      <c r="I1345" s="179"/>
      <c r="J1345" s="179"/>
      <c r="K1345" s="179"/>
      <c r="L1345" s="179"/>
      <c r="M1345" s="179"/>
      <c r="N1345" s="48"/>
    </row>
    <row r="1346" spans="1:14" x14ac:dyDescent="0.25">
      <c r="A1346" s="313"/>
      <c r="C1346" s="346"/>
    </row>
    <row r="1347" spans="1:14" x14ac:dyDescent="0.25">
      <c r="A1347" s="98" t="s">
        <v>14</v>
      </c>
      <c r="B1347" s="66" t="s">
        <v>623</v>
      </c>
      <c r="C1347" s="66" t="s">
        <v>152</v>
      </c>
      <c r="D1347" s="8"/>
      <c r="E1347" s="8"/>
      <c r="F1347" s="8"/>
      <c r="G1347" s="8"/>
    </row>
    <row r="1348" spans="1:14" x14ac:dyDescent="0.25">
      <c r="A1348" s="95" t="s">
        <v>16</v>
      </c>
      <c r="B1348" s="268">
        <v>2014</v>
      </c>
      <c r="C1348" s="261">
        <v>2015</v>
      </c>
      <c r="D1348" s="261">
        <v>2016</v>
      </c>
      <c r="E1348" s="261" t="s">
        <v>242</v>
      </c>
      <c r="F1348" s="261" t="s">
        <v>243</v>
      </c>
      <c r="G1348" s="261" t="s">
        <v>244</v>
      </c>
      <c r="H1348" s="261" t="s">
        <v>286</v>
      </c>
      <c r="I1348" s="261" t="s">
        <v>504</v>
      </c>
      <c r="J1348" s="261" t="s">
        <v>674</v>
      </c>
      <c r="K1348" s="261" t="s">
        <v>823</v>
      </c>
      <c r="L1348" s="261" t="s">
        <v>1039</v>
      </c>
      <c r="M1348" s="439" t="s">
        <v>1181</v>
      </c>
    </row>
    <row r="1349" spans="1:14" x14ac:dyDescent="0.25">
      <c r="A1349" s="68" t="s">
        <v>17</v>
      </c>
      <c r="B1349" s="72">
        <v>50</v>
      </c>
      <c r="C1349" s="72">
        <v>50</v>
      </c>
      <c r="D1349" s="72">
        <v>50</v>
      </c>
      <c r="E1349" s="72">
        <v>50</v>
      </c>
      <c r="F1349" s="72">
        <v>50</v>
      </c>
      <c r="G1349" s="72">
        <v>50</v>
      </c>
      <c r="H1349" s="12">
        <v>50</v>
      </c>
      <c r="I1349" s="12">
        <v>50</v>
      </c>
      <c r="J1349" s="12">
        <v>50</v>
      </c>
      <c r="K1349" s="12">
        <v>50</v>
      </c>
      <c r="L1349" s="12">
        <v>50</v>
      </c>
      <c r="M1349" s="440">
        <v>50</v>
      </c>
    </row>
    <row r="1350" spans="1:14" x14ac:dyDescent="0.25">
      <c r="A1350" s="68" t="s">
        <v>18</v>
      </c>
      <c r="B1350" s="72">
        <v>45.6</v>
      </c>
      <c r="C1350" s="72">
        <v>45.6</v>
      </c>
      <c r="D1350" s="72">
        <v>65.34</v>
      </c>
      <c r="E1350" s="72">
        <v>75</v>
      </c>
      <c r="F1350" s="72">
        <v>70</v>
      </c>
      <c r="G1350" s="72">
        <v>70</v>
      </c>
      <c r="H1350" s="12">
        <v>70</v>
      </c>
      <c r="I1350" s="12">
        <v>70</v>
      </c>
      <c r="J1350" s="12">
        <v>70</v>
      </c>
      <c r="K1350" s="12">
        <v>70</v>
      </c>
      <c r="L1350" s="12">
        <v>70</v>
      </c>
      <c r="M1350" s="440">
        <f>M1349+(K1349*0.4)</f>
        <v>70</v>
      </c>
    </row>
    <row r="1351" spans="1:14" x14ac:dyDescent="0.25">
      <c r="A1351" s="68" t="s">
        <v>19</v>
      </c>
      <c r="B1351" s="249" t="s">
        <v>139</v>
      </c>
      <c r="C1351" s="251" t="s">
        <v>139</v>
      </c>
      <c r="D1351" s="251" t="s">
        <v>140</v>
      </c>
      <c r="E1351" s="251" t="s">
        <v>141</v>
      </c>
      <c r="F1351" s="251" t="s">
        <v>245</v>
      </c>
      <c r="G1351" s="251" t="s">
        <v>245</v>
      </c>
      <c r="H1351" s="11" t="s">
        <v>245</v>
      </c>
      <c r="I1351" s="11" t="s">
        <v>245</v>
      </c>
      <c r="J1351" s="11" t="s">
        <v>245</v>
      </c>
      <c r="K1351" s="11" t="s">
        <v>245</v>
      </c>
      <c r="L1351" s="11" t="s">
        <v>245</v>
      </c>
      <c r="M1351" s="441" t="s">
        <v>1182</v>
      </c>
    </row>
    <row r="1352" spans="1:14" x14ac:dyDescent="0.25">
      <c r="A1352" s="68" t="s">
        <v>20</v>
      </c>
      <c r="B1352" s="72">
        <v>34.659999999999997</v>
      </c>
      <c r="C1352" s="72">
        <v>0</v>
      </c>
      <c r="D1352" s="72">
        <v>9.14</v>
      </c>
      <c r="E1352" s="72">
        <v>18.559999999999999</v>
      </c>
      <c r="F1352" s="72">
        <v>8.7899999999999991</v>
      </c>
      <c r="G1352" s="72">
        <v>9.3699999999999992</v>
      </c>
      <c r="H1352" s="12">
        <v>13.7</v>
      </c>
      <c r="I1352" s="12">
        <v>13.48</v>
      </c>
      <c r="J1352" s="12">
        <v>16.86</v>
      </c>
      <c r="K1352" s="12">
        <v>19.89</v>
      </c>
      <c r="L1352" s="12">
        <v>17.59</v>
      </c>
      <c r="M1352" s="440"/>
    </row>
    <row r="1353" spans="1:14" x14ac:dyDescent="0.25">
      <c r="A1353" s="68" t="s">
        <v>21</v>
      </c>
      <c r="B1353" s="72">
        <v>10.94</v>
      </c>
      <c r="C1353" s="72">
        <v>45.6</v>
      </c>
      <c r="D1353" s="72">
        <v>56.2</v>
      </c>
      <c r="E1353" s="72">
        <v>56.44</v>
      </c>
      <c r="F1353" s="72">
        <v>61.21</v>
      </c>
      <c r="G1353" s="72">
        <f t="shared" ref="G1353:L1353" si="53">G1350-G1352</f>
        <v>60.63</v>
      </c>
      <c r="H1353" s="72">
        <f t="shared" si="53"/>
        <v>56.3</v>
      </c>
      <c r="I1353" s="72">
        <f t="shared" si="53"/>
        <v>56.519999999999996</v>
      </c>
      <c r="J1353" s="72">
        <f t="shared" si="53"/>
        <v>53.14</v>
      </c>
      <c r="K1353" s="72">
        <f t="shared" si="53"/>
        <v>50.11</v>
      </c>
      <c r="L1353" s="72">
        <f t="shared" si="53"/>
        <v>52.41</v>
      </c>
      <c r="M1353" s="440"/>
    </row>
    <row r="1354" spans="1:14" x14ac:dyDescent="0.25">
      <c r="A1354" s="73" t="s">
        <v>22</v>
      </c>
      <c r="B1354" s="252">
        <v>2016</v>
      </c>
      <c r="C1354" s="252">
        <v>2017</v>
      </c>
      <c r="D1354" s="252">
        <v>2018</v>
      </c>
      <c r="E1354" s="252">
        <v>2019</v>
      </c>
      <c r="F1354" s="252">
        <v>2020</v>
      </c>
      <c r="G1354" s="252">
        <v>2021</v>
      </c>
      <c r="H1354" s="157">
        <v>2022</v>
      </c>
      <c r="I1354" s="157">
        <v>2023</v>
      </c>
      <c r="J1354" s="157">
        <v>2024</v>
      </c>
      <c r="K1354" s="157">
        <v>2025</v>
      </c>
      <c r="L1354" s="157">
        <v>2026</v>
      </c>
      <c r="M1354" s="442">
        <v>2026</v>
      </c>
    </row>
    <row r="1355" spans="1:14" x14ac:dyDescent="0.25">
      <c r="A1355" s="92" t="s">
        <v>579</v>
      </c>
      <c r="B1355" s="253"/>
      <c r="C1355" s="253"/>
      <c r="D1355" s="253"/>
      <c r="E1355" s="253"/>
      <c r="F1355" s="253"/>
      <c r="G1355" s="253"/>
      <c r="H1355" s="437"/>
      <c r="I1355" s="437"/>
      <c r="J1355" s="437"/>
      <c r="K1355" s="437"/>
      <c r="L1355" s="437"/>
      <c r="M1355" s="63"/>
    </row>
    <row r="1356" spans="1:14" x14ac:dyDescent="0.25">
      <c r="A1356" s="94" t="s">
        <v>502</v>
      </c>
      <c r="B1356" s="443"/>
      <c r="C1356" s="443"/>
      <c r="D1356" s="443"/>
      <c r="E1356" s="443"/>
      <c r="F1356" s="443"/>
      <c r="G1356" s="443"/>
      <c r="H1356" s="444"/>
      <c r="M1356" s="64"/>
    </row>
    <row r="1357" spans="1:14" x14ac:dyDescent="0.25">
      <c r="A1357" s="95" t="s">
        <v>503</v>
      </c>
      <c r="B1357" s="85"/>
      <c r="C1357" s="85"/>
      <c r="D1357" s="85"/>
      <c r="E1357" s="85"/>
      <c r="F1357" s="85"/>
      <c r="G1357" s="85"/>
      <c r="H1357" s="85"/>
      <c r="I1357" s="34"/>
      <c r="J1357" s="34"/>
      <c r="K1357" s="34"/>
      <c r="L1357" s="34"/>
      <c r="M1357" s="48"/>
    </row>
    <row r="1358" spans="1:14" ht="15.6" customHeight="1" x14ac:dyDescent="0.25">
      <c r="A1358" s="118"/>
      <c r="B1358" s="8"/>
      <c r="C1358" s="8"/>
      <c r="D1358" s="8"/>
      <c r="E1358" s="8"/>
      <c r="F1358" s="8"/>
      <c r="G1358" s="8"/>
    </row>
    <row r="1359" spans="1:14" x14ac:dyDescent="0.25">
      <c r="A1359" s="98" t="s">
        <v>14</v>
      </c>
      <c r="B1359" s="66" t="s">
        <v>641</v>
      </c>
      <c r="C1359" s="135" t="s">
        <v>152</v>
      </c>
      <c r="D1359" s="8"/>
      <c r="E1359" s="8"/>
      <c r="F1359" s="8"/>
      <c r="G1359" s="8"/>
    </row>
    <row r="1360" spans="1:14" x14ac:dyDescent="0.25">
      <c r="A1360" s="95" t="s">
        <v>16</v>
      </c>
      <c r="B1360" s="268">
        <v>2014</v>
      </c>
      <c r="C1360" s="261">
        <v>2015</v>
      </c>
      <c r="D1360" s="261">
        <v>2016</v>
      </c>
      <c r="E1360" s="261">
        <v>2017</v>
      </c>
      <c r="F1360" s="261" t="s">
        <v>243</v>
      </c>
      <c r="G1360" s="261" t="s">
        <v>244</v>
      </c>
      <c r="H1360" s="152" t="s">
        <v>286</v>
      </c>
      <c r="I1360" s="152" t="s">
        <v>504</v>
      </c>
      <c r="J1360" s="152" t="s">
        <v>674</v>
      </c>
      <c r="K1360" s="152">
        <v>2023</v>
      </c>
      <c r="L1360" s="152">
        <v>2023</v>
      </c>
      <c r="M1360" s="445">
        <v>2024</v>
      </c>
      <c r="N1360" s="445">
        <v>2025</v>
      </c>
    </row>
    <row r="1361" spans="1:14" x14ac:dyDescent="0.25">
      <c r="A1361" s="68" t="s">
        <v>17</v>
      </c>
      <c r="B1361" s="72">
        <v>50</v>
      </c>
      <c r="C1361" s="72">
        <v>50</v>
      </c>
      <c r="D1361" s="72">
        <v>50</v>
      </c>
      <c r="E1361" s="72">
        <v>50</v>
      </c>
      <c r="F1361" s="72">
        <v>50</v>
      </c>
      <c r="G1361" s="72">
        <v>50</v>
      </c>
      <c r="H1361" s="12">
        <v>50</v>
      </c>
      <c r="I1361" s="12">
        <v>50</v>
      </c>
      <c r="J1361" s="12">
        <v>50</v>
      </c>
      <c r="K1361" s="12">
        <v>50</v>
      </c>
      <c r="L1361" s="12">
        <v>50</v>
      </c>
      <c r="M1361" s="440">
        <v>50</v>
      </c>
      <c r="N1361" s="440">
        <v>50</v>
      </c>
    </row>
    <row r="1362" spans="1:14" x14ac:dyDescent="0.25">
      <c r="A1362" s="68" t="s">
        <v>18</v>
      </c>
      <c r="B1362" s="72">
        <v>50</v>
      </c>
      <c r="C1362" s="72">
        <v>60.7</v>
      </c>
      <c r="D1362" s="72">
        <v>47.37</v>
      </c>
      <c r="E1362" s="72">
        <v>65</v>
      </c>
      <c r="F1362" s="72">
        <v>60</v>
      </c>
      <c r="G1362" s="72">
        <v>60</v>
      </c>
      <c r="H1362" s="12">
        <f>H1361*1.2</f>
        <v>60</v>
      </c>
      <c r="I1362" s="12">
        <f>I1361*1.2</f>
        <v>60</v>
      </c>
      <c r="J1362" s="12">
        <f>J1361*1.2</f>
        <v>60</v>
      </c>
      <c r="K1362" s="12">
        <v>55</v>
      </c>
      <c r="L1362" s="12">
        <v>55</v>
      </c>
      <c r="M1362" s="440">
        <f>M1361+(K1361*0.1)</f>
        <v>55</v>
      </c>
      <c r="N1362" s="440">
        <f>N1361+(L1361*0.1)</f>
        <v>55</v>
      </c>
    </row>
    <row r="1363" spans="1:14" x14ac:dyDescent="0.25">
      <c r="A1363" s="68" t="s">
        <v>19</v>
      </c>
      <c r="B1363" s="251"/>
      <c r="C1363" s="251" t="s">
        <v>142</v>
      </c>
      <c r="D1363" s="251" t="s">
        <v>143</v>
      </c>
      <c r="E1363" s="251" t="s">
        <v>144</v>
      </c>
      <c r="F1363" s="251" t="s">
        <v>287</v>
      </c>
      <c r="G1363" s="251" t="s">
        <v>287</v>
      </c>
      <c r="H1363" s="251" t="s">
        <v>287</v>
      </c>
      <c r="I1363" s="251" t="s">
        <v>287</v>
      </c>
      <c r="J1363" s="251" t="s">
        <v>287</v>
      </c>
      <c r="K1363" s="251" t="s">
        <v>826</v>
      </c>
      <c r="L1363" s="251" t="s">
        <v>826</v>
      </c>
      <c r="M1363" s="446" t="s">
        <v>1183</v>
      </c>
      <c r="N1363" s="446" t="s">
        <v>1183</v>
      </c>
    </row>
    <row r="1364" spans="1:14" x14ac:dyDescent="0.25">
      <c r="A1364" s="68" t="s">
        <v>20</v>
      </c>
      <c r="B1364" s="72">
        <v>52.63</v>
      </c>
      <c r="C1364" s="72">
        <v>5.45</v>
      </c>
      <c r="D1364" s="72">
        <v>19.25</v>
      </c>
      <c r="E1364" s="72">
        <v>10.92</v>
      </c>
      <c r="F1364" s="72">
        <v>17.18</v>
      </c>
      <c r="G1364" s="72">
        <v>8.6999999999999993</v>
      </c>
      <c r="H1364" s="12">
        <v>15.41</v>
      </c>
      <c r="I1364" s="12">
        <v>5.56</v>
      </c>
      <c r="J1364" s="12">
        <v>6.37</v>
      </c>
      <c r="K1364" s="12">
        <v>4.57</v>
      </c>
      <c r="L1364" s="12"/>
      <c r="M1364" s="440">
        <v>9.85</v>
      </c>
      <c r="N1364" s="440"/>
    </row>
    <row r="1365" spans="1:14" x14ac:dyDescent="0.25">
      <c r="A1365" s="68" t="s">
        <v>21</v>
      </c>
      <c r="B1365" s="72">
        <v>-2.63</v>
      </c>
      <c r="C1365" s="72">
        <v>55.25</v>
      </c>
      <c r="D1365" s="72">
        <v>28.12</v>
      </c>
      <c r="E1365" s="72">
        <v>54.08</v>
      </c>
      <c r="F1365" s="72">
        <f t="shared" ref="F1365:K1365" si="54">F1362-F1364</f>
        <v>42.82</v>
      </c>
      <c r="G1365" s="72">
        <f t="shared" si="54"/>
        <v>51.3</v>
      </c>
      <c r="H1365" s="12">
        <f t="shared" si="54"/>
        <v>44.59</v>
      </c>
      <c r="I1365" s="12">
        <f t="shared" si="54"/>
        <v>54.44</v>
      </c>
      <c r="J1365" s="12">
        <f t="shared" si="54"/>
        <v>53.63</v>
      </c>
      <c r="K1365" s="12">
        <f t="shared" si="54"/>
        <v>50.43</v>
      </c>
      <c r="L1365" s="12"/>
      <c r="M1365" s="440">
        <f>M1362-M1364</f>
        <v>45.15</v>
      </c>
      <c r="N1365" s="440"/>
    </row>
    <row r="1366" spans="1:14" x14ac:dyDescent="0.25">
      <c r="A1366" s="73" t="s">
        <v>22</v>
      </c>
      <c r="B1366" s="252">
        <v>2016</v>
      </c>
      <c r="C1366" s="252">
        <v>2017</v>
      </c>
      <c r="D1366" s="252">
        <v>2018</v>
      </c>
      <c r="E1366" s="252">
        <v>2019</v>
      </c>
      <c r="F1366" s="252">
        <v>2020</v>
      </c>
      <c r="G1366" s="252">
        <v>2021</v>
      </c>
      <c r="H1366" s="157">
        <v>2022</v>
      </c>
      <c r="I1366" s="157">
        <v>2023</v>
      </c>
      <c r="J1366" s="157">
        <v>2024</v>
      </c>
      <c r="K1366" s="157">
        <v>2025</v>
      </c>
      <c r="L1366" s="157">
        <v>2025</v>
      </c>
      <c r="M1366" s="447">
        <v>2026</v>
      </c>
      <c r="N1366" s="447">
        <v>2026</v>
      </c>
    </row>
    <row r="1367" spans="1:14" x14ac:dyDescent="0.25">
      <c r="A1367" s="92" t="s">
        <v>455</v>
      </c>
      <c r="B1367" s="253"/>
      <c r="C1367" s="253"/>
      <c r="D1367" s="253"/>
      <c r="E1367" s="253"/>
      <c r="F1367" s="253"/>
      <c r="G1367" s="253"/>
      <c r="H1367" s="437"/>
      <c r="I1367" s="19"/>
      <c r="J1367" s="19"/>
      <c r="K1367" s="19"/>
      <c r="L1367" s="19"/>
      <c r="M1367" s="19"/>
      <c r="N1367" s="63"/>
    </row>
    <row r="1368" spans="1:14" x14ac:dyDescent="0.25">
      <c r="A1368" s="94" t="s">
        <v>824</v>
      </c>
      <c r="B1368" s="443"/>
      <c r="C1368" s="443"/>
      <c r="D1368" s="443"/>
      <c r="E1368" s="443"/>
      <c r="F1368" s="443"/>
      <c r="G1368" s="443"/>
      <c r="H1368" s="444"/>
      <c r="N1368" s="64"/>
    </row>
    <row r="1369" spans="1:14" x14ac:dyDescent="0.25">
      <c r="A1369" s="95" t="s">
        <v>825</v>
      </c>
      <c r="B1369" s="85"/>
      <c r="C1369" s="85"/>
      <c r="D1369" s="85"/>
      <c r="E1369" s="85"/>
      <c r="F1369" s="85"/>
      <c r="G1369" s="85"/>
      <c r="H1369" s="85"/>
      <c r="I1369" s="34"/>
      <c r="J1369" s="34"/>
      <c r="K1369" s="34"/>
      <c r="L1369" s="34"/>
      <c r="M1369" s="34"/>
      <c r="N1369" s="48"/>
    </row>
    <row r="1370" spans="1:14" ht="14.4" customHeight="1" x14ac:dyDescent="0.25">
      <c r="A1370" s="136"/>
      <c r="B1370" s="136"/>
      <c r="C1370" s="136"/>
      <c r="D1370" s="136"/>
      <c r="E1370" s="136"/>
      <c r="F1370" s="136"/>
      <c r="G1370" s="136"/>
      <c r="H1370" s="136"/>
    </row>
    <row r="1371" spans="1:14" ht="14.4" customHeight="1" x14ac:dyDescent="0.25">
      <c r="A1371" s="98" t="s">
        <v>203</v>
      </c>
      <c r="B1371" s="66" t="s">
        <v>642</v>
      </c>
      <c r="C1371" s="66" t="s">
        <v>152</v>
      </c>
      <c r="D1371" s="8"/>
      <c r="E1371" s="8"/>
      <c r="F1371" s="8"/>
      <c r="G1371" s="8"/>
    </row>
    <row r="1372" spans="1:14" ht="14.4" customHeight="1" x14ac:dyDescent="0.25">
      <c r="A1372" s="95" t="s">
        <v>16</v>
      </c>
      <c r="B1372" s="245"/>
      <c r="C1372" s="69"/>
      <c r="D1372" s="261">
        <v>2016</v>
      </c>
      <c r="E1372" s="261">
        <v>2017</v>
      </c>
      <c r="F1372" s="261">
        <v>2018</v>
      </c>
      <c r="G1372" s="261">
        <v>2019</v>
      </c>
      <c r="H1372" s="152">
        <v>2020</v>
      </c>
      <c r="I1372" s="152">
        <v>2021</v>
      </c>
      <c r="J1372" s="152">
        <v>2022</v>
      </c>
      <c r="K1372" s="152">
        <v>2023</v>
      </c>
      <c r="L1372" s="152">
        <v>2024</v>
      </c>
      <c r="M1372" s="152">
        <v>2025</v>
      </c>
    </row>
    <row r="1373" spans="1:14" ht="14.4" customHeight="1" x14ac:dyDescent="0.25">
      <c r="A1373" s="68" t="s">
        <v>17</v>
      </c>
      <c r="B1373" s="72"/>
      <c r="C1373" s="72"/>
      <c r="D1373" s="72">
        <v>113.66</v>
      </c>
      <c r="E1373" s="72">
        <v>136.46</v>
      </c>
      <c r="F1373" s="72">
        <v>160</v>
      </c>
      <c r="G1373" s="72">
        <v>184</v>
      </c>
      <c r="H1373" s="12">
        <v>200</v>
      </c>
      <c r="I1373" s="12">
        <v>200</v>
      </c>
      <c r="J1373" s="12">
        <v>200</v>
      </c>
      <c r="K1373" s="12">
        <v>221</v>
      </c>
      <c r="L1373" s="12">
        <v>221</v>
      </c>
      <c r="M1373" s="90">
        <v>221</v>
      </c>
    </row>
    <row r="1374" spans="1:14" ht="14.4" customHeight="1" x14ac:dyDescent="0.25">
      <c r="A1374" s="68" t="s">
        <v>18</v>
      </c>
      <c r="B1374" s="72"/>
      <c r="C1374" s="72"/>
      <c r="D1374" s="72">
        <v>163.66</v>
      </c>
      <c r="E1374" s="72">
        <v>181.46</v>
      </c>
      <c r="F1374" s="72">
        <v>210</v>
      </c>
      <c r="G1374" s="72">
        <v>234</v>
      </c>
      <c r="H1374" s="12">
        <v>251.57</v>
      </c>
      <c r="I1374" s="12">
        <f>I1373+50+H1377</f>
        <v>254.29999999999998</v>
      </c>
      <c r="J1374" s="12">
        <f>J1373+50+10</f>
        <v>260</v>
      </c>
      <c r="K1374" s="12">
        <f>K1373+50+J1377</f>
        <v>278.72399999999999</v>
      </c>
      <c r="L1374" s="12">
        <v>276.17</v>
      </c>
      <c r="M1374" s="90">
        <v>279.22000000000003</v>
      </c>
    </row>
    <row r="1375" spans="1:14" ht="14.4" customHeight="1" x14ac:dyDescent="0.25">
      <c r="A1375" s="68" t="s">
        <v>19</v>
      </c>
      <c r="B1375" s="250"/>
      <c r="C1375" s="250"/>
      <c r="D1375" s="251" t="s">
        <v>290</v>
      </c>
      <c r="E1375" s="251" t="s">
        <v>291</v>
      </c>
      <c r="F1375" s="251" t="s">
        <v>292</v>
      </c>
      <c r="G1375" s="251" t="s">
        <v>293</v>
      </c>
      <c r="H1375" s="11" t="s">
        <v>294</v>
      </c>
      <c r="I1375" s="11" t="s">
        <v>506</v>
      </c>
      <c r="J1375" s="11" t="s">
        <v>676</v>
      </c>
      <c r="K1375" s="11" t="s">
        <v>829</v>
      </c>
      <c r="L1375" s="11" t="s">
        <v>1134</v>
      </c>
      <c r="M1375" s="90" t="s">
        <v>1135</v>
      </c>
    </row>
    <row r="1376" spans="1:14" ht="14.4" customHeight="1" x14ac:dyDescent="0.25">
      <c r="A1376" s="68" t="s">
        <v>20</v>
      </c>
      <c r="B1376" s="72"/>
      <c r="C1376" s="72"/>
      <c r="D1376" s="72">
        <v>161.08000000000001</v>
      </c>
      <c r="E1376" s="72">
        <v>181.19</v>
      </c>
      <c r="F1376" s="72">
        <v>207.97</v>
      </c>
      <c r="G1376" s="72">
        <v>232.43299999999999</v>
      </c>
      <c r="H1376" s="12">
        <v>247.27</v>
      </c>
      <c r="I1376" s="12">
        <v>242.24</v>
      </c>
      <c r="J1376" s="12">
        <v>252.27600000000001</v>
      </c>
      <c r="K1376" s="12">
        <v>273.55</v>
      </c>
      <c r="L1376" s="12">
        <v>267.99</v>
      </c>
      <c r="M1376" s="90"/>
    </row>
    <row r="1377" spans="1:13" ht="14.4" customHeight="1" x14ac:dyDescent="0.25">
      <c r="A1377" s="68" t="s">
        <v>21</v>
      </c>
      <c r="B1377" s="72"/>
      <c r="C1377" s="72"/>
      <c r="D1377" s="72">
        <v>2.58</v>
      </c>
      <c r="E1377" s="72">
        <v>0.27</v>
      </c>
      <c r="F1377" s="72">
        <v>2.0299999999999998</v>
      </c>
      <c r="G1377" s="72">
        <v>1.5670000000000073</v>
      </c>
      <c r="H1377" s="12">
        <f>H1374-H1376</f>
        <v>4.2999999999999829</v>
      </c>
      <c r="I1377" s="12">
        <f>I1374-I1376</f>
        <v>12.059999999999974</v>
      </c>
      <c r="J1377" s="12">
        <f>J1374-J1376</f>
        <v>7.7239999999999895</v>
      </c>
      <c r="K1377" s="12">
        <f>K1374-K1376</f>
        <v>5.1739999999999782</v>
      </c>
      <c r="L1377" s="12">
        <v>8.1800000000000068</v>
      </c>
      <c r="M1377" s="90"/>
    </row>
    <row r="1378" spans="1:13" ht="14.4" customHeight="1" x14ac:dyDescent="0.25">
      <c r="A1378" s="73" t="s">
        <v>22</v>
      </c>
      <c r="B1378" s="74"/>
      <c r="C1378" s="74"/>
      <c r="D1378" s="74"/>
      <c r="E1378" s="74"/>
      <c r="F1378" s="74"/>
      <c r="G1378" s="252">
        <v>2020</v>
      </c>
      <c r="H1378" s="157">
        <v>2021</v>
      </c>
      <c r="I1378" s="17">
        <v>2022</v>
      </c>
      <c r="J1378" s="17">
        <v>2023</v>
      </c>
      <c r="K1378" s="17">
        <v>2024</v>
      </c>
      <c r="L1378" s="17">
        <v>2025</v>
      </c>
      <c r="M1378" s="90">
        <v>2026</v>
      </c>
    </row>
    <row r="1379" spans="1:13" ht="14.4" customHeight="1" x14ac:dyDescent="0.25">
      <c r="A1379" s="92" t="s">
        <v>295</v>
      </c>
      <c r="B1379" s="93"/>
      <c r="C1379" s="93"/>
      <c r="D1379" s="93"/>
      <c r="E1379" s="93"/>
      <c r="F1379" s="93"/>
      <c r="G1379" s="93"/>
      <c r="H1379" s="19"/>
      <c r="I1379" s="19"/>
      <c r="J1379" s="19"/>
      <c r="K1379" s="19"/>
      <c r="L1379" s="19"/>
      <c r="M1379" s="63"/>
    </row>
    <row r="1380" spans="1:13" ht="14.4" customHeight="1" x14ac:dyDescent="0.25">
      <c r="A1380" s="94" t="s">
        <v>296</v>
      </c>
      <c r="B1380" s="8"/>
      <c r="C1380" s="8"/>
      <c r="D1380" s="8"/>
      <c r="E1380" s="8"/>
      <c r="F1380" s="8"/>
      <c r="G1380" s="8"/>
      <c r="M1380" s="64"/>
    </row>
    <row r="1381" spans="1:13" ht="14.4" customHeight="1" x14ac:dyDescent="0.25">
      <c r="A1381" s="94" t="s">
        <v>297</v>
      </c>
      <c r="B1381" s="8"/>
      <c r="C1381" s="8"/>
      <c r="D1381" s="8"/>
      <c r="E1381" s="8"/>
      <c r="F1381" s="8"/>
      <c r="G1381" s="8"/>
      <c r="M1381" s="64"/>
    </row>
    <row r="1382" spans="1:13" ht="14.4" customHeight="1" x14ac:dyDescent="0.25">
      <c r="A1382" s="94" t="s">
        <v>298</v>
      </c>
      <c r="B1382" s="8"/>
      <c r="C1382" s="8"/>
      <c r="D1382" s="8"/>
      <c r="E1382" s="8"/>
      <c r="F1382" s="8"/>
      <c r="G1382" s="8"/>
      <c r="M1382" s="64"/>
    </row>
    <row r="1383" spans="1:13" ht="14.4" customHeight="1" x14ac:dyDescent="0.25">
      <c r="A1383" s="94" t="s">
        <v>505</v>
      </c>
      <c r="B1383" s="8"/>
      <c r="C1383" s="8"/>
      <c r="D1383" s="8"/>
      <c r="E1383" s="8"/>
      <c r="F1383" s="8"/>
      <c r="G1383" s="8"/>
      <c r="M1383" s="64"/>
    </row>
    <row r="1384" spans="1:13" ht="14.4" customHeight="1" x14ac:dyDescent="0.25">
      <c r="A1384" s="94" t="s">
        <v>675</v>
      </c>
      <c r="B1384" s="8"/>
      <c r="C1384" s="8"/>
      <c r="D1384" s="8"/>
      <c r="E1384" s="8"/>
      <c r="F1384" s="8"/>
      <c r="G1384" s="8"/>
      <c r="M1384" s="64"/>
    </row>
    <row r="1385" spans="1:13" ht="14.4" customHeight="1" x14ac:dyDescent="0.25">
      <c r="A1385" s="94" t="s">
        <v>827</v>
      </c>
      <c r="B1385" s="8"/>
      <c r="C1385" s="8"/>
      <c r="D1385" s="8"/>
      <c r="E1385" s="8"/>
      <c r="F1385" s="8"/>
      <c r="G1385" s="8"/>
      <c r="M1385" s="64"/>
    </row>
    <row r="1386" spans="1:13" ht="14.4" customHeight="1" x14ac:dyDescent="0.25">
      <c r="A1386" s="95" t="s">
        <v>828</v>
      </c>
      <c r="B1386" s="85"/>
      <c r="C1386" s="85"/>
      <c r="D1386" s="85"/>
      <c r="E1386" s="85"/>
      <c r="F1386" s="85"/>
      <c r="G1386" s="85"/>
      <c r="H1386" s="34"/>
      <c r="I1386" s="34"/>
      <c r="J1386" s="34"/>
      <c r="K1386" s="34"/>
      <c r="L1386" s="34"/>
      <c r="M1386" s="48"/>
    </row>
    <row r="1387" spans="1:13" ht="14.4" customHeight="1" x14ac:dyDescent="0.25">
      <c r="A1387" s="136"/>
      <c r="B1387" s="136"/>
      <c r="C1387" s="136"/>
      <c r="D1387" s="136"/>
      <c r="E1387" s="136"/>
      <c r="F1387" s="136"/>
      <c r="G1387" s="136"/>
      <c r="H1387" s="136"/>
    </row>
    <row r="1388" spans="1:13" x14ac:dyDescent="0.25">
      <c r="A1388" s="98" t="s">
        <v>203</v>
      </c>
      <c r="B1388" s="66" t="s">
        <v>66</v>
      </c>
      <c r="C1388" s="66" t="s">
        <v>152</v>
      </c>
      <c r="D1388" s="8"/>
      <c r="E1388" s="8"/>
      <c r="F1388" s="8"/>
      <c r="G1388" s="8"/>
    </row>
    <row r="1389" spans="1:13" x14ac:dyDescent="0.25">
      <c r="A1389" s="95" t="s">
        <v>16</v>
      </c>
      <c r="B1389" s="268">
        <v>2014</v>
      </c>
      <c r="C1389" s="261">
        <v>2015</v>
      </c>
      <c r="D1389" s="261">
        <v>2016</v>
      </c>
      <c r="E1389" s="261">
        <v>2017</v>
      </c>
      <c r="F1389" s="261">
        <v>2018</v>
      </c>
      <c r="G1389" s="261">
        <v>2019</v>
      </c>
      <c r="H1389" s="152">
        <v>2020</v>
      </c>
      <c r="I1389" s="152">
        <v>2021</v>
      </c>
      <c r="J1389" s="152">
        <v>2022</v>
      </c>
      <c r="K1389" s="152">
        <v>2023</v>
      </c>
      <c r="L1389" s="152">
        <v>2024</v>
      </c>
      <c r="M1389" s="445" t="s">
        <v>1184</v>
      </c>
    </row>
    <row r="1390" spans="1:13" x14ac:dyDescent="0.25">
      <c r="A1390" s="68" t="s">
        <v>17</v>
      </c>
      <c r="B1390" s="72">
        <v>1983</v>
      </c>
      <c r="C1390" s="72">
        <v>1983</v>
      </c>
      <c r="D1390" s="72">
        <v>1486</v>
      </c>
      <c r="E1390" s="72">
        <v>1486</v>
      </c>
      <c r="F1390" s="72">
        <v>1486</v>
      </c>
      <c r="G1390" s="72">
        <v>1486</v>
      </c>
      <c r="H1390" s="12">
        <v>1000</v>
      </c>
      <c r="I1390" s="12">
        <v>984</v>
      </c>
      <c r="J1390" s="12">
        <v>992</v>
      </c>
      <c r="K1390" s="12">
        <v>992</v>
      </c>
      <c r="L1390" s="12">
        <v>992</v>
      </c>
      <c r="M1390" s="440">
        <v>1100</v>
      </c>
    </row>
    <row r="1391" spans="1:13" x14ac:dyDescent="0.25">
      <c r="A1391" s="68" t="s">
        <v>18</v>
      </c>
      <c r="B1391" s="72">
        <v>2557.9</v>
      </c>
      <c r="C1391" s="72">
        <v>2557.9</v>
      </c>
      <c r="D1391" s="72">
        <v>2080.9</v>
      </c>
      <c r="E1391" s="72">
        <v>1708.9</v>
      </c>
      <c r="F1391" s="72">
        <v>1485.9</v>
      </c>
      <c r="G1391" s="72">
        <v>1485.9</v>
      </c>
      <c r="H1391" s="12">
        <f>H1390+F1390*0.15-223</f>
        <v>999.90000000000009</v>
      </c>
      <c r="I1391" s="12">
        <f>I1390-223+G1390*0.1</f>
        <v>909.6</v>
      </c>
      <c r="J1391" s="12">
        <f>J1390-223+H1390*0.1</f>
        <v>869</v>
      </c>
      <c r="K1391" s="12">
        <f>K1390+0.1*I1390-223</f>
        <v>867.40000000000009</v>
      </c>
      <c r="L1391" s="12">
        <f>L1390+0.1*J1390-223</f>
        <v>868.2</v>
      </c>
      <c r="M1391" s="448">
        <v>1010.74</v>
      </c>
    </row>
    <row r="1392" spans="1:13" ht="28.95" customHeight="1" x14ac:dyDescent="0.25">
      <c r="A1392" s="68" t="s">
        <v>19</v>
      </c>
      <c r="B1392" s="250" t="s">
        <v>145</v>
      </c>
      <c r="C1392" s="250" t="s">
        <v>145</v>
      </c>
      <c r="D1392" s="250" t="s">
        <v>146</v>
      </c>
      <c r="E1392" s="250" t="s">
        <v>147</v>
      </c>
      <c r="F1392" s="250" t="s">
        <v>215</v>
      </c>
      <c r="G1392" s="250" t="s">
        <v>216</v>
      </c>
      <c r="H1392" s="193" t="s">
        <v>508</v>
      </c>
      <c r="I1392" s="193" t="s">
        <v>677</v>
      </c>
      <c r="J1392" s="193" t="s">
        <v>678</v>
      </c>
      <c r="K1392" s="193" t="s">
        <v>832</v>
      </c>
      <c r="L1392" s="193" t="s">
        <v>1040</v>
      </c>
      <c r="M1392" s="448"/>
    </row>
    <row r="1393" spans="1:13" x14ac:dyDescent="0.25">
      <c r="A1393" s="68" t="s">
        <v>20</v>
      </c>
      <c r="B1393" s="72">
        <v>1038.83</v>
      </c>
      <c r="C1393" s="72">
        <v>670.7</v>
      </c>
      <c r="D1393" s="72">
        <v>561.97</v>
      </c>
      <c r="E1393" s="72">
        <v>432.09</v>
      </c>
      <c r="F1393" s="72">
        <v>662.7</v>
      </c>
      <c r="G1393" s="72">
        <v>539.84</v>
      </c>
      <c r="H1393" s="12">
        <v>587.15</v>
      </c>
      <c r="I1393" s="12">
        <v>674.38</v>
      </c>
      <c r="J1393" s="12">
        <v>763.45</v>
      </c>
      <c r="K1393" s="12">
        <v>724.12</v>
      </c>
      <c r="L1393" s="12">
        <v>728.31</v>
      </c>
      <c r="M1393" s="440"/>
    </row>
    <row r="1394" spans="1:13" x14ac:dyDescent="0.25">
      <c r="A1394" s="68" t="s">
        <v>21</v>
      </c>
      <c r="B1394" s="72">
        <v>1519.07</v>
      </c>
      <c r="C1394" s="72">
        <v>1887.2</v>
      </c>
      <c r="D1394" s="72">
        <v>1518.93</v>
      </c>
      <c r="E1394" s="72">
        <v>1276.8100000000002</v>
      </c>
      <c r="F1394" s="72">
        <v>823.2</v>
      </c>
      <c r="G1394" s="72">
        <f t="shared" ref="G1394:L1394" si="55">G1391-G1393</f>
        <v>946.06000000000006</v>
      </c>
      <c r="H1394" s="12">
        <f t="shared" si="55"/>
        <v>412.75000000000011</v>
      </c>
      <c r="I1394" s="12">
        <f t="shared" si="55"/>
        <v>235.22000000000003</v>
      </c>
      <c r="J1394" s="12">
        <f t="shared" si="55"/>
        <v>105.54999999999995</v>
      </c>
      <c r="K1394" s="12">
        <f t="shared" si="55"/>
        <v>143.28000000000009</v>
      </c>
      <c r="L1394" s="12">
        <f t="shared" si="55"/>
        <v>139.8900000000001</v>
      </c>
      <c r="M1394" s="440"/>
    </row>
    <row r="1395" spans="1:13" x14ac:dyDescent="0.25">
      <c r="A1395" s="73" t="s">
        <v>22</v>
      </c>
      <c r="B1395" s="252">
        <v>2016</v>
      </c>
      <c r="C1395" s="252">
        <v>2017</v>
      </c>
      <c r="D1395" s="252">
        <v>2018</v>
      </c>
      <c r="E1395" s="252">
        <v>2019</v>
      </c>
      <c r="F1395" s="252">
        <v>2020</v>
      </c>
      <c r="G1395" s="252">
        <v>2021</v>
      </c>
      <c r="H1395" s="157">
        <v>2022</v>
      </c>
      <c r="I1395" s="157">
        <v>2023</v>
      </c>
      <c r="J1395" s="157">
        <v>2024</v>
      </c>
      <c r="K1395" s="157">
        <v>2025</v>
      </c>
      <c r="L1395" s="157">
        <v>2026</v>
      </c>
      <c r="M1395" s="442">
        <v>2027</v>
      </c>
    </row>
    <row r="1396" spans="1:13" x14ac:dyDescent="0.25">
      <c r="A1396" s="92" t="s">
        <v>580</v>
      </c>
      <c r="B1396" s="253"/>
      <c r="C1396" s="253"/>
      <c r="D1396" s="253"/>
      <c r="E1396" s="253"/>
      <c r="F1396" s="253"/>
      <c r="G1396" s="253"/>
      <c r="H1396" s="437"/>
      <c r="I1396" s="437"/>
      <c r="J1396" s="437"/>
      <c r="K1396" s="437"/>
      <c r="L1396" s="437"/>
      <c r="M1396" s="63"/>
    </row>
    <row r="1397" spans="1:13" x14ac:dyDescent="0.25">
      <c r="A1397" s="94" t="s">
        <v>288</v>
      </c>
      <c r="B1397" s="8"/>
      <c r="C1397" s="8"/>
      <c r="D1397" s="8"/>
      <c r="E1397" s="8"/>
      <c r="F1397" s="8"/>
      <c r="G1397" s="8"/>
      <c r="M1397" s="64"/>
    </row>
    <row r="1398" spans="1:13" x14ac:dyDescent="0.25">
      <c r="A1398" s="94" t="s">
        <v>289</v>
      </c>
      <c r="B1398" s="8"/>
      <c r="C1398" s="8"/>
      <c r="D1398" s="8"/>
      <c r="E1398" s="8"/>
      <c r="F1398" s="8"/>
      <c r="G1398" s="8"/>
      <c r="M1398" s="64"/>
    </row>
    <row r="1399" spans="1:13" x14ac:dyDescent="0.25">
      <c r="A1399" s="94" t="s">
        <v>509</v>
      </c>
      <c r="B1399" s="8"/>
      <c r="C1399" s="8"/>
      <c r="D1399" s="8"/>
      <c r="E1399" s="8"/>
      <c r="F1399" s="8"/>
      <c r="G1399" s="8"/>
      <c r="M1399" s="64"/>
    </row>
    <row r="1400" spans="1:13" x14ac:dyDescent="0.25">
      <c r="A1400" s="94" t="s">
        <v>148</v>
      </c>
      <c r="B1400" s="8"/>
      <c r="C1400" s="8"/>
      <c r="D1400" s="8"/>
      <c r="E1400" s="8"/>
      <c r="F1400" s="8"/>
      <c r="G1400" s="8"/>
      <c r="M1400" s="64"/>
    </row>
    <row r="1401" spans="1:13" x14ac:dyDescent="0.25">
      <c r="A1401" s="94" t="s">
        <v>507</v>
      </c>
      <c r="B1401" s="8"/>
      <c r="C1401" s="8"/>
      <c r="D1401" s="8"/>
      <c r="E1401" s="8"/>
      <c r="F1401" s="8"/>
      <c r="G1401" s="8"/>
      <c r="M1401" s="64"/>
    </row>
    <row r="1402" spans="1:13" x14ac:dyDescent="0.25">
      <c r="A1402" s="94" t="s">
        <v>679</v>
      </c>
      <c r="B1402" s="8"/>
      <c r="C1402" s="8"/>
      <c r="D1402" s="8"/>
      <c r="E1402" s="8"/>
      <c r="F1402" s="8"/>
      <c r="G1402" s="8"/>
      <c r="M1402" s="64"/>
    </row>
    <row r="1403" spans="1:13" x14ac:dyDescent="0.25">
      <c r="A1403" s="94" t="s">
        <v>830</v>
      </c>
      <c r="B1403" s="8"/>
      <c r="C1403" s="8"/>
      <c r="D1403" s="8"/>
      <c r="E1403" s="8"/>
      <c r="F1403" s="8"/>
      <c r="G1403" s="8"/>
      <c r="M1403" s="64"/>
    </row>
    <row r="1404" spans="1:13" x14ac:dyDescent="0.25">
      <c r="A1404" s="95" t="s">
        <v>831</v>
      </c>
      <c r="B1404" s="85"/>
      <c r="C1404" s="85"/>
      <c r="D1404" s="85"/>
      <c r="E1404" s="85"/>
      <c r="F1404" s="85"/>
      <c r="G1404" s="85"/>
      <c r="H1404" s="34"/>
      <c r="I1404" s="34"/>
      <c r="J1404" s="34"/>
      <c r="K1404" s="34"/>
      <c r="L1404" s="34"/>
      <c r="M1404" s="48"/>
    </row>
    <row r="1405" spans="1:13" x14ac:dyDescent="0.25">
      <c r="A1405" s="8"/>
      <c r="B1405" s="8"/>
      <c r="C1405" s="8"/>
      <c r="D1405" s="8"/>
      <c r="E1405" s="8"/>
      <c r="F1405" s="8"/>
      <c r="G1405" s="8"/>
    </row>
    <row r="1406" spans="1:13" x14ac:dyDescent="0.25">
      <c r="A1406" s="313"/>
      <c r="C1406" s="346"/>
    </row>
    <row r="1407" spans="1:13" x14ac:dyDescent="0.25">
      <c r="A1407" s="98" t="s">
        <v>203</v>
      </c>
      <c r="B1407" s="66" t="s">
        <v>74</v>
      </c>
      <c r="C1407" s="66" t="s">
        <v>152</v>
      </c>
      <c r="D1407" s="8"/>
      <c r="E1407" s="8"/>
      <c r="F1407" s="8"/>
      <c r="G1407" s="8"/>
    </row>
    <row r="1408" spans="1:13" x14ac:dyDescent="0.25">
      <c r="A1408" s="95" t="s">
        <v>16</v>
      </c>
      <c r="B1408" s="268">
        <v>2014</v>
      </c>
      <c r="C1408" s="261">
        <v>2015</v>
      </c>
      <c r="D1408" s="261">
        <v>2016</v>
      </c>
      <c r="E1408" s="261">
        <v>2017</v>
      </c>
      <c r="F1408" s="261">
        <v>2018</v>
      </c>
      <c r="G1408" s="261">
        <v>2019</v>
      </c>
      <c r="H1408" s="152">
        <v>2020</v>
      </c>
      <c r="I1408" s="152">
        <v>2021</v>
      </c>
      <c r="J1408" s="152">
        <v>2022</v>
      </c>
      <c r="K1408" s="152">
        <v>2023</v>
      </c>
      <c r="L1408" s="152">
        <v>2024</v>
      </c>
      <c r="M1408" s="152">
        <v>2025</v>
      </c>
    </row>
    <row r="1409" spans="1:13" x14ac:dyDescent="0.25">
      <c r="A1409" s="68" t="s">
        <v>17</v>
      </c>
      <c r="B1409" s="72">
        <v>35</v>
      </c>
      <c r="C1409" s="72">
        <v>35</v>
      </c>
      <c r="D1409" s="72">
        <v>35</v>
      </c>
      <c r="E1409" s="72">
        <v>35</v>
      </c>
      <c r="F1409" s="72">
        <v>35</v>
      </c>
      <c r="G1409" s="72">
        <v>35</v>
      </c>
      <c r="H1409" s="12">
        <v>29.4</v>
      </c>
      <c r="I1409" s="12">
        <v>29.4</v>
      </c>
      <c r="J1409" s="12">
        <v>29.4</v>
      </c>
      <c r="K1409" s="12">
        <v>29.4</v>
      </c>
      <c r="L1409" s="12">
        <v>29.4</v>
      </c>
      <c r="M1409" s="12">
        <v>29.4</v>
      </c>
    </row>
    <row r="1410" spans="1:13" x14ac:dyDescent="0.25">
      <c r="A1410" s="68" t="s">
        <v>18</v>
      </c>
      <c r="B1410" s="72">
        <v>35</v>
      </c>
      <c r="C1410" s="72">
        <v>42</v>
      </c>
      <c r="D1410" s="72">
        <v>42</v>
      </c>
      <c r="E1410" s="72">
        <v>42</v>
      </c>
      <c r="F1410" s="72">
        <v>42</v>
      </c>
      <c r="G1410" s="72">
        <v>42</v>
      </c>
      <c r="H1410" s="12">
        <v>36.4</v>
      </c>
      <c r="I1410" s="12">
        <v>36.4</v>
      </c>
      <c r="J1410" s="12"/>
      <c r="K1410" s="12"/>
      <c r="L1410" s="12">
        <v>29.4</v>
      </c>
      <c r="M1410" s="12">
        <v>29.4</v>
      </c>
    </row>
    <row r="1411" spans="1:13" x14ac:dyDescent="0.25">
      <c r="A1411" s="68" t="s">
        <v>19</v>
      </c>
      <c r="B1411" s="262" t="s">
        <v>136</v>
      </c>
      <c r="C1411" s="449" t="s">
        <v>149</v>
      </c>
      <c r="D1411" s="449" t="s">
        <v>149</v>
      </c>
      <c r="E1411" s="449" t="s">
        <v>149</v>
      </c>
      <c r="F1411" s="449" t="s">
        <v>149</v>
      </c>
      <c r="G1411" s="449" t="s">
        <v>149</v>
      </c>
      <c r="H1411" s="282" t="s">
        <v>299</v>
      </c>
      <c r="I1411" s="282" t="s">
        <v>299</v>
      </c>
      <c r="J1411" s="282"/>
      <c r="K1411" s="282"/>
      <c r="L1411" s="12">
        <v>29.4</v>
      </c>
      <c r="M1411" s="12">
        <v>29.4</v>
      </c>
    </row>
    <row r="1412" spans="1:13" x14ac:dyDescent="0.25">
      <c r="A1412" s="68" t="s">
        <v>20</v>
      </c>
      <c r="B1412" s="72">
        <v>9.7799999999999994</v>
      </c>
      <c r="C1412" s="72">
        <v>3.07</v>
      </c>
      <c r="D1412" s="72">
        <v>26.19</v>
      </c>
      <c r="E1412" s="72">
        <v>25.13</v>
      </c>
      <c r="F1412" s="72">
        <v>24.55</v>
      </c>
      <c r="G1412" s="72">
        <v>12.91</v>
      </c>
      <c r="H1412" s="12">
        <v>20.36</v>
      </c>
      <c r="I1412" s="12">
        <v>11.52</v>
      </c>
      <c r="J1412" s="12">
        <v>10.3</v>
      </c>
      <c r="K1412" s="12">
        <v>12.92</v>
      </c>
      <c r="L1412" s="12">
        <v>16.309999999999999</v>
      </c>
      <c r="M1412" s="12"/>
    </row>
    <row r="1413" spans="1:13" x14ac:dyDescent="0.25">
      <c r="A1413" s="68" t="s">
        <v>21</v>
      </c>
      <c r="B1413" s="72">
        <v>25.22</v>
      </c>
      <c r="C1413" s="72">
        <v>38.93</v>
      </c>
      <c r="D1413" s="72">
        <v>15.81</v>
      </c>
      <c r="E1413" s="72">
        <v>16.87</v>
      </c>
      <c r="F1413" s="72">
        <v>17.45</v>
      </c>
      <c r="G1413" s="72">
        <f>G1410-G1412</f>
        <v>29.09</v>
      </c>
      <c r="H1413" s="12">
        <f>H1410-H1412</f>
        <v>16.04</v>
      </c>
      <c r="I1413" s="12">
        <f>I1410-I1412</f>
        <v>24.88</v>
      </c>
      <c r="J1413" s="12">
        <f>J1409-J1412</f>
        <v>19.099999999999998</v>
      </c>
      <c r="K1413" s="12">
        <f>K1409-K1412</f>
        <v>16.479999999999997</v>
      </c>
      <c r="L1413" s="12">
        <f>L1409-L1412</f>
        <v>13.09</v>
      </c>
      <c r="M1413" s="90"/>
    </row>
    <row r="1414" spans="1:13" x14ac:dyDescent="0.25">
      <c r="A1414" s="73" t="s">
        <v>22</v>
      </c>
      <c r="B1414" s="252">
        <v>2016</v>
      </c>
      <c r="C1414" s="252">
        <v>2017</v>
      </c>
      <c r="D1414" s="252">
        <v>2018</v>
      </c>
      <c r="E1414" s="252">
        <v>2019</v>
      </c>
      <c r="F1414" s="252">
        <v>2020</v>
      </c>
      <c r="G1414" s="252">
        <v>2021</v>
      </c>
      <c r="H1414" s="252">
        <v>2022</v>
      </c>
      <c r="I1414" s="252">
        <v>2023</v>
      </c>
      <c r="J1414" s="252">
        <v>2024</v>
      </c>
      <c r="K1414" s="252">
        <v>2025</v>
      </c>
      <c r="L1414" s="252">
        <v>2026</v>
      </c>
      <c r="M1414" s="252">
        <v>2027</v>
      </c>
    </row>
    <row r="1415" spans="1:13" x14ac:dyDescent="0.25">
      <c r="A1415" s="92" t="s">
        <v>150</v>
      </c>
      <c r="B1415" s="253"/>
      <c r="C1415" s="253"/>
      <c r="D1415" s="253"/>
      <c r="E1415" s="253"/>
      <c r="F1415" s="253"/>
      <c r="G1415" s="253"/>
      <c r="H1415" s="253"/>
      <c r="I1415" s="253"/>
      <c r="J1415" s="253"/>
      <c r="K1415" s="253"/>
      <c r="L1415" s="19"/>
      <c r="M1415" s="63"/>
    </row>
    <row r="1416" spans="1:13" x14ac:dyDescent="0.25">
      <c r="A1416" s="94" t="s">
        <v>581</v>
      </c>
      <c r="B1416" s="443"/>
      <c r="C1416" s="443"/>
      <c r="D1416" s="443"/>
      <c r="E1416" s="443"/>
      <c r="F1416" s="443"/>
      <c r="G1416" s="443"/>
      <c r="H1416" s="443"/>
      <c r="I1416" s="443"/>
      <c r="J1416" s="443"/>
      <c r="K1416" s="443"/>
      <c r="M1416" s="64"/>
    </row>
    <row r="1417" spans="1:13" x14ac:dyDescent="0.25">
      <c r="A1417" s="110" t="s">
        <v>510</v>
      </c>
      <c r="B1417" s="111"/>
      <c r="C1417" s="111"/>
      <c r="D1417" s="111"/>
      <c r="E1417" s="111"/>
      <c r="F1417" s="111"/>
      <c r="G1417" s="111"/>
      <c r="H1417" s="111"/>
      <c r="I1417" s="111"/>
      <c r="J1417" s="111"/>
      <c r="K1417" s="111"/>
      <c r="L1417" s="34"/>
      <c r="M1417" s="48"/>
    </row>
    <row r="1418" spans="1:13" x14ac:dyDescent="0.25">
      <c r="A1418" s="313"/>
      <c r="C1418" s="346"/>
    </row>
    <row r="1419" spans="1:13" x14ac:dyDescent="0.25">
      <c r="A1419" s="98" t="s">
        <v>14</v>
      </c>
      <c r="B1419" s="66" t="s">
        <v>79</v>
      </c>
      <c r="C1419" s="66" t="s">
        <v>152</v>
      </c>
      <c r="D1419" s="8"/>
      <c r="E1419" s="8"/>
      <c r="F1419" s="8"/>
      <c r="G1419" s="8"/>
    </row>
    <row r="1420" spans="1:13" x14ac:dyDescent="0.25">
      <c r="A1420" s="95" t="s">
        <v>16</v>
      </c>
      <c r="B1420" s="268">
        <v>2014</v>
      </c>
      <c r="C1420" s="261">
        <v>2015</v>
      </c>
      <c r="D1420" s="261">
        <v>2016</v>
      </c>
      <c r="E1420" s="261">
        <v>2017</v>
      </c>
      <c r="F1420" s="261">
        <v>2018</v>
      </c>
      <c r="G1420" s="261">
        <v>2019</v>
      </c>
      <c r="H1420" s="152">
        <v>2020</v>
      </c>
      <c r="I1420" s="152">
        <v>2021</v>
      </c>
      <c r="J1420" s="152">
        <v>2022</v>
      </c>
      <c r="K1420" s="152">
        <v>2023</v>
      </c>
      <c r="L1420" s="445">
        <v>2024</v>
      </c>
      <c r="M1420" s="445">
        <v>2025</v>
      </c>
    </row>
    <row r="1421" spans="1:13" x14ac:dyDescent="0.25">
      <c r="A1421" s="68" t="s">
        <v>17</v>
      </c>
      <c r="B1421" s="72">
        <v>20</v>
      </c>
      <c r="C1421" s="72">
        <v>20</v>
      </c>
      <c r="D1421" s="72">
        <v>20</v>
      </c>
      <c r="E1421" s="72">
        <v>20</v>
      </c>
      <c r="F1421" s="72">
        <v>20</v>
      </c>
      <c r="G1421" s="72">
        <v>20</v>
      </c>
      <c r="H1421" s="72">
        <v>20</v>
      </c>
      <c r="I1421" s="72">
        <v>20</v>
      </c>
      <c r="J1421" s="72">
        <v>20</v>
      </c>
      <c r="K1421" s="72">
        <v>20</v>
      </c>
      <c r="L1421" s="450">
        <v>20</v>
      </c>
      <c r="M1421" s="450">
        <v>20</v>
      </c>
    </row>
    <row r="1422" spans="1:13" x14ac:dyDescent="0.25">
      <c r="A1422" s="68" t="s">
        <v>18</v>
      </c>
      <c r="B1422" s="72">
        <v>20</v>
      </c>
      <c r="C1422" s="72">
        <v>24</v>
      </c>
      <c r="D1422" s="72">
        <v>24</v>
      </c>
      <c r="E1422" s="72">
        <v>24</v>
      </c>
      <c r="F1422" s="72">
        <v>24</v>
      </c>
      <c r="G1422" s="72">
        <v>24</v>
      </c>
      <c r="H1422" s="72">
        <v>24</v>
      </c>
      <c r="I1422" s="72">
        <v>24</v>
      </c>
      <c r="J1422" s="72"/>
      <c r="K1422" s="72"/>
      <c r="L1422" s="450">
        <v>20</v>
      </c>
      <c r="M1422" s="450">
        <v>20</v>
      </c>
    </row>
    <row r="1423" spans="1:13" x14ac:dyDescent="0.25">
      <c r="A1423" s="68" t="s">
        <v>19</v>
      </c>
      <c r="B1423" s="262" t="s">
        <v>136</v>
      </c>
      <c r="C1423" s="262" t="s">
        <v>151</v>
      </c>
      <c r="D1423" s="262" t="s">
        <v>151</v>
      </c>
      <c r="E1423" s="262" t="s">
        <v>151</v>
      </c>
      <c r="F1423" s="262" t="s">
        <v>151</v>
      </c>
      <c r="G1423" s="262" t="s">
        <v>151</v>
      </c>
      <c r="H1423" s="262" t="s">
        <v>151</v>
      </c>
      <c r="I1423" s="262" t="s">
        <v>151</v>
      </c>
      <c r="J1423" s="262"/>
      <c r="K1423" s="262"/>
      <c r="L1423" s="451">
        <v>20</v>
      </c>
      <c r="M1423" s="451">
        <v>20</v>
      </c>
    </row>
    <row r="1424" spans="1:13" x14ac:dyDescent="0.25">
      <c r="A1424" s="68" t="s">
        <v>20</v>
      </c>
      <c r="B1424" s="72">
        <v>0.15</v>
      </c>
      <c r="C1424" s="72">
        <v>0</v>
      </c>
      <c r="D1424" s="72">
        <v>0</v>
      </c>
      <c r="E1424" s="72">
        <v>0.14000000000000001</v>
      </c>
      <c r="F1424" s="72">
        <v>0</v>
      </c>
      <c r="G1424" s="72">
        <v>0</v>
      </c>
      <c r="H1424" s="12">
        <v>0</v>
      </c>
      <c r="I1424" s="12">
        <v>0</v>
      </c>
      <c r="J1424" s="12">
        <v>0</v>
      </c>
      <c r="K1424" s="12">
        <v>0</v>
      </c>
      <c r="L1424" s="440">
        <v>0</v>
      </c>
      <c r="M1424" s="440"/>
    </row>
    <row r="1425" spans="1:13" x14ac:dyDescent="0.25">
      <c r="A1425" s="68" t="s">
        <v>21</v>
      </c>
      <c r="B1425" s="72">
        <v>19.850000000000001</v>
      </c>
      <c r="C1425" s="72">
        <v>24</v>
      </c>
      <c r="D1425" s="72">
        <v>24</v>
      </c>
      <c r="E1425" s="72">
        <v>23.86</v>
      </c>
      <c r="F1425" s="72">
        <v>24</v>
      </c>
      <c r="G1425" s="72">
        <f>G1422-G1424</f>
        <v>24</v>
      </c>
      <c r="H1425" s="72">
        <f>H1422-H1424</f>
        <v>24</v>
      </c>
      <c r="I1425" s="12">
        <v>24</v>
      </c>
      <c r="J1425" s="12">
        <v>20</v>
      </c>
      <c r="K1425" s="12">
        <v>20</v>
      </c>
      <c r="L1425" s="440">
        <v>20</v>
      </c>
      <c r="M1425" s="440"/>
    </row>
    <row r="1426" spans="1:13" x14ac:dyDescent="0.25">
      <c r="A1426" s="73" t="s">
        <v>22</v>
      </c>
      <c r="B1426" s="252">
        <v>2016</v>
      </c>
      <c r="C1426" s="252">
        <v>2017</v>
      </c>
      <c r="D1426" s="252">
        <v>2018</v>
      </c>
      <c r="E1426" s="252">
        <v>2019</v>
      </c>
      <c r="F1426" s="252">
        <v>2020</v>
      </c>
      <c r="G1426" s="252">
        <v>2021</v>
      </c>
      <c r="H1426" s="252"/>
      <c r="I1426" s="252"/>
      <c r="J1426" s="252"/>
      <c r="K1426" s="252"/>
      <c r="L1426" s="252"/>
      <c r="M1426" s="252"/>
    </row>
    <row r="1427" spans="1:13" x14ac:dyDescent="0.25">
      <c r="A1427" s="92" t="s">
        <v>150</v>
      </c>
      <c r="B1427" s="253"/>
      <c r="C1427" s="253"/>
      <c r="D1427" s="253"/>
      <c r="E1427" s="253"/>
      <c r="F1427" s="253"/>
      <c r="G1427" s="253"/>
      <c r="H1427" s="253"/>
      <c r="I1427" s="253"/>
      <c r="J1427" s="253"/>
      <c r="K1427" s="253"/>
      <c r="L1427" s="19"/>
      <c r="M1427" s="63"/>
    </row>
    <row r="1428" spans="1:13" x14ac:dyDescent="0.25">
      <c r="A1428" s="110" t="s">
        <v>510</v>
      </c>
      <c r="B1428" s="111"/>
      <c r="C1428" s="111"/>
      <c r="D1428" s="111"/>
      <c r="E1428" s="111"/>
      <c r="F1428" s="111"/>
      <c r="G1428" s="111"/>
      <c r="H1428" s="111"/>
      <c r="I1428" s="111"/>
      <c r="J1428" s="111"/>
      <c r="K1428" s="111"/>
      <c r="L1428" s="34"/>
      <c r="M1428" s="48"/>
    </row>
    <row r="1429" spans="1:13" x14ac:dyDescent="0.25">
      <c r="A1429" s="313"/>
      <c r="C1429" s="346"/>
    </row>
    <row r="1430" spans="1:13" x14ac:dyDescent="0.25">
      <c r="A1430" s="313"/>
      <c r="C1430" s="346"/>
    </row>
    <row r="1431" spans="1:13" x14ac:dyDescent="0.25">
      <c r="A1431" s="6" t="s">
        <v>12</v>
      </c>
      <c r="B1431" s="7" t="s">
        <v>398</v>
      </c>
    </row>
    <row r="1432" spans="1:13" s="200" customFormat="1" x14ac:dyDescent="0.25">
      <c r="A1432" s="6" t="s">
        <v>14</v>
      </c>
      <c r="B1432" s="7" t="s">
        <v>623</v>
      </c>
      <c r="C1432" s="7" t="s">
        <v>152</v>
      </c>
      <c r="D1432" s="3"/>
      <c r="E1432" s="3"/>
      <c r="F1432" s="3"/>
      <c r="G1432" s="3"/>
      <c r="H1432" s="3"/>
      <c r="I1432" s="3"/>
      <c r="J1432" s="3"/>
    </row>
    <row r="1433" spans="1:13" s="200" customFormat="1" x14ac:dyDescent="0.25">
      <c r="A1433" s="41" t="s">
        <v>16</v>
      </c>
      <c r="B1433" s="272">
        <v>2016</v>
      </c>
      <c r="C1433" s="152">
        <v>2017</v>
      </c>
      <c r="D1433" s="152">
        <v>2018</v>
      </c>
      <c r="E1433" s="152">
        <v>2019</v>
      </c>
      <c r="F1433" s="152">
        <v>2020</v>
      </c>
      <c r="G1433" s="152">
        <v>2021</v>
      </c>
      <c r="H1433" s="152">
        <v>2022</v>
      </c>
      <c r="I1433" s="152">
        <v>2023</v>
      </c>
      <c r="J1433" s="152">
        <v>2024</v>
      </c>
      <c r="K1433" s="152">
        <v>2025</v>
      </c>
    </row>
    <row r="1434" spans="1:13" s="200" customFormat="1" x14ac:dyDescent="0.25">
      <c r="A1434" s="10" t="s">
        <v>17</v>
      </c>
      <c r="B1434" s="12"/>
      <c r="C1434" s="12"/>
      <c r="D1434" s="12"/>
      <c r="E1434" s="12"/>
      <c r="F1434" s="12"/>
      <c r="G1434" s="12"/>
      <c r="H1434" s="12"/>
      <c r="I1434" s="12"/>
      <c r="J1434" s="12"/>
      <c r="K1434" s="12"/>
    </row>
    <row r="1435" spans="1:13" s="200" customFormat="1" x14ac:dyDescent="0.25">
      <c r="A1435" s="10" t="s">
        <v>18</v>
      </c>
      <c r="B1435" s="12"/>
      <c r="C1435" s="12"/>
      <c r="D1435" s="12">
        <f>D1434-C1437</f>
        <v>-94.685890000000001</v>
      </c>
      <c r="E1435" s="12">
        <f t="shared" ref="E1435:I1435" si="56">E1434+D1438</f>
        <v>-97.335890000000006</v>
      </c>
      <c r="F1435" s="12">
        <f t="shared" si="56"/>
        <v>-104.01589000000001</v>
      </c>
      <c r="G1435" s="12">
        <f t="shared" si="56"/>
        <v>-110.74589000000002</v>
      </c>
      <c r="H1435" s="12">
        <f t="shared" si="56"/>
        <v>-114.20589000000001</v>
      </c>
      <c r="I1435" s="12">
        <f t="shared" si="56"/>
        <v>-114.69860000000001</v>
      </c>
      <c r="J1435" s="12">
        <f>J1434+I1438</f>
        <v>-115.27760000000001</v>
      </c>
      <c r="K1435" s="12">
        <f>K1434+J1438</f>
        <v>-118.1876</v>
      </c>
    </row>
    <row r="1436" spans="1:13" s="200" customFormat="1" x14ac:dyDescent="0.25">
      <c r="A1436" s="10" t="s">
        <v>19</v>
      </c>
      <c r="B1436" s="154"/>
      <c r="C1436" s="704" t="s">
        <v>863</v>
      </c>
      <c r="D1436" s="705"/>
      <c r="E1436" s="705"/>
      <c r="F1436" s="705"/>
      <c r="G1436" s="705"/>
      <c r="H1436" s="705"/>
      <c r="I1436" s="705"/>
      <c r="J1436" s="706"/>
      <c r="K1436" s="217"/>
    </row>
    <row r="1437" spans="1:13" s="200" customFormat="1" x14ac:dyDescent="0.25">
      <c r="A1437" s="10" t="s">
        <v>20</v>
      </c>
      <c r="B1437" s="154"/>
      <c r="C1437" s="452">
        <v>94.685890000000001</v>
      </c>
      <c r="D1437" s="452">
        <v>2.65</v>
      </c>
      <c r="E1437" s="453">
        <v>6.68</v>
      </c>
      <c r="F1437" s="154">
        <v>6.73</v>
      </c>
      <c r="G1437" s="154">
        <v>3.46</v>
      </c>
      <c r="H1437" s="12">
        <v>0.49270999999999998</v>
      </c>
      <c r="I1437" s="12">
        <v>0.57899999999999996</v>
      </c>
      <c r="J1437" s="15">
        <v>2.91</v>
      </c>
      <c r="K1437" s="217"/>
    </row>
    <row r="1438" spans="1:13" s="200" customFormat="1" x14ac:dyDescent="0.25">
      <c r="A1438" s="10" t="s">
        <v>21</v>
      </c>
      <c r="B1438" s="12"/>
      <c r="C1438" s="12">
        <f>C1434-C1437</f>
        <v>-94.685890000000001</v>
      </c>
      <c r="D1438" s="12">
        <f t="shared" ref="D1438:I1438" si="57">D1435-D1437</f>
        <v>-97.335890000000006</v>
      </c>
      <c r="E1438" s="12">
        <f t="shared" si="57"/>
        <v>-104.01589000000001</v>
      </c>
      <c r="F1438" s="12">
        <f t="shared" si="57"/>
        <v>-110.74589000000002</v>
      </c>
      <c r="G1438" s="12">
        <f t="shared" si="57"/>
        <v>-114.20589000000001</v>
      </c>
      <c r="H1438" s="12">
        <f t="shared" si="57"/>
        <v>-114.69860000000001</v>
      </c>
      <c r="I1438" s="12">
        <f t="shared" si="57"/>
        <v>-115.27760000000001</v>
      </c>
      <c r="J1438" s="12">
        <f>J1435-J1437</f>
        <v>-118.1876</v>
      </c>
      <c r="K1438" s="217"/>
    </row>
    <row r="1439" spans="1:13" s="200" customFormat="1" x14ac:dyDescent="0.25">
      <c r="A1439" s="16" t="s">
        <v>22</v>
      </c>
      <c r="B1439" s="640">
        <v>2017</v>
      </c>
      <c r="C1439" s="640">
        <v>2018</v>
      </c>
      <c r="D1439" s="640">
        <v>2019</v>
      </c>
      <c r="E1439" s="640">
        <v>2020</v>
      </c>
      <c r="F1439" s="640">
        <v>2021</v>
      </c>
      <c r="G1439" s="640">
        <v>2022</v>
      </c>
      <c r="H1439" s="640">
        <v>2023</v>
      </c>
      <c r="I1439" s="640">
        <v>2024</v>
      </c>
      <c r="J1439" s="640">
        <v>2025</v>
      </c>
      <c r="K1439" s="640">
        <v>2026</v>
      </c>
    </row>
    <row r="1440" spans="1:13" s="200" customFormat="1" x14ac:dyDescent="0.25">
      <c r="A1440" s="18" t="s">
        <v>179</v>
      </c>
      <c r="B1440" s="19"/>
      <c r="C1440" s="19"/>
      <c r="D1440" s="19"/>
      <c r="E1440" s="19"/>
      <c r="F1440" s="19"/>
      <c r="G1440" s="19"/>
      <c r="H1440" s="19"/>
      <c r="I1440" s="19"/>
      <c r="J1440" s="19"/>
      <c r="K1440" s="230"/>
    </row>
    <row r="1441" spans="1:11" s="200" customFormat="1" x14ac:dyDescent="0.25">
      <c r="A1441" s="29" t="s">
        <v>1013</v>
      </c>
      <c r="B1441" s="30"/>
      <c r="C1441" s="30"/>
      <c r="D1441" s="30"/>
      <c r="E1441" s="30"/>
      <c r="F1441" s="30"/>
      <c r="G1441" s="30"/>
      <c r="H1441" s="30"/>
      <c r="I1441" s="30"/>
      <c r="J1441" s="30"/>
      <c r="K1441" s="226"/>
    </row>
    <row r="1442" spans="1:11" s="200" customFormat="1" x14ac:dyDescent="0.25">
      <c r="A1442" s="39"/>
      <c r="B1442" s="3"/>
      <c r="C1442" s="3"/>
      <c r="D1442" s="3"/>
      <c r="E1442" s="3"/>
      <c r="F1442" s="3"/>
      <c r="G1442" s="3"/>
      <c r="H1442" s="3"/>
      <c r="I1442" s="3"/>
      <c r="J1442" s="3"/>
    </row>
    <row r="1443" spans="1:11" s="200" customFormat="1" x14ac:dyDescent="0.25">
      <c r="A1443" s="39"/>
      <c r="B1443" s="3"/>
      <c r="C1443" s="3"/>
      <c r="D1443" s="3"/>
      <c r="E1443" s="3"/>
      <c r="F1443" s="3"/>
      <c r="G1443" s="3"/>
      <c r="H1443" s="3"/>
      <c r="I1443" s="3"/>
      <c r="J1443" s="3"/>
    </row>
    <row r="1444" spans="1:11" x14ac:dyDescent="0.25">
      <c r="A1444" s="6" t="s">
        <v>14</v>
      </c>
      <c r="B1444" s="7" t="s">
        <v>74</v>
      </c>
      <c r="C1444" s="9" t="s">
        <v>152</v>
      </c>
    </row>
    <row r="1445" spans="1:11" x14ac:dyDescent="0.25">
      <c r="A1445" s="41" t="s">
        <v>16</v>
      </c>
      <c r="B1445" s="272">
        <v>2016</v>
      </c>
      <c r="C1445" s="152">
        <v>2017</v>
      </c>
      <c r="D1445" s="152">
        <v>2018</v>
      </c>
      <c r="E1445" s="152">
        <v>2019</v>
      </c>
      <c r="F1445" s="152">
        <v>2020</v>
      </c>
      <c r="G1445" s="152">
        <v>2021</v>
      </c>
      <c r="H1445" s="152">
        <v>2022</v>
      </c>
      <c r="I1445" s="152">
        <v>2023</v>
      </c>
      <c r="J1445" s="152">
        <v>2024</v>
      </c>
      <c r="K1445" s="152">
        <v>2025</v>
      </c>
    </row>
    <row r="1446" spans="1:11" x14ac:dyDescent="0.25">
      <c r="A1446" s="10" t="s">
        <v>17</v>
      </c>
      <c r="B1446" s="12">
        <v>10</v>
      </c>
      <c r="C1446" s="12">
        <v>10</v>
      </c>
      <c r="D1446" s="12">
        <v>10</v>
      </c>
      <c r="E1446" s="12">
        <v>10</v>
      </c>
      <c r="F1446" s="12">
        <v>10</v>
      </c>
      <c r="G1446" s="12">
        <v>10</v>
      </c>
      <c r="H1446" s="12">
        <v>10</v>
      </c>
      <c r="I1446" s="12">
        <v>10</v>
      </c>
      <c r="J1446" s="12">
        <v>10</v>
      </c>
      <c r="K1446" s="12">
        <v>10</v>
      </c>
    </row>
    <row r="1447" spans="1:11" x14ac:dyDescent="0.25">
      <c r="A1447" s="10" t="s">
        <v>18</v>
      </c>
      <c r="B1447" s="12">
        <v>10</v>
      </c>
      <c r="C1447" s="12">
        <f>C1446+B1450</f>
        <v>-106.85</v>
      </c>
      <c r="D1447" s="12">
        <f>D1446+C1450</f>
        <v>-107.18599999999999</v>
      </c>
      <c r="E1447" s="12">
        <f>E1446+D1450</f>
        <v>-97.965349999999987</v>
      </c>
      <c r="F1447" s="12">
        <f>F1446+E1450</f>
        <v>-89.945349999999991</v>
      </c>
      <c r="G1447" s="12">
        <f>F1450+G1446</f>
        <v>-81.765349999999984</v>
      </c>
      <c r="H1447" s="12">
        <f xml:space="preserve"> 1.25*G1450+H1446</f>
        <v>-94.519187499999973</v>
      </c>
      <c r="I1447" s="12">
        <f xml:space="preserve"> 1.25*H1450+I1446</f>
        <v>-115.64898437499997</v>
      </c>
      <c r="J1447" s="12">
        <f xml:space="preserve"> 1.25*I1450+J1446</f>
        <v>-136.97123046874995</v>
      </c>
      <c r="K1447" s="12">
        <f xml:space="preserve"> 1.25*J1450+K1446</f>
        <v>-161.21403808593743</v>
      </c>
    </row>
    <row r="1448" spans="1:11" x14ac:dyDescent="0.25">
      <c r="A1448" s="10" t="s">
        <v>19</v>
      </c>
      <c r="B1448" s="154"/>
      <c r="C1448" s="154" t="s">
        <v>399</v>
      </c>
      <c r="D1448" s="154" t="s">
        <v>400</v>
      </c>
      <c r="E1448" s="154" t="s">
        <v>401</v>
      </c>
      <c r="F1448" s="154" t="s">
        <v>402</v>
      </c>
      <c r="G1448" s="154" t="s">
        <v>566</v>
      </c>
      <c r="H1448" s="154" t="s">
        <v>604</v>
      </c>
      <c r="I1448" s="154" t="s">
        <v>625</v>
      </c>
      <c r="J1448" s="154" t="s">
        <v>784</v>
      </c>
      <c r="K1448" s="154" t="s">
        <v>996</v>
      </c>
    </row>
    <row r="1449" spans="1:11" x14ac:dyDescent="0.25">
      <c r="A1449" s="10" t="s">
        <v>20</v>
      </c>
      <c r="B1449" s="154">
        <v>126.85</v>
      </c>
      <c r="C1449" s="154">
        <v>10.336</v>
      </c>
      <c r="D1449" s="154">
        <v>0.77934999999999999</v>
      </c>
      <c r="E1449" s="154">
        <v>1.98</v>
      </c>
      <c r="F1449" s="154">
        <v>1.82</v>
      </c>
      <c r="G1449" s="154">
        <v>1.85</v>
      </c>
      <c r="H1449" s="154">
        <v>6</v>
      </c>
      <c r="I1449" s="154">
        <v>1.9279999999999999</v>
      </c>
      <c r="J1449" s="672"/>
      <c r="K1449" s="154"/>
    </row>
    <row r="1450" spans="1:11" x14ac:dyDescent="0.25">
      <c r="A1450" s="10" t="s">
        <v>21</v>
      </c>
      <c r="B1450" s="12">
        <f t="shared" ref="B1450:J1450" si="58">B1447-B1449</f>
        <v>-116.85</v>
      </c>
      <c r="C1450" s="12">
        <f t="shared" si="58"/>
        <v>-117.18599999999999</v>
      </c>
      <c r="D1450" s="12">
        <f t="shared" si="58"/>
        <v>-107.96534999999999</v>
      </c>
      <c r="E1450" s="12">
        <f t="shared" si="58"/>
        <v>-99.945349999999991</v>
      </c>
      <c r="F1450" s="12">
        <f t="shared" si="58"/>
        <v>-91.765349999999984</v>
      </c>
      <c r="G1450" s="12">
        <f t="shared" si="58"/>
        <v>-83.615349999999978</v>
      </c>
      <c r="H1450" s="12">
        <f t="shared" si="58"/>
        <v>-100.51918749999997</v>
      </c>
      <c r="I1450" s="12">
        <f t="shared" si="58"/>
        <v>-117.57698437499997</v>
      </c>
      <c r="J1450" s="12">
        <f t="shared" si="58"/>
        <v>-136.97123046874995</v>
      </c>
      <c r="K1450" s="12"/>
    </row>
    <row r="1451" spans="1:11" x14ac:dyDescent="0.25">
      <c r="A1451" s="18" t="s">
        <v>22</v>
      </c>
      <c r="B1451" s="640">
        <v>2017</v>
      </c>
      <c r="C1451" s="640">
        <v>2018</v>
      </c>
      <c r="D1451" s="640">
        <v>2019</v>
      </c>
      <c r="E1451" s="640">
        <v>2020</v>
      </c>
      <c r="F1451" s="640">
        <v>2021</v>
      </c>
      <c r="G1451" s="640">
        <v>2022</v>
      </c>
      <c r="H1451" s="640">
        <v>2023</v>
      </c>
      <c r="I1451" s="640">
        <v>2024</v>
      </c>
      <c r="J1451" s="640">
        <v>2025</v>
      </c>
      <c r="K1451" s="640">
        <v>2026</v>
      </c>
    </row>
    <row r="1452" spans="1:11" x14ac:dyDescent="0.25">
      <c r="A1452" s="18" t="s">
        <v>179</v>
      </c>
      <c r="B1452" s="19"/>
      <c r="C1452" s="19"/>
      <c r="D1452" s="19"/>
      <c r="E1452" s="19"/>
      <c r="F1452" s="19"/>
      <c r="G1452" s="19"/>
      <c r="H1452" s="19"/>
      <c r="I1452" s="19"/>
      <c r="J1452" s="19"/>
      <c r="K1452" s="63"/>
    </row>
    <row r="1453" spans="1:11" x14ac:dyDescent="0.25">
      <c r="A1453" s="56" t="s">
        <v>403</v>
      </c>
      <c r="K1453" s="64"/>
    </row>
    <row r="1454" spans="1:11" x14ac:dyDescent="0.25">
      <c r="A1454" s="56" t="s">
        <v>404</v>
      </c>
      <c r="K1454" s="64"/>
    </row>
    <row r="1455" spans="1:11" x14ac:dyDescent="0.25">
      <c r="A1455" s="56" t="s">
        <v>405</v>
      </c>
      <c r="K1455" s="64"/>
    </row>
    <row r="1456" spans="1:11" x14ac:dyDescent="0.25">
      <c r="A1456" s="56" t="s">
        <v>565</v>
      </c>
      <c r="C1456" s="346"/>
      <c r="K1456" s="64"/>
    </row>
    <row r="1457" spans="1:11" x14ac:dyDescent="0.25">
      <c r="A1457" s="56" t="s">
        <v>567</v>
      </c>
      <c r="C1457" s="346"/>
      <c r="K1457" s="64"/>
    </row>
    <row r="1458" spans="1:11" x14ac:dyDescent="0.25">
      <c r="A1458" s="56" t="s">
        <v>895</v>
      </c>
      <c r="C1458" s="346"/>
      <c r="K1458" s="64"/>
    </row>
    <row r="1459" spans="1:11" x14ac:dyDescent="0.25">
      <c r="A1459" s="56" t="s">
        <v>896</v>
      </c>
      <c r="C1459" s="346"/>
      <c r="K1459" s="64"/>
    </row>
    <row r="1460" spans="1:11" x14ac:dyDescent="0.25">
      <c r="A1460" s="56" t="s">
        <v>1023</v>
      </c>
      <c r="C1460" s="346"/>
      <c r="K1460" s="64"/>
    </row>
    <row r="1461" spans="1:11" s="34" customFormat="1" x14ac:dyDescent="0.25">
      <c r="A1461" s="310" t="s">
        <v>1125</v>
      </c>
      <c r="C1461" s="311"/>
      <c r="K1461" s="48"/>
    </row>
    <row r="1462" spans="1:11" x14ac:dyDescent="0.25">
      <c r="A1462" s="313"/>
      <c r="C1462" s="346"/>
    </row>
    <row r="1463" spans="1:11" x14ac:dyDescent="0.25">
      <c r="A1463" s="6" t="s">
        <v>12</v>
      </c>
      <c r="B1463" s="7" t="s">
        <v>1237</v>
      </c>
    </row>
    <row r="1464" spans="1:11" x14ac:dyDescent="0.25">
      <c r="A1464" s="646" t="s">
        <v>14</v>
      </c>
      <c r="B1464" s="647" t="s">
        <v>1233</v>
      </c>
      <c r="C1464" s="66" t="s">
        <v>152</v>
      </c>
      <c r="D1464" s="136"/>
      <c r="E1464" s="118"/>
      <c r="F1464" s="118"/>
    </row>
    <row r="1465" spans="1:11" x14ac:dyDescent="0.25">
      <c r="A1465" s="95" t="s">
        <v>16</v>
      </c>
      <c r="B1465" s="261"/>
      <c r="C1465" s="261">
        <v>2018</v>
      </c>
      <c r="D1465" s="261">
        <v>2019</v>
      </c>
      <c r="E1465" s="261">
        <v>2020</v>
      </c>
      <c r="F1465" s="261">
        <v>2021</v>
      </c>
      <c r="G1465" s="261">
        <v>2022</v>
      </c>
      <c r="H1465" s="261">
        <v>2023</v>
      </c>
      <c r="I1465" s="261">
        <v>2024</v>
      </c>
      <c r="J1465" s="261">
        <v>2025</v>
      </c>
    </row>
    <row r="1466" spans="1:11" x14ac:dyDescent="0.25">
      <c r="A1466" s="68" t="s">
        <v>17</v>
      </c>
      <c r="B1466" s="72"/>
      <c r="C1466" s="128"/>
      <c r="D1466" s="128"/>
      <c r="E1466" s="128"/>
      <c r="F1466" s="128"/>
      <c r="G1466" s="648"/>
      <c r="H1466" s="648"/>
      <c r="I1466" s="649"/>
      <c r="J1466" s="656">
        <v>125</v>
      </c>
    </row>
    <row r="1467" spans="1:11" x14ac:dyDescent="0.25">
      <c r="A1467" s="68" t="s">
        <v>18</v>
      </c>
      <c r="B1467" s="72"/>
      <c r="C1467" s="128"/>
      <c r="D1467" s="128"/>
      <c r="E1467" s="128">
        <v>-4.5005962749999959</v>
      </c>
      <c r="F1467" s="128">
        <v>-95.627388774999986</v>
      </c>
      <c r="G1467" s="650">
        <v>-275.36213877500001</v>
      </c>
      <c r="H1467" s="651">
        <v>-555.68713877499999</v>
      </c>
      <c r="I1467" s="651">
        <v>-786.01213877500004</v>
      </c>
      <c r="J1467" s="651">
        <v>-761.33713877500008</v>
      </c>
    </row>
    <row r="1468" spans="1:11" ht="26.4" x14ac:dyDescent="0.25">
      <c r="A1468" s="68" t="s">
        <v>19</v>
      </c>
      <c r="B1468" s="262"/>
      <c r="C1468" s="130"/>
      <c r="D1468" s="652" t="s">
        <v>1238</v>
      </c>
      <c r="E1468" s="652" t="s">
        <v>1239</v>
      </c>
      <c r="F1468" s="652" t="s">
        <v>1240</v>
      </c>
      <c r="G1468" s="652" t="s">
        <v>1241</v>
      </c>
      <c r="H1468" s="652" t="s">
        <v>1235</v>
      </c>
      <c r="I1468" s="652" t="s">
        <v>1234</v>
      </c>
      <c r="J1468" s="652"/>
    </row>
    <row r="1469" spans="1:11" x14ac:dyDescent="0.25">
      <c r="A1469" s="68" t="s">
        <v>20</v>
      </c>
      <c r="B1469" s="72"/>
      <c r="C1469" s="128">
        <v>70</v>
      </c>
      <c r="D1469" s="128">
        <v>26</v>
      </c>
      <c r="E1469" s="128">
        <v>112</v>
      </c>
      <c r="F1469" s="128">
        <v>200</v>
      </c>
      <c r="G1469" s="128">
        <v>300</v>
      </c>
      <c r="H1469" s="128">
        <v>250</v>
      </c>
      <c r="I1469" s="128">
        <v>120</v>
      </c>
      <c r="J1469" s="128"/>
    </row>
    <row r="1470" spans="1:11" x14ac:dyDescent="0.25">
      <c r="A1470" s="68" t="s">
        <v>21</v>
      </c>
      <c r="B1470" s="72"/>
      <c r="C1470" s="128"/>
      <c r="D1470" s="128">
        <v>-4.5005962749999959</v>
      </c>
      <c r="E1470" s="128">
        <v>-95.627388774999986</v>
      </c>
      <c r="F1470" s="128">
        <v>-275.36213877500001</v>
      </c>
      <c r="G1470" s="128">
        <v>-555.68713877499999</v>
      </c>
      <c r="H1470" s="128">
        <v>-786.01213877500004</v>
      </c>
      <c r="I1470" s="128">
        <v>-886.33713877500008</v>
      </c>
      <c r="J1470" s="649"/>
    </row>
    <row r="1471" spans="1:11" x14ac:dyDescent="0.25">
      <c r="A1471" s="92" t="s">
        <v>22</v>
      </c>
      <c r="B1471" s="270"/>
      <c r="C1471" s="270"/>
      <c r="D1471" s="270"/>
      <c r="E1471" s="270"/>
      <c r="F1471" s="270"/>
      <c r="G1471" s="657"/>
      <c r="H1471" s="657"/>
      <c r="I1471" s="658"/>
      <c r="J1471" s="658"/>
    </row>
    <row r="1472" spans="1:11" x14ac:dyDescent="0.25">
      <c r="A1472" s="434" t="s">
        <v>23</v>
      </c>
      <c r="B1472" s="654"/>
      <c r="C1472" s="645"/>
      <c r="D1472" s="645"/>
      <c r="E1472" s="654"/>
      <c r="F1472" s="654"/>
      <c r="G1472" s="30"/>
      <c r="H1472" s="30"/>
      <c r="I1472" s="30"/>
      <c r="J1472" s="88"/>
    </row>
    <row r="1473" spans="1:11" ht="12.6" customHeight="1" x14ac:dyDescent="0.25">
      <c r="A1473" s="313"/>
      <c r="C1473" s="346"/>
    </row>
    <row r="1475" spans="1:11" x14ac:dyDescent="0.25">
      <c r="A1475" s="6" t="s">
        <v>11</v>
      </c>
      <c r="B1475" s="7" t="s">
        <v>0</v>
      </c>
    </row>
    <row r="1476" spans="1:11" s="200" customFormat="1" x14ac:dyDescent="0.25">
      <c r="A1476" s="6" t="s">
        <v>1</v>
      </c>
      <c r="B1476" s="7" t="s">
        <v>624</v>
      </c>
      <c r="C1476" s="9" t="s">
        <v>2</v>
      </c>
      <c r="D1476" s="3"/>
      <c r="E1476" s="3"/>
      <c r="F1476" s="3"/>
      <c r="G1476" s="3"/>
    </row>
    <row r="1477" spans="1:11" s="200" customFormat="1" x14ac:dyDescent="0.25">
      <c r="A1477" s="10" t="s">
        <v>3</v>
      </c>
      <c r="B1477" s="152">
        <v>2017</v>
      </c>
      <c r="C1477" s="152">
        <v>2018</v>
      </c>
      <c r="D1477" s="170">
        <v>2019</v>
      </c>
      <c r="E1477" s="152">
        <v>2020</v>
      </c>
      <c r="F1477" s="152">
        <v>2021</v>
      </c>
      <c r="G1477" s="152">
        <v>2022</v>
      </c>
      <c r="H1477" s="152">
        <v>2023</v>
      </c>
      <c r="I1477" s="152">
        <v>2024</v>
      </c>
      <c r="J1477" s="152">
        <v>2025</v>
      </c>
      <c r="K1477" s="455">
        <v>2026</v>
      </c>
    </row>
    <row r="1478" spans="1:11" s="200" customFormat="1" x14ac:dyDescent="0.25">
      <c r="A1478" s="10" t="s">
        <v>4</v>
      </c>
      <c r="B1478" s="154">
        <v>200</v>
      </c>
      <c r="C1478" s="154">
        <v>200</v>
      </c>
      <c r="D1478" s="172">
        <v>215</v>
      </c>
      <c r="E1478" s="154">
        <v>215</v>
      </c>
      <c r="F1478" s="173">
        <v>242</v>
      </c>
      <c r="G1478" s="173">
        <v>242</v>
      </c>
      <c r="H1478" s="173">
        <v>242</v>
      </c>
      <c r="I1478" s="173">
        <v>302</v>
      </c>
      <c r="J1478" s="173">
        <v>302</v>
      </c>
      <c r="K1478" s="456">
        <v>302</v>
      </c>
    </row>
    <row r="1479" spans="1:11" s="200" customFormat="1" x14ac:dyDescent="0.25">
      <c r="A1479" s="10" t="s">
        <v>5</v>
      </c>
      <c r="B1479" s="154">
        <v>250</v>
      </c>
      <c r="C1479" s="154">
        <v>250</v>
      </c>
      <c r="D1479" s="172">
        <v>265</v>
      </c>
      <c r="E1479" s="154">
        <v>265</v>
      </c>
      <c r="F1479" s="173">
        <f>F1478+0.25*D1478</f>
        <v>295.75</v>
      </c>
      <c r="G1479" s="173">
        <f>G1478+0.25*E1478</f>
        <v>295.75</v>
      </c>
      <c r="H1479" s="173">
        <f>H1478+0.25*F1478</f>
        <v>302.5</v>
      </c>
      <c r="I1479" s="173">
        <f>I1478+0.25*G1478</f>
        <v>362.5</v>
      </c>
      <c r="J1479" s="173">
        <f>J1478+0.25*H1478</f>
        <v>362.5</v>
      </c>
      <c r="K1479" s="456">
        <f t="shared" ref="K1479" si="59">K1478+0.25*I1478</f>
        <v>377.5</v>
      </c>
    </row>
    <row r="1480" spans="1:11" s="200" customFormat="1" x14ac:dyDescent="0.25">
      <c r="A1480" s="10" t="s">
        <v>6</v>
      </c>
      <c r="B1480" s="154"/>
      <c r="C1480" s="154"/>
      <c r="D1480" s="154"/>
      <c r="E1480" s="154"/>
      <c r="F1480" s="173"/>
      <c r="G1480" s="173"/>
      <c r="H1480" s="173"/>
      <c r="I1480" s="173"/>
      <c r="J1480" s="173"/>
      <c r="K1480" s="456"/>
    </row>
    <row r="1481" spans="1:11" s="200" customFormat="1" x14ac:dyDescent="0.25">
      <c r="A1481" s="10" t="s">
        <v>7</v>
      </c>
      <c r="B1481" s="154">
        <v>20</v>
      </c>
      <c r="C1481" s="154">
        <v>20</v>
      </c>
      <c r="D1481" s="154">
        <v>25</v>
      </c>
      <c r="E1481" s="154">
        <v>29</v>
      </c>
      <c r="F1481" s="173">
        <v>40</v>
      </c>
      <c r="G1481" s="173">
        <v>60</v>
      </c>
      <c r="H1481" s="173">
        <v>90</v>
      </c>
      <c r="I1481" s="173">
        <v>120</v>
      </c>
      <c r="J1481" s="173"/>
      <c r="K1481" s="456"/>
    </row>
    <row r="1482" spans="1:11" s="200" customFormat="1" x14ac:dyDescent="0.25">
      <c r="A1482" s="10" t="s">
        <v>8</v>
      </c>
      <c r="B1482" s="154">
        <v>230</v>
      </c>
      <c r="C1482" s="154">
        <v>230</v>
      </c>
      <c r="D1482" s="154">
        <v>240</v>
      </c>
      <c r="E1482" s="154">
        <v>236</v>
      </c>
      <c r="F1482" s="173">
        <f>F1479-F1481</f>
        <v>255.75</v>
      </c>
      <c r="G1482" s="173">
        <f>G1479-G1481</f>
        <v>235.75</v>
      </c>
      <c r="H1482" s="173">
        <f>H1479-H1481</f>
        <v>212.5</v>
      </c>
      <c r="I1482" s="173">
        <f>I1479-I1481</f>
        <v>242.5</v>
      </c>
      <c r="J1482" s="173"/>
      <c r="K1482" s="456"/>
    </row>
    <row r="1483" spans="1:11" s="200" customFormat="1" x14ac:dyDescent="0.25">
      <c r="A1483" s="16" t="s">
        <v>9</v>
      </c>
      <c r="B1483" s="157">
        <v>2019</v>
      </c>
      <c r="C1483" s="157">
        <v>2020</v>
      </c>
      <c r="D1483" s="176">
        <v>2021</v>
      </c>
      <c r="E1483" s="157">
        <v>2022</v>
      </c>
      <c r="F1483" s="177">
        <v>2023</v>
      </c>
      <c r="G1483" s="177">
        <v>2024</v>
      </c>
      <c r="H1483" s="177">
        <v>2025</v>
      </c>
      <c r="I1483" s="177">
        <v>2026</v>
      </c>
      <c r="J1483" s="177">
        <v>2027</v>
      </c>
      <c r="K1483" s="457">
        <v>2028</v>
      </c>
    </row>
    <row r="1484" spans="1:11" s="200" customFormat="1" x14ac:dyDescent="0.25">
      <c r="A1484" s="29" t="s">
        <v>10</v>
      </c>
      <c r="B1484" s="30"/>
      <c r="C1484" s="30"/>
      <c r="D1484" s="30"/>
      <c r="E1484" s="30"/>
      <c r="F1484" s="30"/>
      <c r="G1484" s="30"/>
      <c r="H1484" s="458"/>
      <c r="I1484" s="458"/>
      <c r="J1484" s="458"/>
      <c r="K1484" s="226"/>
    </row>
    <row r="1485" spans="1:11" s="200" customFormat="1" x14ac:dyDescent="0.25">
      <c r="A1485" s="742" t="s">
        <v>737</v>
      </c>
      <c r="B1485" s="743"/>
      <c r="C1485" s="743"/>
      <c r="D1485" s="743"/>
      <c r="E1485" s="743"/>
      <c r="F1485" s="743"/>
      <c r="G1485" s="743"/>
      <c r="H1485" s="459"/>
      <c r="I1485" s="459"/>
      <c r="J1485" s="459"/>
      <c r="K1485" s="230"/>
    </row>
    <row r="1486" spans="1:11" s="200" customFormat="1" x14ac:dyDescent="0.25">
      <c r="A1486" s="700" t="s">
        <v>738</v>
      </c>
      <c r="B1486" s="701"/>
      <c r="C1486" s="701"/>
      <c r="D1486" s="701"/>
      <c r="E1486" s="701"/>
      <c r="F1486" s="701"/>
      <c r="G1486" s="701"/>
      <c r="K1486" s="232"/>
    </row>
    <row r="1487" spans="1:11" s="200" customFormat="1" x14ac:dyDescent="0.25">
      <c r="A1487" s="700" t="s">
        <v>739</v>
      </c>
      <c r="B1487" s="701"/>
      <c r="C1487" s="701"/>
      <c r="D1487" s="701"/>
      <c r="E1487" s="701"/>
      <c r="F1487" s="701"/>
      <c r="G1487" s="701"/>
      <c r="K1487" s="232"/>
    </row>
    <row r="1488" spans="1:11" x14ac:dyDescent="0.25">
      <c r="A1488" s="700" t="s">
        <v>740</v>
      </c>
      <c r="B1488" s="701"/>
      <c r="C1488" s="701"/>
      <c r="D1488" s="701"/>
      <c r="E1488" s="701"/>
      <c r="F1488" s="701"/>
      <c r="G1488" s="701"/>
      <c r="K1488" s="64"/>
    </row>
    <row r="1489" spans="1:11" x14ac:dyDescent="0.25">
      <c r="A1489" s="460" t="s">
        <v>936</v>
      </c>
      <c r="B1489" s="313"/>
      <c r="C1489" s="313"/>
      <c r="D1489" s="313"/>
      <c r="E1489" s="313"/>
      <c r="F1489" s="313"/>
      <c r="G1489" s="313"/>
      <c r="K1489" s="64"/>
    </row>
    <row r="1490" spans="1:11" x14ac:dyDescent="0.25">
      <c r="A1490" s="460" t="s">
        <v>956</v>
      </c>
      <c r="B1490" s="313"/>
      <c r="C1490" s="313"/>
      <c r="D1490" s="313"/>
      <c r="E1490" s="313"/>
      <c r="F1490" s="313"/>
      <c r="G1490" s="313"/>
      <c r="K1490" s="64"/>
    </row>
    <row r="1491" spans="1:11" x14ac:dyDescent="0.25">
      <c r="A1491" s="426" t="s">
        <v>1185</v>
      </c>
      <c r="B1491" s="461"/>
      <c r="C1491" s="461"/>
      <c r="D1491" s="461"/>
      <c r="E1491" s="461"/>
      <c r="F1491" s="461"/>
      <c r="G1491" s="461"/>
      <c r="H1491" s="34"/>
      <c r="I1491" s="34"/>
      <c r="J1491" s="34"/>
      <c r="K1491" s="48"/>
    </row>
    <row r="1492" spans="1:11" x14ac:dyDescent="0.25">
      <c r="A1492" s="2"/>
      <c r="B1492" s="2"/>
    </row>
    <row r="1493" spans="1:11" x14ac:dyDescent="0.25">
      <c r="A1493" s="6" t="s">
        <v>1</v>
      </c>
      <c r="B1493" s="7" t="s">
        <v>623</v>
      </c>
      <c r="C1493" s="9" t="s">
        <v>2</v>
      </c>
    </row>
    <row r="1494" spans="1:11" x14ac:dyDescent="0.25">
      <c r="A1494" s="10" t="s">
        <v>3</v>
      </c>
      <c r="B1494" s="152">
        <v>2017</v>
      </c>
      <c r="C1494" s="152">
        <v>2018</v>
      </c>
      <c r="D1494" s="170">
        <v>2019</v>
      </c>
      <c r="E1494" s="152">
        <v>2020</v>
      </c>
      <c r="F1494" s="152">
        <v>2021</v>
      </c>
      <c r="G1494" s="152">
        <v>2022</v>
      </c>
      <c r="H1494" s="152">
        <v>2023</v>
      </c>
      <c r="I1494" s="152">
        <v>2024</v>
      </c>
      <c r="J1494" s="152">
        <v>2025</v>
      </c>
      <c r="K1494" s="455">
        <v>2026</v>
      </c>
    </row>
    <row r="1495" spans="1:11" x14ac:dyDescent="0.25">
      <c r="A1495" s="10" t="s">
        <v>4</v>
      </c>
      <c r="B1495" s="154">
        <v>850</v>
      </c>
      <c r="C1495" s="154">
        <v>850</v>
      </c>
      <c r="D1495" s="172">
        <v>850</v>
      </c>
      <c r="E1495" s="154">
        <v>850</v>
      </c>
      <c r="F1495" s="173">
        <v>850</v>
      </c>
      <c r="G1495" s="173">
        <v>850</v>
      </c>
      <c r="H1495" s="173">
        <v>850</v>
      </c>
      <c r="I1495" s="173">
        <v>850</v>
      </c>
      <c r="J1495" s="173">
        <v>850</v>
      </c>
      <c r="K1495" s="462">
        <v>1186</v>
      </c>
    </row>
    <row r="1496" spans="1:11" x14ac:dyDescent="0.25">
      <c r="A1496" s="10" t="s">
        <v>5</v>
      </c>
      <c r="B1496" s="154">
        <v>950</v>
      </c>
      <c r="C1496" s="154">
        <v>900</v>
      </c>
      <c r="D1496" s="172">
        <v>1000</v>
      </c>
      <c r="E1496" s="154">
        <v>995</v>
      </c>
      <c r="F1496" s="173">
        <v>1095</v>
      </c>
      <c r="G1496" s="173">
        <f>G1495+E1499+150+20+25</f>
        <v>1104.1799999999998</v>
      </c>
      <c r="H1496" s="173">
        <f>H1495+0.15*F1495+150+20+25</f>
        <v>1172.5</v>
      </c>
      <c r="I1496" s="173">
        <f>I1495+G1499+150+20+25+200</f>
        <v>1263.81</v>
      </c>
      <c r="J1496" s="173">
        <f>J1495+H1499+150+20+25+200</f>
        <v>1272.43</v>
      </c>
      <c r="K1496" s="462">
        <f>K1495+I1495*0.15+150+25</f>
        <v>1488.5</v>
      </c>
    </row>
    <row r="1497" spans="1:11" x14ac:dyDescent="0.25">
      <c r="A1497" s="10" t="s">
        <v>6</v>
      </c>
      <c r="B1497" s="154"/>
      <c r="C1497" s="154"/>
      <c r="D1497" s="172"/>
      <c r="E1497" s="154"/>
      <c r="F1497" s="173"/>
      <c r="G1497" s="173"/>
      <c r="H1497" s="173"/>
      <c r="I1497" s="173"/>
      <c r="J1497" s="173"/>
      <c r="K1497" s="456"/>
    </row>
    <row r="1498" spans="1:11" x14ac:dyDescent="0.25">
      <c r="A1498" s="10" t="s">
        <v>7</v>
      </c>
      <c r="B1498" s="154">
        <v>900</v>
      </c>
      <c r="C1498" s="154">
        <v>950</v>
      </c>
      <c r="D1498" s="172">
        <v>950</v>
      </c>
      <c r="E1498" s="154">
        <v>935.82</v>
      </c>
      <c r="F1498" s="173">
        <v>955.3</v>
      </c>
      <c r="G1498" s="173">
        <v>1085.3699999999999</v>
      </c>
      <c r="H1498" s="173">
        <v>1145.07</v>
      </c>
      <c r="I1498" s="173">
        <v>886.85</v>
      </c>
      <c r="J1498" s="173"/>
      <c r="K1498" s="456"/>
    </row>
    <row r="1499" spans="1:11" x14ac:dyDescent="0.25">
      <c r="A1499" s="10" t="s">
        <v>8</v>
      </c>
      <c r="B1499" s="154">
        <f t="shared" ref="B1499:I1499" si="60">B1496-B1498</f>
        <v>50</v>
      </c>
      <c r="C1499" s="154">
        <f t="shared" si="60"/>
        <v>-50</v>
      </c>
      <c r="D1499" s="154">
        <f t="shared" si="60"/>
        <v>50</v>
      </c>
      <c r="E1499" s="154">
        <f t="shared" si="60"/>
        <v>59.17999999999995</v>
      </c>
      <c r="F1499" s="173">
        <f t="shared" si="60"/>
        <v>139.70000000000005</v>
      </c>
      <c r="G1499" s="173">
        <f t="shared" si="60"/>
        <v>18.809999999999945</v>
      </c>
      <c r="H1499" s="173">
        <f t="shared" si="60"/>
        <v>27.430000000000064</v>
      </c>
      <c r="I1499" s="173">
        <f t="shared" si="60"/>
        <v>376.95999999999992</v>
      </c>
      <c r="J1499" s="173"/>
      <c r="K1499" s="456"/>
    </row>
    <row r="1500" spans="1:11" ht="13.2" customHeight="1" x14ac:dyDescent="0.25">
      <c r="A1500" s="16" t="s">
        <v>9</v>
      </c>
      <c r="B1500" s="157">
        <v>2019</v>
      </c>
      <c r="C1500" s="157">
        <v>2020</v>
      </c>
      <c r="D1500" s="176">
        <v>2021</v>
      </c>
      <c r="E1500" s="157">
        <v>2022</v>
      </c>
      <c r="F1500" s="177">
        <v>2023</v>
      </c>
      <c r="G1500" s="177">
        <v>2024</v>
      </c>
      <c r="H1500" s="177">
        <v>2025</v>
      </c>
      <c r="I1500" s="177">
        <v>2026</v>
      </c>
      <c r="J1500" s="177">
        <v>2027</v>
      </c>
      <c r="K1500" s="457">
        <v>2028</v>
      </c>
    </row>
    <row r="1501" spans="1:11" ht="13.2" customHeight="1" x14ac:dyDescent="0.25">
      <c r="A1501" s="29" t="s">
        <v>10</v>
      </c>
      <c r="B1501" s="30"/>
      <c r="C1501" s="30"/>
      <c r="D1501" s="30"/>
      <c r="E1501" s="30"/>
      <c r="F1501" s="30"/>
      <c r="G1501" s="30"/>
      <c r="H1501" s="30"/>
      <c r="I1501" s="30"/>
      <c r="J1501" s="30"/>
      <c r="K1501" s="88"/>
    </row>
    <row r="1502" spans="1:11" x14ac:dyDescent="0.25">
      <c r="A1502" s="18" t="s">
        <v>741</v>
      </c>
      <c r="B1502" s="19"/>
      <c r="C1502" s="19"/>
      <c r="D1502" s="19"/>
      <c r="E1502" s="19"/>
      <c r="F1502" s="19"/>
      <c r="G1502" s="19"/>
      <c r="H1502" s="19"/>
      <c r="I1502" s="19"/>
      <c r="J1502" s="19"/>
      <c r="K1502" s="63"/>
    </row>
    <row r="1503" spans="1:11" x14ac:dyDescent="0.25">
      <c r="A1503" s="39" t="s">
        <v>742</v>
      </c>
      <c r="K1503" s="64"/>
    </row>
    <row r="1504" spans="1:11" x14ac:dyDescent="0.25">
      <c r="A1504" s="56" t="s">
        <v>743</v>
      </c>
      <c r="B1504" s="49"/>
      <c r="C1504" s="49"/>
      <c r="D1504" s="49"/>
      <c r="E1504" s="49"/>
      <c r="F1504" s="49"/>
      <c r="G1504" s="49"/>
      <c r="H1504" s="49"/>
      <c r="K1504" s="64"/>
    </row>
    <row r="1505" spans="1:11" x14ac:dyDescent="0.25">
      <c r="A1505" s="39" t="s">
        <v>744</v>
      </c>
      <c r="K1505" s="64"/>
    </row>
    <row r="1506" spans="1:11" x14ac:dyDescent="0.25">
      <c r="A1506" s="39" t="s">
        <v>745</v>
      </c>
      <c r="K1506" s="64"/>
    </row>
    <row r="1507" spans="1:11" x14ac:dyDescent="0.25">
      <c r="A1507" s="39" t="s">
        <v>746</v>
      </c>
      <c r="K1507" s="64"/>
    </row>
    <row r="1508" spans="1:11" x14ac:dyDescent="0.25">
      <c r="A1508" s="159" t="s">
        <v>957</v>
      </c>
      <c r="B1508" s="32"/>
      <c r="C1508" s="32"/>
      <c r="D1508" s="32"/>
      <c r="E1508" s="32"/>
      <c r="F1508" s="32"/>
      <c r="G1508" s="32"/>
      <c r="H1508" s="32"/>
      <c r="K1508" s="64"/>
    </row>
    <row r="1509" spans="1:11" x14ac:dyDescent="0.25">
      <c r="A1509" s="159" t="s">
        <v>958</v>
      </c>
      <c r="B1509" s="32"/>
      <c r="C1509" s="32"/>
      <c r="D1509" s="32"/>
      <c r="E1509" s="32"/>
      <c r="F1509" s="32"/>
      <c r="G1509" s="32"/>
      <c r="H1509" s="32"/>
      <c r="K1509" s="64"/>
    </row>
    <row r="1510" spans="1:11" x14ac:dyDescent="0.25">
      <c r="A1510" s="160" t="s">
        <v>1186</v>
      </c>
      <c r="B1510" s="22"/>
      <c r="C1510" s="22"/>
      <c r="D1510" s="22"/>
      <c r="E1510" s="22"/>
      <c r="F1510" s="22"/>
      <c r="G1510" s="22"/>
      <c r="H1510" s="22"/>
      <c r="I1510" s="34"/>
      <c r="J1510" s="34"/>
      <c r="K1510" s="48"/>
    </row>
    <row r="1512" spans="1:11" x14ac:dyDescent="0.25">
      <c r="A1512" s="6" t="s">
        <v>1</v>
      </c>
      <c r="B1512" s="7" t="s">
        <v>642</v>
      </c>
      <c r="C1512" s="9" t="s">
        <v>2</v>
      </c>
    </row>
    <row r="1513" spans="1:11" x14ac:dyDescent="0.25">
      <c r="A1513" s="10" t="s">
        <v>3</v>
      </c>
      <c r="B1513" s="11"/>
      <c r="C1513" s="195"/>
      <c r="D1513" s="36"/>
      <c r="E1513" s="152">
        <v>2020</v>
      </c>
      <c r="F1513" s="152">
        <v>2021</v>
      </c>
      <c r="G1513" s="152">
        <v>2022</v>
      </c>
      <c r="H1513" s="152">
        <v>2023</v>
      </c>
      <c r="I1513" s="463">
        <v>2024</v>
      </c>
      <c r="J1513" s="463">
        <v>2025</v>
      </c>
    </row>
    <row r="1514" spans="1:11" x14ac:dyDescent="0.25">
      <c r="A1514" s="10" t="s">
        <v>4</v>
      </c>
      <c r="B1514" s="11"/>
      <c r="C1514" s="464"/>
      <c r="D1514" s="186"/>
      <c r="E1514" s="12">
        <v>3284</v>
      </c>
      <c r="F1514" s="187">
        <v>3284</v>
      </c>
      <c r="G1514" s="187">
        <v>3284</v>
      </c>
      <c r="H1514" s="187">
        <v>3700</v>
      </c>
      <c r="I1514" s="465">
        <v>3700</v>
      </c>
      <c r="J1514" s="465">
        <v>3700</v>
      </c>
    </row>
    <row r="1515" spans="1:11" x14ac:dyDescent="0.25">
      <c r="A1515" s="10" t="s">
        <v>5</v>
      </c>
      <c r="B1515" s="11"/>
      <c r="C1515" s="464"/>
      <c r="D1515" s="186"/>
      <c r="E1515" s="12">
        <v>3488.62</v>
      </c>
      <c r="F1515" s="187">
        <v>3318.91</v>
      </c>
      <c r="G1515" s="187">
        <f>G1514+F1518+259.62</f>
        <v>3568.2699999999995</v>
      </c>
      <c r="H1515" s="187">
        <f>H1514+3</f>
        <v>3703</v>
      </c>
      <c r="I1515" s="465">
        <f>I1514+H1518</f>
        <v>3739</v>
      </c>
      <c r="J1515" s="466">
        <f>J1514+I1518+50</f>
        <v>3870.13</v>
      </c>
    </row>
    <row r="1516" spans="1:11" x14ac:dyDescent="0.25">
      <c r="A1516" s="10" t="s">
        <v>6</v>
      </c>
      <c r="B1516" s="11"/>
      <c r="C1516" s="464"/>
      <c r="D1516" s="186"/>
      <c r="E1516" s="12"/>
      <c r="F1516" s="187"/>
      <c r="G1516" s="187"/>
      <c r="H1516" s="187"/>
      <c r="I1516" s="465"/>
      <c r="J1516" s="465"/>
    </row>
    <row r="1517" spans="1:11" x14ac:dyDescent="0.25">
      <c r="A1517" s="10" t="s">
        <v>7</v>
      </c>
      <c r="B1517" s="11"/>
      <c r="C1517" s="464"/>
      <c r="D1517" s="186"/>
      <c r="E1517" s="12">
        <v>3453.71</v>
      </c>
      <c r="F1517" s="187">
        <v>3294.26</v>
      </c>
      <c r="G1517" s="187">
        <v>3565.05</v>
      </c>
      <c r="H1517" s="187">
        <v>3664</v>
      </c>
      <c r="I1517" s="465">
        <v>3618.87</v>
      </c>
      <c r="J1517" s="465"/>
    </row>
    <row r="1518" spans="1:11" x14ac:dyDescent="0.25">
      <c r="A1518" s="10" t="s">
        <v>8</v>
      </c>
      <c r="B1518" s="11"/>
      <c r="C1518" s="464"/>
      <c r="D1518" s="186"/>
      <c r="E1518" s="12">
        <v>34.909999999999997</v>
      </c>
      <c r="F1518" s="187">
        <f>F1515-F1517</f>
        <v>24.649999999999636</v>
      </c>
      <c r="G1518" s="187">
        <f>G1515-G1517</f>
        <v>3.2199999999993452</v>
      </c>
      <c r="H1518" s="187">
        <f>H1515-H1517</f>
        <v>39</v>
      </c>
      <c r="I1518" s="465">
        <f>I1515-I1517</f>
        <v>120.13000000000011</v>
      </c>
      <c r="J1518" s="465"/>
    </row>
    <row r="1519" spans="1:11" x14ac:dyDescent="0.25">
      <c r="A1519" s="16" t="s">
        <v>9</v>
      </c>
      <c r="B1519" s="17"/>
      <c r="C1519" s="157"/>
      <c r="D1519" s="46"/>
      <c r="E1519" s="157">
        <v>2021</v>
      </c>
      <c r="F1519" s="177">
        <v>2022</v>
      </c>
      <c r="G1519" s="177">
        <v>2023</v>
      </c>
      <c r="H1519" s="177">
        <v>2024</v>
      </c>
      <c r="I1519" s="177">
        <v>2025</v>
      </c>
      <c r="J1519" s="177">
        <v>2026</v>
      </c>
    </row>
    <row r="1520" spans="1:11" x14ac:dyDescent="0.25">
      <c r="A1520" s="29" t="s">
        <v>10</v>
      </c>
      <c r="B1520" s="30"/>
      <c r="C1520" s="30"/>
      <c r="D1520" s="30"/>
      <c r="E1520" s="30"/>
      <c r="F1520" s="30"/>
      <c r="G1520" s="30"/>
      <c r="H1520" s="30"/>
      <c r="I1520" s="30"/>
      <c r="J1520" s="88"/>
    </row>
    <row r="1521" spans="1:10" x14ac:dyDescent="0.25">
      <c r="A1521" s="56" t="s">
        <v>748</v>
      </c>
      <c r="I1521" s="64"/>
    </row>
    <row r="1522" spans="1:10" x14ac:dyDescent="0.25">
      <c r="A1522" s="460" t="s">
        <v>749</v>
      </c>
      <c r="I1522" s="64"/>
    </row>
    <row r="1523" spans="1:10" x14ac:dyDescent="0.25">
      <c r="A1523" s="460" t="s">
        <v>750</v>
      </c>
      <c r="B1523" s="427"/>
      <c r="C1523" s="427"/>
      <c r="D1523" s="427"/>
      <c r="E1523" s="427"/>
      <c r="F1523" s="427"/>
      <c r="G1523" s="427"/>
      <c r="I1523" s="64"/>
    </row>
    <row r="1524" spans="1:10" x14ac:dyDescent="0.25">
      <c r="A1524" s="39" t="s">
        <v>747</v>
      </c>
      <c r="I1524" s="64"/>
    </row>
    <row r="1525" spans="1:10" x14ac:dyDescent="0.25">
      <c r="A1525" s="39" t="s">
        <v>959</v>
      </c>
      <c r="I1525" s="64"/>
    </row>
    <row r="1526" spans="1:10" s="34" customFormat="1" x14ac:dyDescent="0.25">
      <c r="A1526" s="43" t="s">
        <v>1136</v>
      </c>
    </row>
    <row r="1527" spans="1:10" x14ac:dyDescent="0.25">
      <c r="A1527" s="41"/>
      <c r="B1527" s="34"/>
      <c r="C1527" s="34"/>
    </row>
    <row r="1528" spans="1:10" x14ac:dyDescent="0.25">
      <c r="A1528" s="149" t="s">
        <v>1</v>
      </c>
      <c r="B1528" s="24" t="s">
        <v>74</v>
      </c>
      <c r="C1528" s="467" t="s">
        <v>2</v>
      </c>
    </row>
    <row r="1529" spans="1:10" x14ac:dyDescent="0.25">
      <c r="A1529" s="10" t="s">
        <v>3</v>
      </c>
      <c r="B1529" s="152">
        <v>2017</v>
      </c>
      <c r="C1529" s="152">
        <v>2018</v>
      </c>
      <c r="D1529" s="170">
        <v>2019</v>
      </c>
      <c r="E1529" s="152">
        <v>2020</v>
      </c>
      <c r="F1529" s="152">
        <v>2021</v>
      </c>
      <c r="G1529" s="152">
        <v>2022</v>
      </c>
      <c r="H1529" s="152">
        <v>2023</v>
      </c>
      <c r="I1529" s="152">
        <v>2024</v>
      </c>
      <c r="J1529" s="455">
        <v>2025</v>
      </c>
    </row>
    <row r="1530" spans="1:10" x14ac:dyDescent="0.25">
      <c r="A1530" s="10" t="s">
        <v>4</v>
      </c>
      <c r="B1530" s="12">
        <v>10</v>
      </c>
      <c r="C1530" s="464">
        <v>10</v>
      </c>
      <c r="D1530" s="186">
        <v>10</v>
      </c>
      <c r="E1530" s="12">
        <v>10</v>
      </c>
      <c r="F1530" s="187">
        <v>10</v>
      </c>
      <c r="G1530" s="187">
        <v>10</v>
      </c>
      <c r="H1530" s="187">
        <v>10</v>
      </c>
      <c r="I1530" s="187">
        <v>10</v>
      </c>
      <c r="J1530" s="468">
        <v>10</v>
      </c>
    </row>
    <row r="1531" spans="1:10" x14ac:dyDescent="0.25">
      <c r="A1531" s="10" t="s">
        <v>5</v>
      </c>
      <c r="B1531" s="12">
        <v>10</v>
      </c>
      <c r="C1531" s="464">
        <v>-62</v>
      </c>
      <c r="D1531" s="186">
        <v>-52</v>
      </c>
      <c r="E1531" s="12">
        <v>-42</v>
      </c>
      <c r="F1531" s="187">
        <v>-32</v>
      </c>
      <c r="G1531" s="187">
        <v>-22</v>
      </c>
      <c r="H1531" s="187">
        <v>-12</v>
      </c>
      <c r="I1531" s="187">
        <f>H1534+I1530</f>
        <v>-2</v>
      </c>
      <c r="J1531" s="468">
        <f>I1534+J1530</f>
        <v>8</v>
      </c>
    </row>
    <row r="1532" spans="1:10" x14ac:dyDescent="0.25">
      <c r="A1532" s="10" t="s">
        <v>6</v>
      </c>
      <c r="B1532" s="12"/>
      <c r="C1532" s="464"/>
      <c r="D1532" s="186"/>
      <c r="E1532" s="12"/>
      <c r="F1532" s="187"/>
      <c r="G1532" s="187"/>
      <c r="H1532" s="187"/>
      <c r="I1532" s="187"/>
      <c r="J1532" s="468"/>
    </row>
    <row r="1533" spans="1:10" x14ac:dyDescent="0.25">
      <c r="A1533" s="10" t="s">
        <v>7</v>
      </c>
      <c r="B1533" s="12">
        <v>82</v>
      </c>
      <c r="C1533" s="464">
        <v>0</v>
      </c>
      <c r="D1533" s="186">
        <v>0</v>
      </c>
      <c r="E1533" s="12">
        <v>0</v>
      </c>
      <c r="F1533" s="187">
        <v>0</v>
      </c>
      <c r="G1533" s="187">
        <v>0</v>
      </c>
      <c r="H1533" s="187">
        <v>0</v>
      </c>
      <c r="I1533" s="187">
        <v>0</v>
      </c>
      <c r="J1533" s="468"/>
    </row>
    <row r="1534" spans="1:10" x14ac:dyDescent="0.25">
      <c r="A1534" s="10" t="s">
        <v>8</v>
      </c>
      <c r="B1534" s="12">
        <v>-72</v>
      </c>
      <c r="C1534" s="464">
        <v>-62</v>
      </c>
      <c r="D1534" s="186">
        <v>-52</v>
      </c>
      <c r="E1534" s="12">
        <v>-42</v>
      </c>
      <c r="F1534" s="187">
        <v>-32</v>
      </c>
      <c r="G1534" s="187">
        <v>-22</v>
      </c>
      <c r="H1534" s="187">
        <f>H1531-H1533</f>
        <v>-12</v>
      </c>
      <c r="I1534" s="187">
        <f>I1531-I1533</f>
        <v>-2</v>
      </c>
      <c r="J1534" s="468"/>
    </row>
    <row r="1535" spans="1:10" x14ac:dyDescent="0.25">
      <c r="A1535" s="16" t="s">
        <v>9</v>
      </c>
      <c r="B1535" s="157">
        <v>2018</v>
      </c>
      <c r="C1535" s="157">
        <v>2019</v>
      </c>
      <c r="D1535" s="157">
        <v>2020</v>
      </c>
      <c r="E1535" s="157">
        <v>2021</v>
      </c>
      <c r="F1535" s="157">
        <v>2022</v>
      </c>
      <c r="G1535" s="157">
        <v>2023</v>
      </c>
      <c r="H1535" s="157">
        <v>2024</v>
      </c>
      <c r="I1535" s="157">
        <v>2025</v>
      </c>
      <c r="J1535" s="293">
        <v>2026</v>
      </c>
    </row>
    <row r="1536" spans="1:10" x14ac:dyDescent="0.25">
      <c r="A1536" s="18" t="s">
        <v>10</v>
      </c>
      <c r="B1536" s="19"/>
      <c r="C1536" s="19"/>
      <c r="D1536" s="19"/>
      <c r="E1536" s="19"/>
      <c r="F1536" s="19"/>
      <c r="G1536" s="19"/>
      <c r="H1536" s="19"/>
      <c r="I1536" s="63"/>
      <c r="J1536" s="469"/>
    </row>
    <row r="1537" spans="1:11" x14ac:dyDescent="0.25">
      <c r="A1537" s="470" t="s">
        <v>752</v>
      </c>
      <c r="B1537" s="53"/>
      <c r="C1537" s="53"/>
      <c r="D1537" s="53"/>
      <c r="E1537" s="53"/>
      <c r="F1537" s="53"/>
      <c r="G1537" s="19"/>
      <c r="H1537" s="19"/>
      <c r="I1537" s="19"/>
      <c r="J1537" s="63"/>
    </row>
    <row r="1538" spans="1:11" x14ac:dyDescent="0.25">
      <c r="A1538" s="39" t="s">
        <v>753</v>
      </c>
      <c r="B1538" s="49"/>
      <c r="C1538" s="49"/>
      <c r="D1538" s="49"/>
      <c r="E1538" s="49"/>
      <c r="F1538" s="49"/>
      <c r="J1538" s="64"/>
    </row>
    <row r="1539" spans="1:11" x14ac:dyDescent="0.25">
      <c r="A1539" s="56" t="s">
        <v>754</v>
      </c>
      <c r="B1539" s="49"/>
      <c r="C1539" s="49"/>
      <c r="D1539" s="49"/>
      <c r="E1539" s="49"/>
      <c r="F1539" s="49"/>
      <c r="J1539" s="64"/>
    </row>
    <row r="1540" spans="1:11" x14ac:dyDescent="0.25">
      <c r="A1540" s="39" t="s">
        <v>755</v>
      </c>
      <c r="J1540" s="64"/>
    </row>
    <row r="1541" spans="1:11" x14ac:dyDescent="0.25">
      <c r="A1541" s="41" t="s">
        <v>751</v>
      </c>
      <c r="J1541" s="64"/>
    </row>
    <row r="1542" spans="1:11" x14ac:dyDescent="0.25">
      <c r="A1542" s="42" t="s">
        <v>1187</v>
      </c>
      <c r="B1542" s="34"/>
      <c r="C1542" s="34"/>
      <c r="D1542" s="34"/>
      <c r="E1542" s="34"/>
      <c r="F1542" s="34"/>
      <c r="G1542" s="34"/>
      <c r="H1542" s="34"/>
      <c r="I1542" s="34"/>
      <c r="J1542" s="48"/>
    </row>
    <row r="1545" spans="1:11" x14ac:dyDescent="0.25">
      <c r="A1545" s="6" t="s">
        <v>24</v>
      </c>
      <c r="B1545" s="7" t="s">
        <v>25</v>
      </c>
    </row>
    <row r="1546" spans="1:11" x14ac:dyDescent="0.25">
      <c r="A1546" s="149" t="s">
        <v>14</v>
      </c>
      <c r="B1546" s="24" t="s">
        <v>624</v>
      </c>
      <c r="C1546" s="471" t="s">
        <v>26</v>
      </c>
    </row>
    <row r="1547" spans="1:11" x14ac:dyDescent="0.25">
      <c r="A1547" s="168" t="s">
        <v>27</v>
      </c>
      <c r="B1547" s="272">
        <v>2016</v>
      </c>
      <c r="C1547" s="152">
        <v>2017</v>
      </c>
      <c r="D1547" s="472">
        <v>2018</v>
      </c>
      <c r="E1547" s="152">
        <v>2019</v>
      </c>
      <c r="F1547" s="152">
        <v>2020</v>
      </c>
      <c r="G1547" s="152">
        <v>2021</v>
      </c>
      <c r="H1547" s="152">
        <v>2022</v>
      </c>
      <c r="I1547" s="152">
        <v>2023</v>
      </c>
      <c r="J1547" s="152">
        <v>2024</v>
      </c>
      <c r="K1547" s="152">
        <v>2025</v>
      </c>
    </row>
    <row r="1548" spans="1:11" x14ac:dyDescent="0.25">
      <c r="A1548" s="11" t="s">
        <v>28</v>
      </c>
      <c r="B1548" s="72">
        <v>200</v>
      </c>
      <c r="C1548" s="72">
        <v>200</v>
      </c>
      <c r="D1548" s="72">
        <v>200</v>
      </c>
      <c r="E1548" s="72">
        <v>215</v>
      </c>
      <c r="F1548" s="12">
        <v>215</v>
      </c>
      <c r="G1548" s="11">
        <v>242</v>
      </c>
      <c r="H1548" s="11">
        <v>242</v>
      </c>
      <c r="I1548" s="11">
        <v>242</v>
      </c>
      <c r="J1548" s="11">
        <v>302</v>
      </c>
      <c r="K1548" s="11">
        <v>302</v>
      </c>
    </row>
    <row r="1549" spans="1:11" x14ac:dyDescent="0.25">
      <c r="A1549" s="11" t="s">
        <v>29</v>
      </c>
      <c r="B1549" s="72">
        <f>200+200*0.25</f>
        <v>250</v>
      </c>
      <c r="C1549" s="72">
        <f>200+200*0.25</f>
        <v>250</v>
      </c>
      <c r="D1549" s="72">
        <f t="shared" ref="D1549:K1549" si="61">D1548+B1548*0.25</f>
        <v>250</v>
      </c>
      <c r="E1549" s="72">
        <f t="shared" si="61"/>
        <v>265</v>
      </c>
      <c r="F1549" s="72">
        <f t="shared" si="61"/>
        <v>265</v>
      </c>
      <c r="G1549" s="72">
        <f t="shared" si="61"/>
        <v>295.75</v>
      </c>
      <c r="H1549" s="72">
        <f t="shared" si="61"/>
        <v>295.75</v>
      </c>
      <c r="I1549" s="72">
        <f t="shared" si="61"/>
        <v>302.5</v>
      </c>
      <c r="J1549" s="72">
        <f t="shared" si="61"/>
        <v>362.5</v>
      </c>
      <c r="K1549" s="72">
        <f t="shared" si="61"/>
        <v>362.5</v>
      </c>
    </row>
    <row r="1550" spans="1:11" x14ac:dyDescent="0.25">
      <c r="A1550" s="11" t="s">
        <v>30</v>
      </c>
      <c r="B1550" s="250" t="s">
        <v>410</v>
      </c>
      <c r="C1550" s="250" t="s">
        <v>410</v>
      </c>
      <c r="D1550" s="250" t="s">
        <v>410</v>
      </c>
      <c r="E1550" s="250" t="s">
        <v>411</v>
      </c>
      <c r="F1550" s="250" t="s">
        <v>411</v>
      </c>
      <c r="G1550" s="250" t="s">
        <v>430</v>
      </c>
      <c r="H1550" s="250" t="s">
        <v>430</v>
      </c>
      <c r="I1550" s="250" t="s">
        <v>803</v>
      </c>
      <c r="J1550" s="250" t="s">
        <v>1045</v>
      </c>
      <c r="K1550" s="250" t="s">
        <v>1045</v>
      </c>
    </row>
    <row r="1551" spans="1:11" x14ac:dyDescent="0.25">
      <c r="A1551" s="11" t="s">
        <v>31</v>
      </c>
      <c r="B1551" s="72">
        <v>2.19</v>
      </c>
      <c r="C1551" s="72">
        <v>0.38</v>
      </c>
      <c r="D1551" s="72">
        <v>7.19</v>
      </c>
      <c r="E1551" s="72">
        <v>0.28999999999999998</v>
      </c>
      <c r="F1551" s="12">
        <v>1.45</v>
      </c>
      <c r="G1551" s="11">
        <v>0.72</v>
      </c>
      <c r="H1551" s="11">
        <v>0.64</v>
      </c>
      <c r="I1551" s="11">
        <v>0.2</v>
      </c>
      <c r="J1551" s="11">
        <v>0</v>
      </c>
      <c r="K1551" s="11"/>
    </row>
    <row r="1552" spans="1:11" x14ac:dyDescent="0.25">
      <c r="A1552" s="11" t="s">
        <v>32</v>
      </c>
      <c r="B1552" s="72">
        <f t="shared" ref="B1552:J1552" si="62">B1549-B1551</f>
        <v>247.81</v>
      </c>
      <c r="C1552" s="72">
        <f t="shared" si="62"/>
        <v>249.62</v>
      </c>
      <c r="D1552" s="72">
        <f t="shared" si="62"/>
        <v>242.81</v>
      </c>
      <c r="E1552" s="72">
        <f t="shared" si="62"/>
        <v>264.70999999999998</v>
      </c>
      <c r="F1552" s="72">
        <f t="shared" si="62"/>
        <v>263.55</v>
      </c>
      <c r="G1552" s="12">
        <f t="shared" si="62"/>
        <v>295.02999999999997</v>
      </c>
      <c r="H1552" s="12">
        <f t="shared" si="62"/>
        <v>295.11</v>
      </c>
      <c r="I1552" s="12">
        <f t="shared" si="62"/>
        <v>302.3</v>
      </c>
      <c r="J1552" s="12">
        <f t="shared" si="62"/>
        <v>362.5</v>
      </c>
      <c r="K1552" s="12"/>
    </row>
    <row r="1553" spans="1:17" x14ac:dyDescent="0.25">
      <c r="A1553" s="16" t="s">
        <v>33</v>
      </c>
      <c r="B1553" s="157">
        <v>2018</v>
      </c>
      <c r="C1553" s="157">
        <v>2019</v>
      </c>
      <c r="D1553" s="473">
        <v>2020</v>
      </c>
      <c r="E1553" s="157">
        <v>2021</v>
      </c>
      <c r="F1553" s="157">
        <v>2022</v>
      </c>
      <c r="G1553" s="17">
        <v>2023</v>
      </c>
      <c r="H1553" s="17">
        <v>2024</v>
      </c>
      <c r="I1553" s="17">
        <v>2025</v>
      </c>
      <c r="J1553" s="17">
        <v>2026</v>
      </c>
      <c r="K1553" s="17">
        <v>2027</v>
      </c>
    </row>
    <row r="1554" spans="1:17" ht="13.2" customHeight="1" x14ac:dyDescent="0.25">
      <c r="A1554" s="10" t="s">
        <v>135</v>
      </c>
      <c r="B1554" s="36"/>
      <c r="C1554" s="36"/>
      <c r="D1554" s="36"/>
      <c r="E1554" s="36"/>
      <c r="F1554" s="36"/>
      <c r="G1554" s="36"/>
      <c r="H1554" s="37"/>
      <c r="I1554" s="37"/>
      <c r="J1554" s="37"/>
      <c r="K1554" s="37"/>
    </row>
    <row r="1555" spans="1:17" x14ac:dyDescent="0.25">
      <c r="A1555" s="2"/>
      <c r="B1555" s="2"/>
    </row>
    <row r="1556" spans="1:17" x14ac:dyDescent="0.25">
      <c r="A1556" s="6" t="s">
        <v>14</v>
      </c>
      <c r="B1556" s="7" t="s">
        <v>623</v>
      </c>
      <c r="C1556" s="471" t="s">
        <v>26</v>
      </c>
    </row>
    <row r="1557" spans="1:17" x14ac:dyDescent="0.25">
      <c r="A1557" s="168" t="s">
        <v>27</v>
      </c>
      <c r="B1557" s="272">
        <v>2013</v>
      </c>
      <c r="C1557" s="152">
        <v>2014</v>
      </c>
      <c r="D1557" s="472">
        <v>2015</v>
      </c>
      <c r="E1557" s="152">
        <v>2016</v>
      </c>
      <c r="F1557" s="152">
        <v>2017</v>
      </c>
      <c r="G1557" s="472">
        <v>2018</v>
      </c>
      <c r="H1557" s="152">
        <v>2019</v>
      </c>
      <c r="I1557" s="152">
        <v>2020</v>
      </c>
      <c r="J1557" s="152">
        <v>2021</v>
      </c>
      <c r="K1557" s="152">
        <v>2022</v>
      </c>
      <c r="L1557" s="152">
        <v>2023</v>
      </c>
      <c r="M1557" s="152">
        <v>2024</v>
      </c>
      <c r="N1557" s="152">
        <v>2025</v>
      </c>
    </row>
    <row r="1558" spans="1:17" x14ac:dyDescent="0.25">
      <c r="A1558" s="11" t="s">
        <v>28</v>
      </c>
      <c r="B1558" s="12">
        <v>200</v>
      </c>
      <c r="C1558" s="12">
        <v>200</v>
      </c>
      <c r="D1558" s="72">
        <v>200</v>
      </c>
      <c r="E1558" s="72">
        <v>200</v>
      </c>
      <c r="F1558" s="72">
        <v>200</v>
      </c>
      <c r="G1558" s="72">
        <v>200</v>
      </c>
      <c r="H1558" s="72">
        <v>200</v>
      </c>
      <c r="I1558" s="12">
        <v>200</v>
      </c>
      <c r="J1558" s="12">
        <v>200</v>
      </c>
      <c r="K1558" s="12">
        <v>200</v>
      </c>
      <c r="L1558" s="12">
        <v>200</v>
      </c>
      <c r="M1558" s="12">
        <v>200</v>
      </c>
      <c r="N1558" s="12">
        <v>200</v>
      </c>
    </row>
    <row r="1559" spans="1:17" x14ac:dyDescent="0.25">
      <c r="A1559" s="11" t="s">
        <v>29</v>
      </c>
      <c r="B1559" s="154">
        <f>(B1560)</f>
        <v>300</v>
      </c>
      <c r="C1559" s="154">
        <f>(C1560)</f>
        <v>300</v>
      </c>
      <c r="D1559" s="72">
        <v>300</v>
      </c>
      <c r="E1559" s="72">
        <v>300</v>
      </c>
      <c r="F1559" s="72">
        <v>300</v>
      </c>
      <c r="G1559" s="72">
        <v>280</v>
      </c>
      <c r="H1559" s="72">
        <v>280</v>
      </c>
      <c r="I1559" s="12">
        <v>280</v>
      </c>
      <c r="J1559" s="12">
        <v>280</v>
      </c>
      <c r="K1559" s="12">
        <v>280</v>
      </c>
      <c r="L1559" s="12">
        <v>280</v>
      </c>
      <c r="M1559" s="12">
        <v>280</v>
      </c>
      <c r="N1559" s="12">
        <f>(200+(200*0.4))</f>
        <v>280</v>
      </c>
    </row>
    <row r="1560" spans="1:17" x14ac:dyDescent="0.25">
      <c r="A1560" s="11" t="s">
        <v>30</v>
      </c>
      <c r="B1560" s="12">
        <f>(B1558*50%)+B1558</f>
        <v>300</v>
      </c>
      <c r="C1560" s="12">
        <f>(C1558*50%)+C1558</f>
        <v>300</v>
      </c>
      <c r="D1560" s="250" t="s">
        <v>247</v>
      </c>
      <c r="E1560" s="250" t="s">
        <v>247</v>
      </c>
      <c r="F1560" s="250" t="s">
        <v>247</v>
      </c>
      <c r="G1560" s="250" t="s">
        <v>248</v>
      </c>
      <c r="H1560" s="250" t="s">
        <v>248</v>
      </c>
      <c r="I1560" s="250" t="s">
        <v>248</v>
      </c>
      <c r="J1560" s="250" t="s">
        <v>248</v>
      </c>
      <c r="K1560" s="250" t="s">
        <v>248</v>
      </c>
      <c r="L1560" s="250" t="s">
        <v>248</v>
      </c>
      <c r="M1560" s="250" t="s">
        <v>248</v>
      </c>
      <c r="N1560" s="154" t="s">
        <v>248</v>
      </c>
    </row>
    <row r="1561" spans="1:17" x14ac:dyDescent="0.25">
      <c r="A1561" s="11" t="s">
        <v>31</v>
      </c>
      <c r="B1561" s="12">
        <v>32</v>
      </c>
      <c r="C1561" s="12">
        <v>32</v>
      </c>
      <c r="D1561" s="72">
        <v>31</v>
      </c>
      <c r="E1561" s="72">
        <v>36</v>
      </c>
      <c r="F1561" s="72">
        <v>64</v>
      </c>
      <c r="G1561" s="72">
        <v>45</v>
      </c>
      <c r="H1561" s="72">
        <v>30</v>
      </c>
      <c r="I1561" s="12">
        <v>21</v>
      </c>
      <c r="J1561" s="12">
        <v>25</v>
      </c>
      <c r="K1561" s="12">
        <v>22</v>
      </c>
      <c r="L1561" s="12">
        <v>26</v>
      </c>
      <c r="M1561" s="12">
        <v>20</v>
      </c>
      <c r="N1561" s="12"/>
    </row>
    <row r="1562" spans="1:17" x14ac:dyDescent="0.25">
      <c r="A1562" s="11" t="s">
        <v>32</v>
      </c>
      <c r="B1562" s="154">
        <f>(B1559-B1561)</f>
        <v>268</v>
      </c>
      <c r="C1562" s="154">
        <f>(C1559-C1561)</f>
        <v>268</v>
      </c>
      <c r="D1562" s="72">
        <f t="shared" ref="D1562:M1562" si="63">D1559-D1561</f>
        <v>269</v>
      </c>
      <c r="E1562" s="72">
        <f t="shared" si="63"/>
        <v>264</v>
      </c>
      <c r="F1562" s="72">
        <f t="shared" si="63"/>
        <v>236</v>
      </c>
      <c r="G1562" s="72">
        <f t="shared" si="63"/>
        <v>235</v>
      </c>
      <c r="H1562" s="72">
        <f t="shared" si="63"/>
        <v>250</v>
      </c>
      <c r="I1562" s="72">
        <f t="shared" si="63"/>
        <v>259</v>
      </c>
      <c r="J1562" s="72">
        <f t="shared" si="63"/>
        <v>255</v>
      </c>
      <c r="K1562" s="72">
        <f t="shared" si="63"/>
        <v>258</v>
      </c>
      <c r="L1562" s="72">
        <f t="shared" si="63"/>
        <v>254</v>
      </c>
      <c r="M1562" s="72">
        <f t="shared" si="63"/>
        <v>260</v>
      </c>
      <c r="N1562" s="12"/>
    </row>
    <row r="1563" spans="1:17" ht="13.2" customHeight="1" x14ac:dyDescent="0.25">
      <c r="A1563" s="16" t="s">
        <v>33</v>
      </c>
      <c r="B1563" s="157">
        <v>2015</v>
      </c>
      <c r="C1563" s="157">
        <v>2016</v>
      </c>
      <c r="D1563" s="157">
        <v>2017</v>
      </c>
      <c r="E1563" s="157">
        <v>2018</v>
      </c>
      <c r="F1563" s="157">
        <v>2019</v>
      </c>
      <c r="G1563" s="473">
        <v>2020</v>
      </c>
      <c r="H1563" s="157">
        <v>2021</v>
      </c>
      <c r="I1563" s="157">
        <v>2022</v>
      </c>
      <c r="J1563" s="157">
        <v>2023</v>
      </c>
      <c r="K1563" s="157">
        <v>2024</v>
      </c>
      <c r="L1563" s="157">
        <v>2025</v>
      </c>
      <c r="M1563" s="157">
        <v>2026</v>
      </c>
      <c r="N1563" s="178">
        <v>2027</v>
      </c>
    </row>
    <row r="1564" spans="1:17" ht="13.2" customHeight="1" x14ac:dyDescent="0.25">
      <c r="A1564" s="18" t="s">
        <v>502</v>
      </c>
      <c r="B1564" s="437"/>
      <c r="C1564" s="437"/>
      <c r="D1564" s="437"/>
      <c r="E1564" s="437"/>
      <c r="F1564" s="437"/>
      <c r="G1564" s="437"/>
      <c r="H1564" s="437"/>
      <c r="I1564" s="437"/>
      <c r="J1564" s="437"/>
      <c r="K1564" s="437"/>
      <c r="L1564" s="437"/>
      <c r="M1564" s="437"/>
      <c r="N1564" s="63"/>
    </row>
    <row r="1565" spans="1:17" x14ac:dyDescent="0.25">
      <c r="A1565" s="41" t="s">
        <v>503</v>
      </c>
      <c r="B1565" s="335"/>
      <c r="C1565" s="335"/>
      <c r="D1565" s="335"/>
      <c r="E1565" s="335"/>
      <c r="F1565" s="335"/>
      <c r="G1565" s="335"/>
      <c r="H1565" s="335"/>
      <c r="I1565" s="335"/>
      <c r="J1565" s="335"/>
      <c r="K1565" s="335"/>
      <c r="L1565" s="335"/>
      <c r="M1565" s="335"/>
      <c r="N1565" s="48"/>
    </row>
    <row r="1567" spans="1:17" ht="13.8" x14ac:dyDescent="0.25">
      <c r="A1567" s="6" t="s">
        <v>14</v>
      </c>
      <c r="B1567" s="7" t="s">
        <v>645</v>
      </c>
      <c r="C1567" s="7" t="s">
        <v>26</v>
      </c>
      <c r="O1567" s="474"/>
    </row>
    <row r="1568" spans="1:17" x14ac:dyDescent="0.25">
      <c r="A1568" s="41" t="s">
        <v>27</v>
      </c>
      <c r="B1568" s="272">
        <v>2010</v>
      </c>
      <c r="C1568" s="152">
        <v>2011</v>
      </c>
      <c r="D1568" s="152">
        <v>2012</v>
      </c>
      <c r="E1568" s="152">
        <v>2013</v>
      </c>
      <c r="F1568" s="152">
        <v>2014</v>
      </c>
      <c r="G1568" s="152">
        <v>2015</v>
      </c>
      <c r="H1568" s="152">
        <v>2016</v>
      </c>
      <c r="I1568" s="472">
        <v>2017</v>
      </c>
      <c r="J1568" s="152">
        <v>2018</v>
      </c>
      <c r="K1568" s="152">
        <v>2019</v>
      </c>
      <c r="L1568" s="152">
        <v>2020</v>
      </c>
      <c r="M1568" s="152">
        <v>2021</v>
      </c>
      <c r="N1568" s="152">
        <v>2022</v>
      </c>
      <c r="O1568" s="152">
        <v>2023</v>
      </c>
      <c r="P1568" s="152">
        <v>2024</v>
      </c>
      <c r="Q1568" s="152">
        <v>2025</v>
      </c>
    </row>
    <row r="1569" spans="1:17" x14ac:dyDescent="0.25">
      <c r="A1569" s="10" t="s">
        <v>28</v>
      </c>
      <c r="B1569" s="12">
        <v>95</v>
      </c>
      <c r="C1569" s="12">
        <v>95</v>
      </c>
      <c r="D1569" s="12">
        <v>95</v>
      </c>
      <c r="E1569" s="12">
        <v>95</v>
      </c>
      <c r="F1569" s="154">
        <v>95</v>
      </c>
      <c r="G1569" s="153">
        <v>108.98</v>
      </c>
      <c r="H1569" s="153">
        <v>108.98</v>
      </c>
      <c r="I1569" s="475">
        <v>108.98</v>
      </c>
      <c r="J1569" s="153">
        <v>128.44</v>
      </c>
      <c r="K1569" s="153">
        <v>128.44</v>
      </c>
      <c r="L1569" s="153">
        <v>128.44</v>
      </c>
      <c r="M1569" s="153">
        <v>128.44</v>
      </c>
      <c r="N1569" s="153">
        <v>149.34</v>
      </c>
      <c r="O1569" s="153">
        <v>149.34</v>
      </c>
      <c r="P1569" s="153">
        <v>149.34</v>
      </c>
      <c r="Q1569" s="153">
        <v>149.34</v>
      </c>
    </row>
    <row r="1570" spans="1:17" x14ac:dyDescent="0.25">
      <c r="A1570" s="10" t="s">
        <v>29</v>
      </c>
      <c r="B1570" s="154">
        <f>(B1571)</f>
        <v>56</v>
      </c>
      <c r="C1570" s="154">
        <f t="shared" ref="C1570:J1570" si="64">(C1571)</f>
        <v>137</v>
      </c>
      <c r="D1570" s="154">
        <f t="shared" si="64"/>
        <v>103.5</v>
      </c>
      <c r="E1570" s="154">
        <f t="shared" si="64"/>
        <v>147.9</v>
      </c>
      <c r="F1570" s="154">
        <f t="shared" si="64"/>
        <v>103.5</v>
      </c>
      <c r="G1570" s="153">
        <f t="shared" si="64"/>
        <v>74.980000000000018</v>
      </c>
      <c r="H1570" s="153">
        <f t="shared" si="64"/>
        <v>78.980000000000047</v>
      </c>
      <c r="I1570" s="475">
        <f t="shared" si="64"/>
        <v>76.980000000000047</v>
      </c>
      <c r="J1570" s="153">
        <f t="shared" si="64"/>
        <v>97.44000000000004</v>
      </c>
      <c r="K1570" s="153">
        <f t="shared" ref="K1570:O1570" si="65">K1571</f>
        <v>85.440000000000055</v>
      </c>
      <c r="L1570" s="12">
        <f t="shared" si="65"/>
        <v>95.440000000000055</v>
      </c>
      <c r="M1570" s="12">
        <f t="shared" si="65"/>
        <v>95.440000000000055</v>
      </c>
      <c r="N1570" s="12">
        <f t="shared" si="65"/>
        <v>122.78000000000006</v>
      </c>
      <c r="O1570" s="12">
        <f t="shared" si="65"/>
        <v>152.12000000000006</v>
      </c>
      <c r="P1570" s="12">
        <f>P1571</f>
        <v>202.46000000000006</v>
      </c>
      <c r="Q1570" s="153">
        <f>Q1571</f>
        <v>238.68</v>
      </c>
    </row>
    <row r="1571" spans="1:17" x14ac:dyDescent="0.25">
      <c r="A1571" s="10" t="s">
        <v>30</v>
      </c>
      <c r="B1571" s="153">
        <f>(B1569+47.5)-86.5</f>
        <v>56</v>
      </c>
      <c r="C1571" s="153">
        <f>(C1569+B1573)</f>
        <v>137</v>
      </c>
      <c r="D1571" s="153">
        <f>D1569+95-86.5</f>
        <v>103.5</v>
      </c>
      <c r="E1571" s="153">
        <f>E1569+D1573</f>
        <v>147.9</v>
      </c>
      <c r="F1571" s="153">
        <f>(F1569+95)-86.5</f>
        <v>103.5</v>
      </c>
      <c r="G1571" s="153">
        <f>(G1569+F1573)-86.5</f>
        <v>74.980000000000018</v>
      </c>
      <c r="H1571" s="153">
        <f>(H1569+G1573)-51.98</f>
        <v>78.980000000000047</v>
      </c>
      <c r="I1571" s="475">
        <f>(I1569+H1573)-55.98</f>
        <v>76.980000000000047</v>
      </c>
      <c r="J1571" s="153">
        <f>(J1569+I1573)-73.98</f>
        <v>97.44000000000004</v>
      </c>
      <c r="K1571" s="153">
        <f>K1569+J1573-60.44</f>
        <v>85.440000000000055</v>
      </c>
      <c r="L1571" s="12">
        <f>L1569+K1573-79.44</f>
        <v>95.440000000000055</v>
      </c>
      <c r="M1571" s="12">
        <f>M1569+L1573-100.44</f>
        <v>95.440000000000055</v>
      </c>
      <c r="N1571" s="12">
        <f>N1569+M1573-60</f>
        <v>122.78000000000006</v>
      </c>
      <c r="O1571" s="12">
        <f>O1569+N1573-60</f>
        <v>152.12000000000006</v>
      </c>
      <c r="P1571" s="12">
        <f>P1569-60+O1573</f>
        <v>202.46000000000006</v>
      </c>
      <c r="Q1571" s="129">
        <f>Q1569-60+P1569</f>
        <v>238.68</v>
      </c>
    </row>
    <row r="1572" spans="1:17" x14ac:dyDescent="0.25">
      <c r="A1572" s="10" t="s">
        <v>31</v>
      </c>
      <c r="B1572" s="154">
        <v>14</v>
      </c>
      <c r="C1572" s="154">
        <v>14</v>
      </c>
      <c r="D1572" s="154">
        <v>50.6</v>
      </c>
      <c r="E1572" s="154">
        <v>22</v>
      </c>
      <c r="F1572" s="154">
        <v>51</v>
      </c>
      <c r="G1572" s="154">
        <v>53</v>
      </c>
      <c r="H1572" s="154">
        <v>55</v>
      </c>
      <c r="I1572" s="476">
        <v>34</v>
      </c>
      <c r="J1572" s="154">
        <v>80</v>
      </c>
      <c r="K1572" s="154">
        <v>39</v>
      </c>
      <c r="L1572" s="12">
        <v>28</v>
      </c>
      <c r="M1572" s="12">
        <v>62</v>
      </c>
      <c r="N1572" s="12">
        <v>60</v>
      </c>
      <c r="O1572" s="12">
        <v>39</v>
      </c>
      <c r="P1572" s="12">
        <v>16</v>
      </c>
      <c r="Q1572" s="153"/>
    </row>
    <row r="1573" spans="1:17" x14ac:dyDescent="0.25">
      <c r="A1573" s="10" t="s">
        <v>32</v>
      </c>
      <c r="B1573" s="154">
        <f>(B1570-B1572)</f>
        <v>42</v>
      </c>
      <c r="C1573" s="154">
        <f t="shared" ref="C1573:J1573" si="66">(C1570-C1572)</f>
        <v>123</v>
      </c>
      <c r="D1573" s="154">
        <f t="shared" si="66"/>
        <v>52.9</v>
      </c>
      <c r="E1573" s="154">
        <f t="shared" si="66"/>
        <v>125.9</v>
      </c>
      <c r="F1573" s="154">
        <f t="shared" si="66"/>
        <v>52.5</v>
      </c>
      <c r="G1573" s="154">
        <f t="shared" si="66"/>
        <v>21.980000000000018</v>
      </c>
      <c r="H1573" s="154">
        <f t="shared" si="66"/>
        <v>23.980000000000047</v>
      </c>
      <c r="I1573" s="476">
        <f t="shared" si="66"/>
        <v>42.980000000000047</v>
      </c>
      <c r="J1573" s="154">
        <f t="shared" si="66"/>
        <v>17.44000000000004</v>
      </c>
      <c r="K1573" s="154">
        <f t="shared" ref="K1573:P1573" si="67">K1570-K1572</f>
        <v>46.440000000000055</v>
      </c>
      <c r="L1573" s="12">
        <f t="shared" si="67"/>
        <v>67.440000000000055</v>
      </c>
      <c r="M1573" s="12">
        <f t="shared" si="67"/>
        <v>33.440000000000055</v>
      </c>
      <c r="N1573" s="12">
        <f t="shared" si="67"/>
        <v>62.780000000000058</v>
      </c>
      <c r="O1573" s="12">
        <f t="shared" si="67"/>
        <v>113.12000000000006</v>
      </c>
      <c r="P1573" s="12">
        <f t="shared" si="67"/>
        <v>186.46000000000006</v>
      </c>
      <c r="Q1573" s="153"/>
    </row>
    <row r="1574" spans="1:17" x14ac:dyDescent="0.25">
      <c r="A1574" s="16" t="s">
        <v>33</v>
      </c>
      <c r="B1574" s="157">
        <v>2011</v>
      </c>
      <c r="C1574" s="157">
        <v>2012</v>
      </c>
      <c r="D1574" s="157">
        <v>2013</v>
      </c>
      <c r="E1574" s="157">
        <v>2014</v>
      </c>
      <c r="F1574" s="157">
        <v>2015</v>
      </c>
      <c r="G1574" s="157">
        <v>2016</v>
      </c>
      <c r="H1574" s="157">
        <v>2017</v>
      </c>
      <c r="I1574" s="473">
        <v>2018</v>
      </c>
      <c r="J1574" s="157">
        <v>2019</v>
      </c>
      <c r="K1574" s="157">
        <v>2020</v>
      </c>
      <c r="L1574" s="157">
        <v>2021</v>
      </c>
      <c r="M1574" s="157">
        <v>2022</v>
      </c>
      <c r="N1574" s="157">
        <v>2023</v>
      </c>
      <c r="O1574" s="157">
        <v>2024</v>
      </c>
      <c r="P1574" s="157">
        <v>2025</v>
      </c>
      <c r="Q1574" s="178">
        <v>2026</v>
      </c>
    </row>
    <row r="1575" spans="1:17" x14ac:dyDescent="0.25">
      <c r="A1575" s="29" t="s">
        <v>34</v>
      </c>
      <c r="B1575" s="30"/>
      <c r="C1575" s="30"/>
      <c r="D1575" s="30"/>
      <c r="E1575" s="30"/>
      <c r="F1575" s="30"/>
      <c r="G1575" s="30"/>
      <c r="H1575" s="30"/>
      <c r="I1575" s="30"/>
      <c r="J1575" s="30"/>
      <c r="K1575" s="30"/>
      <c r="L1575" s="30"/>
      <c r="M1575" s="30"/>
      <c r="N1575" s="30"/>
      <c r="O1575" s="30"/>
      <c r="P1575" s="30"/>
      <c r="Q1575" s="88"/>
    </row>
    <row r="1576" spans="1:17" x14ac:dyDescent="0.25">
      <c r="A1576" s="470" t="s">
        <v>35</v>
      </c>
      <c r="B1576" s="19"/>
      <c r="C1576" s="19"/>
      <c r="D1576" s="19"/>
      <c r="E1576" s="19"/>
      <c r="F1576" s="19"/>
      <c r="G1576" s="19"/>
      <c r="H1576" s="19"/>
      <c r="I1576" s="19"/>
      <c r="J1576" s="19"/>
      <c r="K1576" s="19"/>
      <c r="L1576" s="19"/>
      <c r="M1576" s="19"/>
      <c r="N1576" s="19"/>
      <c r="O1576" s="19"/>
      <c r="P1576" s="19"/>
      <c r="Q1576" s="63"/>
    </row>
    <row r="1577" spans="1:17" x14ac:dyDescent="0.25">
      <c r="A1577" s="56" t="s">
        <v>717</v>
      </c>
      <c r="Q1577" s="64"/>
    </row>
    <row r="1578" spans="1:17" x14ac:dyDescent="0.25">
      <c r="A1578" s="56" t="s">
        <v>718</v>
      </c>
      <c r="Q1578" s="64"/>
    </row>
    <row r="1579" spans="1:17" x14ac:dyDescent="0.25">
      <c r="A1579" s="56" t="s">
        <v>719</v>
      </c>
      <c r="Q1579" s="64"/>
    </row>
    <row r="1580" spans="1:17" x14ac:dyDescent="0.25">
      <c r="A1580" s="56" t="s">
        <v>720</v>
      </c>
      <c r="Q1580" s="64"/>
    </row>
    <row r="1581" spans="1:17" x14ac:dyDescent="0.25">
      <c r="A1581" s="39" t="s">
        <v>721</v>
      </c>
      <c r="Q1581" s="64"/>
    </row>
    <row r="1582" spans="1:17" x14ac:dyDescent="0.25">
      <c r="A1582" s="39" t="s">
        <v>722</v>
      </c>
      <c r="Q1582" s="64"/>
    </row>
    <row r="1583" spans="1:17" x14ac:dyDescent="0.25">
      <c r="A1583" s="39" t="s">
        <v>723</v>
      </c>
      <c r="Q1583" s="64"/>
    </row>
    <row r="1584" spans="1:17" x14ac:dyDescent="0.25">
      <c r="A1584" s="39" t="s">
        <v>724</v>
      </c>
      <c r="Q1584" s="64"/>
    </row>
    <row r="1585" spans="1:17" x14ac:dyDescent="0.25">
      <c r="A1585" s="39" t="s">
        <v>725</v>
      </c>
      <c r="Q1585" s="64"/>
    </row>
    <row r="1586" spans="1:17" x14ac:dyDescent="0.25">
      <c r="A1586" s="39" t="s">
        <v>726</v>
      </c>
      <c r="Q1586" s="64"/>
    </row>
    <row r="1587" spans="1:17" x14ac:dyDescent="0.25">
      <c r="A1587" s="39" t="s">
        <v>727</v>
      </c>
      <c r="Q1587" s="64"/>
    </row>
    <row r="1588" spans="1:17" x14ac:dyDescent="0.25">
      <c r="A1588" s="39" t="s">
        <v>804</v>
      </c>
      <c r="Q1588" s="64"/>
    </row>
    <row r="1589" spans="1:17" x14ac:dyDescent="0.25">
      <c r="A1589" s="39" t="s">
        <v>885</v>
      </c>
      <c r="Q1589" s="64"/>
    </row>
    <row r="1590" spans="1:17" x14ac:dyDescent="0.25">
      <c r="A1590" s="39" t="s">
        <v>1046</v>
      </c>
      <c r="Q1590" s="64"/>
    </row>
    <row r="1591" spans="1:17" x14ac:dyDescent="0.25">
      <c r="A1591" s="42" t="s">
        <v>1263</v>
      </c>
      <c r="B1591" s="34"/>
      <c r="C1591" s="34"/>
      <c r="D1591" s="34"/>
      <c r="E1591" s="34"/>
      <c r="F1591" s="34"/>
      <c r="G1591" s="34"/>
      <c r="H1591" s="34"/>
      <c r="I1591" s="34"/>
      <c r="J1591" s="34"/>
      <c r="K1591" s="34"/>
      <c r="L1591" s="34"/>
      <c r="M1591" s="34"/>
      <c r="N1591" s="34"/>
      <c r="O1591" s="34"/>
      <c r="P1591" s="34"/>
      <c r="Q1591" s="48"/>
    </row>
    <row r="1593" spans="1:17" x14ac:dyDescent="0.25">
      <c r="A1593" s="6" t="s">
        <v>14</v>
      </c>
      <c r="B1593" s="7" t="s">
        <v>74</v>
      </c>
      <c r="C1593" s="7" t="s">
        <v>26</v>
      </c>
    </row>
    <row r="1594" spans="1:17" x14ac:dyDescent="0.25">
      <c r="A1594" s="41" t="s">
        <v>27</v>
      </c>
      <c r="B1594" s="272">
        <v>2013</v>
      </c>
      <c r="C1594" s="152">
        <v>2014</v>
      </c>
      <c r="D1594" s="152">
        <v>2015</v>
      </c>
      <c r="E1594" s="472">
        <v>2016</v>
      </c>
      <c r="F1594" s="152">
        <v>2017</v>
      </c>
      <c r="G1594" s="472">
        <v>2018</v>
      </c>
      <c r="H1594" s="152">
        <v>2019</v>
      </c>
      <c r="I1594" s="152">
        <v>2020</v>
      </c>
      <c r="J1594" s="152">
        <v>2021</v>
      </c>
      <c r="K1594" s="152">
        <v>2022</v>
      </c>
      <c r="L1594" s="152">
        <v>2023</v>
      </c>
      <c r="M1594" s="152">
        <v>2024</v>
      </c>
      <c r="N1594" s="152">
        <v>2025</v>
      </c>
    </row>
    <row r="1595" spans="1:17" x14ac:dyDescent="0.25">
      <c r="A1595" s="10" t="s">
        <v>28</v>
      </c>
      <c r="B1595" s="12">
        <v>70</v>
      </c>
      <c r="C1595" s="12">
        <v>70</v>
      </c>
      <c r="D1595" s="12">
        <v>70</v>
      </c>
      <c r="E1595" s="12">
        <v>70</v>
      </c>
      <c r="F1595" s="154">
        <v>70</v>
      </c>
      <c r="G1595" s="154">
        <v>70</v>
      </c>
      <c r="H1595" s="154">
        <v>70</v>
      </c>
      <c r="I1595" s="12">
        <v>58.9</v>
      </c>
      <c r="J1595" s="12">
        <v>58.9</v>
      </c>
      <c r="K1595" s="12">
        <v>58.9</v>
      </c>
      <c r="L1595" s="12">
        <v>58.9</v>
      </c>
      <c r="M1595" s="12">
        <v>58.9</v>
      </c>
      <c r="N1595" s="12">
        <v>58.9</v>
      </c>
    </row>
    <row r="1596" spans="1:17" x14ac:dyDescent="0.25">
      <c r="A1596" s="10" t="s">
        <v>29</v>
      </c>
      <c r="B1596" s="12">
        <f>(B1597)</f>
        <v>-15</v>
      </c>
      <c r="C1596" s="12">
        <f t="shared" ref="C1596:H1596" si="68">(C1597)</f>
        <v>3</v>
      </c>
      <c r="D1596" s="12">
        <v>55</v>
      </c>
      <c r="E1596" s="12">
        <f t="shared" si="68"/>
        <v>56</v>
      </c>
      <c r="F1596" s="12">
        <f t="shared" si="68"/>
        <v>61</v>
      </c>
      <c r="G1596" s="154">
        <f t="shared" si="68"/>
        <v>71</v>
      </c>
      <c r="H1596" s="154">
        <f t="shared" si="68"/>
        <v>73</v>
      </c>
      <c r="I1596" s="12">
        <v>65.900000000000006</v>
      </c>
      <c r="J1596" s="12"/>
      <c r="K1596" s="12"/>
      <c r="L1596" s="12"/>
      <c r="M1596" s="12"/>
      <c r="N1596" s="12"/>
    </row>
    <row r="1597" spans="1:17" x14ac:dyDescent="0.25">
      <c r="A1597" s="10" t="s">
        <v>30</v>
      </c>
      <c r="B1597" s="154">
        <f>(B1595-B1598)</f>
        <v>-15</v>
      </c>
      <c r="C1597" s="154">
        <f>(C1595-C1598)</f>
        <v>3</v>
      </c>
      <c r="D1597" s="154">
        <f>D1595+B1599</f>
        <v>55</v>
      </c>
      <c r="E1597" s="154">
        <f>E1595+D1599+C1599</f>
        <v>56</v>
      </c>
      <c r="F1597" s="154">
        <f>F1595+E1599</f>
        <v>61</v>
      </c>
      <c r="G1597" s="154">
        <f>G1595+F1599</f>
        <v>71</v>
      </c>
      <c r="H1597" s="154">
        <f>H1595+G1599</f>
        <v>73</v>
      </c>
      <c r="I1597" s="12">
        <f>I1595+0.1*H1595</f>
        <v>65.900000000000006</v>
      </c>
      <c r="J1597" s="12"/>
      <c r="K1597" s="12"/>
      <c r="L1597" s="12"/>
      <c r="M1597" s="12"/>
      <c r="N1597" s="12"/>
    </row>
    <row r="1598" spans="1:17" x14ac:dyDescent="0.25">
      <c r="A1598" s="10" t="s">
        <v>36</v>
      </c>
      <c r="B1598" s="154">
        <v>85</v>
      </c>
      <c r="C1598" s="154">
        <v>67</v>
      </c>
      <c r="D1598" s="154">
        <v>72</v>
      </c>
      <c r="E1598" s="154">
        <v>65</v>
      </c>
      <c r="F1598" s="154">
        <v>60</v>
      </c>
      <c r="G1598" s="154">
        <v>68</v>
      </c>
      <c r="H1598" s="154">
        <v>51</v>
      </c>
      <c r="I1598" s="12">
        <v>39</v>
      </c>
      <c r="J1598" s="12">
        <v>43</v>
      </c>
      <c r="K1598" s="12">
        <v>29</v>
      </c>
      <c r="L1598" s="12">
        <v>43</v>
      </c>
      <c r="M1598" s="12">
        <v>35</v>
      </c>
      <c r="N1598" s="12"/>
    </row>
    <row r="1599" spans="1:17" x14ac:dyDescent="0.25">
      <c r="A1599" s="10" t="s">
        <v>37</v>
      </c>
      <c r="B1599" s="12">
        <f>(B1597)</f>
        <v>-15</v>
      </c>
      <c r="C1599" s="12">
        <f>(C1597)</f>
        <v>3</v>
      </c>
      <c r="D1599" s="12">
        <f t="shared" ref="D1599:I1599" si="69">D1596-D1598</f>
        <v>-17</v>
      </c>
      <c r="E1599" s="12">
        <f t="shared" si="69"/>
        <v>-9</v>
      </c>
      <c r="F1599" s="12">
        <f t="shared" si="69"/>
        <v>1</v>
      </c>
      <c r="G1599" s="154">
        <f t="shared" si="69"/>
        <v>3</v>
      </c>
      <c r="H1599" s="154">
        <f t="shared" si="69"/>
        <v>22</v>
      </c>
      <c r="I1599" s="12">
        <f t="shared" si="69"/>
        <v>26.900000000000006</v>
      </c>
      <c r="J1599" s="12">
        <f>J1595-J1598</f>
        <v>15.899999999999999</v>
      </c>
      <c r="K1599" s="12">
        <f>K1595-K1598</f>
        <v>29.9</v>
      </c>
      <c r="L1599" s="12">
        <f>L1595-L1598</f>
        <v>15.899999999999999</v>
      </c>
      <c r="M1599" s="12">
        <f>M1595-M1598</f>
        <v>23.9</v>
      </c>
      <c r="N1599" s="12"/>
    </row>
    <row r="1600" spans="1:17" x14ac:dyDescent="0.25">
      <c r="A1600" s="16" t="s">
        <v>33</v>
      </c>
      <c r="B1600" s="454">
        <v>2015</v>
      </c>
      <c r="C1600" s="454">
        <v>2016</v>
      </c>
      <c r="D1600" s="454">
        <v>2016</v>
      </c>
      <c r="E1600" s="454">
        <v>2017</v>
      </c>
      <c r="F1600" s="454">
        <v>2018</v>
      </c>
      <c r="G1600" s="454">
        <v>2019</v>
      </c>
      <c r="H1600" s="454">
        <v>2020</v>
      </c>
      <c r="I1600" s="157"/>
      <c r="J1600" s="157"/>
      <c r="K1600" s="157"/>
      <c r="L1600" s="157">
        <v>2024</v>
      </c>
      <c r="M1600" s="477">
        <v>2025</v>
      </c>
      <c r="N1600" s="477">
        <v>2026</v>
      </c>
    </row>
    <row r="1601" spans="1:14" x14ac:dyDescent="0.25">
      <c r="A1601" s="29" t="s">
        <v>34</v>
      </c>
      <c r="B1601" s="30"/>
      <c r="C1601" s="30"/>
      <c r="D1601" s="30"/>
      <c r="E1601" s="30"/>
      <c r="F1601" s="30"/>
      <c r="G1601" s="30"/>
      <c r="H1601" s="30"/>
      <c r="I1601" s="30"/>
      <c r="J1601" s="30"/>
      <c r="K1601" s="30"/>
      <c r="L1601" s="30"/>
      <c r="M1601" s="30"/>
      <c r="N1601" s="88"/>
    </row>
    <row r="1602" spans="1:14" x14ac:dyDescent="0.25">
      <c r="A1602" s="470" t="s">
        <v>311</v>
      </c>
      <c r="B1602" s="19"/>
      <c r="C1602" s="19"/>
      <c r="D1602" s="19"/>
      <c r="E1602" s="19"/>
      <c r="F1602" s="19"/>
      <c r="G1602" s="19"/>
      <c r="H1602" s="19"/>
      <c r="I1602" s="19"/>
      <c r="J1602" s="19"/>
      <c r="K1602" s="19"/>
      <c r="L1602" s="19"/>
      <c r="M1602" s="19"/>
      <c r="N1602" s="63"/>
    </row>
    <row r="1603" spans="1:14" x14ac:dyDescent="0.25">
      <c r="A1603" s="39" t="s">
        <v>312</v>
      </c>
      <c r="N1603" s="64"/>
    </row>
    <row r="1604" spans="1:14" x14ac:dyDescent="0.25">
      <c r="A1604" s="56" t="s">
        <v>313</v>
      </c>
      <c r="N1604" s="64"/>
    </row>
    <row r="1605" spans="1:14" x14ac:dyDescent="0.25">
      <c r="A1605" s="56" t="s">
        <v>314</v>
      </c>
      <c r="N1605" s="64"/>
    </row>
    <row r="1606" spans="1:14" x14ac:dyDescent="0.25">
      <c r="A1606" s="39" t="s">
        <v>305</v>
      </c>
      <c r="N1606" s="64"/>
    </row>
    <row r="1607" spans="1:14" x14ac:dyDescent="0.25">
      <c r="A1607" s="39" t="s">
        <v>407</v>
      </c>
      <c r="N1607" s="64"/>
    </row>
    <row r="1608" spans="1:14" x14ac:dyDescent="0.25">
      <c r="A1608" s="148" t="s">
        <v>1188</v>
      </c>
      <c r="N1608" s="64"/>
    </row>
    <row r="1609" spans="1:14" x14ac:dyDescent="0.25">
      <c r="A1609" s="148" t="s">
        <v>1189</v>
      </c>
      <c r="N1609" s="64"/>
    </row>
    <row r="1610" spans="1:14" x14ac:dyDescent="0.25">
      <c r="A1610" s="148" t="s">
        <v>1190</v>
      </c>
      <c r="N1610" s="64"/>
    </row>
    <row r="1611" spans="1:14" x14ac:dyDescent="0.25">
      <c r="A1611" s="42" t="s">
        <v>1191</v>
      </c>
      <c r="B1611" s="34"/>
      <c r="C1611" s="34"/>
      <c r="D1611" s="34"/>
      <c r="E1611" s="34"/>
      <c r="F1611" s="34"/>
      <c r="G1611" s="34"/>
      <c r="H1611" s="34"/>
      <c r="I1611" s="34"/>
      <c r="J1611" s="34"/>
      <c r="K1611" s="34"/>
      <c r="L1611" s="34"/>
      <c r="M1611" s="34"/>
      <c r="N1611" s="48"/>
    </row>
    <row r="1613" spans="1:14" x14ac:dyDescent="0.25">
      <c r="A1613" s="6" t="s">
        <v>14</v>
      </c>
      <c r="B1613" s="7" t="s">
        <v>79</v>
      </c>
      <c r="C1613" s="7" t="s">
        <v>26</v>
      </c>
    </row>
    <row r="1614" spans="1:14" x14ac:dyDescent="0.25">
      <c r="A1614" s="168" t="s">
        <v>27</v>
      </c>
      <c r="B1614" s="272">
        <v>2013</v>
      </c>
      <c r="C1614" s="152">
        <v>2014</v>
      </c>
      <c r="D1614" s="152">
        <v>2015</v>
      </c>
      <c r="E1614" s="152">
        <v>2016</v>
      </c>
      <c r="F1614" s="152">
        <v>2017</v>
      </c>
      <c r="G1614" s="472">
        <v>2018</v>
      </c>
      <c r="H1614" s="472">
        <v>2019</v>
      </c>
      <c r="I1614" s="152">
        <v>2020</v>
      </c>
      <c r="J1614" s="152">
        <v>2021</v>
      </c>
      <c r="K1614" s="152">
        <v>2022</v>
      </c>
      <c r="L1614" s="152">
        <v>2023</v>
      </c>
      <c r="M1614" s="152">
        <v>2024</v>
      </c>
      <c r="N1614" s="152">
        <v>2025</v>
      </c>
    </row>
    <row r="1615" spans="1:14" x14ac:dyDescent="0.25">
      <c r="A1615" s="11" t="s">
        <v>28</v>
      </c>
      <c r="B1615" s="12">
        <v>25</v>
      </c>
      <c r="C1615" s="12">
        <v>25</v>
      </c>
      <c r="D1615" s="12">
        <v>25</v>
      </c>
      <c r="E1615" s="12">
        <v>25</v>
      </c>
      <c r="F1615" s="154">
        <v>25</v>
      </c>
      <c r="G1615" s="475">
        <v>25</v>
      </c>
      <c r="H1615" s="475">
        <v>25</v>
      </c>
      <c r="I1615" s="12">
        <v>25</v>
      </c>
      <c r="J1615" s="12">
        <v>25</v>
      </c>
      <c r="K1615" s="12">
        <v>25</v>
      </c>
      <c r="L1615" s="12">
        <v>25</v>
      </c>
      <c r="M1615" s="12">
        <v>25</v>
      </c>
      <c r="N1615" s="12">
        <v>25</v>
      </c>
    </row>
    <row r="1616" spans="1:14" x14ac:dyDescent="0.25">
      <c r="A1616" s="11" t="s">
        <v>29</v>
      </c>
      <c r="B1616" s="12">
        <f>(B1617)</f>
        <v>-5</v>
      </c>
      <c r="C1616" s="12">
        <v>25</v>
      </c>
      <c r="D1616" s="12">
        <f>(D1617)</f>
        <v>25</v>
      </c>
      <c r="E1616" s="12">
        <f>(E1617)</f>
        <v>24</v>
      </c>
      <c r="F1616" s="12">
        <f>F1615</f>
        <v>25</v>
      </c>
      <c r="G1616" s="475">
        <v>29</v>
      </c>
      <c r="H1616" s="475">
        <f>H1615+5</f>
        <v>30</v>
      </c>
      <c r="I1616" s="12">
        <f>I1617</f>
        <v>30</v>
      </c>
      <c r="J1616" s="12">
        <f>J1617</f>
        <v>30</v>
      </c>
      <c r="K1616" s="12"/>
      <c r="L1616" s="12"/>
      <c r="M1616" s="90"/>
      <c r="N1616" s="90"/>
    </row>
    <row r="1617" spans="1:14" x14ac:dyDescent="0.25">
      <c r="A1617" s="11" t="s">
        <v>30</v>
      </c>
      <c r="B1617" s="154">
        <f>(B1615-B1618)</f>
        <v>-5</v>
      </c>
      <c r="C1617" s="154">
        <v>25</v>
      </c>
      <c r="D1617" s="154">
        <f>D1615+B1619+C1619</f>
        <v>25</v>
      </c>
      <c r="E1617" s="154">
        <f>E1615+D1619</f>
        <v>24</v>
      </c>
      <c r="F1617" s="154">
        <v>25</v>
      </c>
      <c r="G1617" s="475">
        <v>29</v>
      </c>
      <c r="H1617" s="475">
        <f>H1615+5</f>
        <v>30</v>
      </c>
      <c r="I1617" s="12">
        <f>I1615+0.2*G1615</f>
        <v>30</v>
      </c>
      <c r="J1617" s="12">
        <f>J1615+0.2*H1615</f>
        <v>30</v>
      </c>
      <c r="K1617" s="12"/>
      <c r="L1617" s="12"/>
      <c r="M1617" s="90"/>
      <c r="N1617" s="90"/>
    </row>
    <row r="1618" spans="1:14" x14ac:dyDescent="0.25">
      <c r="A1618" s="11" t="s">
        <v>36</v>
      </c>
      <c r="B1618" s="154">
        <v>30</v>
      </c>
      <c r="C1618" s="154">
        <v>20</v>
      </c>
      <c r="D1618" s="154">
        <v>26</v>
      </c>
      <c r="E1618" s="154">
        <v>20</v>
      </c>
      <c r="F1618" s="154">
        <v>12</v>
      </c>
      <c r="G1618" s="475">
        <v>15.89</v>
      </c>
      <c r="H1618" s="475">
        <v>9</v>
      </c>
      <c r="I1618" s="12">
        <v>10</v>
      </c>
      <c r="J1618" s="12">
        <v>12</v>
      </c>
      <c r="K1618" s="12">
        <v>8</v>
      </c>
      <c r="L1618" s="12">
        <v>8</v>
      </c>
      <c r="M1618" s="129">
        <v>9</v>
      </c>
      <c r="N1618" s="90"/>
    </row>
    <row r="1619" spans="1:14" x14ac:dyDescent="0.25">
      <c r="A1619" s="11" t="s">
        <v>37</v>
      </c>
      <c r="B1619" s="12">
        <v>-5</v>
      </c>
      <c r="C1619" s="12">
        <v>5</v>
      </c>
      <c r="D1619" s="12">
        <f>D1616-D1618</f>
        <v>-1</v>
      </c>
      <c r="E1619" s="284">
        <f>E1616-E1618</f>
        <v>4</v>
      </c>
      <c r="F1619" s="12">
        <f>F1616-F1618</f>
        <v>13</v>
      </c>
      <c r="G1619" s="475">
        <v>13.11</v>
      </c>
      <c r="H1619" s="475">
        <f>H1616-H1618</f>
        <v>21</v>
      </c>
      <c r="I1619" s="475">
        <f>I1616-I1618</f>
        <v>20</v>
      </c>
      <c r="J1619" s="12">
        <f>J1616-J1618</f>
        <v>18</v>
      </c>
      <c r="K1619" s="12">
        <f>K1615-K1618</f>
        <v>17</v>
      </c>
      <c r="L1619" s="12">
        <f>L1615-L1618</f>
        <v>17</v>
      </c>
      <c r="M1619" s="129">
        <f>M1615-M1618</f>
        <v>16</v>
      </c>
      <c r="N1619" s="90"/>
    </row>
    <row r="1620" spans="1:14" x14ac:dyDescent="0.25">
      <c r="A1620" s="17" t="s">
        <v>33</v>
      </c>
      <c r="B1620" s="454">
        <v>2015</v>
      </c>
      <c r="C1620" s="454">
        <v>2016</v>
      </c>
      <c r="D1620" s="454">
        <v>2017</v>
      </c>
      <c r="E1620" s="454">
        <v>2018</v>
      </c>
      <c r="F1620" s="157">
        <v>2019</v>
      </c>
      <c r="G1620" s="157">
        <v>2020</v>
      </c>
      <c r="H1620" s="473">
        <v>2021</v>
      </c>
      <c r="I1620" s="90">
        <v>2022</v>
      </c>
      <c r="J1620" s="90">
        <v>2023</v>
      </c>
      <c r="K1620" s="90">
        <v>2024</v>
      </c>
      <c r="L1620" s="90">
        <v>2025</v>
      </c>
      <c r="M1620" s="90">
        <v>2026</v>
      </c>
      <c r="N1620" s="90">
        <v>2027</v>
      </c>
    </row>
    <row r="1621" spans="1:14" x14ac:dyDescent="0.25">
      <c r="A1621" s="29" t="s">
        <v>34</v>
      </c>
      <c r="B1621" s="30"/>
      <c r="C1621" s="30"/>
      <c r="D1621" s="30"/>
      <c r="E1621" s="30"/>
      <c r="F1621" s="30"/>
      <c r="G1621" s="30"/>
      <c r="H1621" s="30"/>
      <c r="I1621" s="30"/>
      <c r="J1621" s="30"/>
      <c r="K1621" s="30"/>
      <c r="L1621" s="30"/>
      <c r="M1621" s="30"/>
      <c r="N1621" s="88"/>
    </row>
    <row r="1622" spans="1:14" x14ac:dyDescent="0.25">
      <c r="A1622" s="470" t="s">
        <v>306</v>
      </c>
      <c r="B1622" s="19"/>
      <c r="C1622" s="19"/>
      <c r="D1622" s="19"/>
      <c r="E1622" s="19"/>
      <c r="F1622" s="19"/>
      <c r="G1622" s="19"/>
      <c r="H1622" s="19"/>
      <c r="I1622" s="19"/>
      <c r="J1622" s="19"/>
      <c r="K1622" s="19"/>
      <c r="L1622" s="19"/>
      <c r="M1622" s="19"/>
      <c r="N1622" s="63"/>
    </row>
    <row r="1623" spans="1:14" x14ac:dyDescent="0.25">
      <c r="A1623" s="39" t="s">
        <v>307</v>
      </c>
      <c r="N1623" s="64"/>
    </row>
    <row r="1624" spans="1:14" x14ac:dyDescent="0.25">
      <c r="A1624" s="56" t="s">
        <v>308</v>
      </c>
      <c r="N1624" s="64"/>
    </row>
    <row r="1625" spans="1:14" x14ac:dyDescent="0.25">
      <c r="A1625" s="56" t="s">
        <v>309</v>
      </c>
      <c r="N1625" s="64"/>
    </row>
    <row r="1626" spans="1:14" x14ac:dyDescent="0.25">
      <c r="A1626" s="39" t="s">
        <v>310</v>
      </c>
      <c r="N1626" s="64"/>
    </row>
    <row r="1627" spans="1:14" x14ac:dyDescent="0.25">
      <c r="A1627" s="39" t="s">
        <v>408</v>
      </c>
      <c r="N1627" s="64"/>
    </row>
    <row r="1628" spans="1:14" x14ac:dyDescent="0.25">
      <c r="A1628" s="41" t="s">
        <v>409</v>
      </c>
      <c r="B1628" s="34"/>
      <c r="C1628" s="34"/>
      <c r="D1628" s="34"/>
      <c r="E1628" s="34"/>
      <c r="F1628" s="34"/>
      <c r="G1628" s="34"/>
      <c r="H1628" s="34"/>
      <c r="I1628" s="34"/>
      <c r="J1628" s="34"/>
      <c r="K1628" s="34"/>
      <c r="L1628" s="34"/>
      <c r="M1628" s="34"/>
      <c r="N1628" s="48"/>
    </row>
    <row r="1631" spans="1:14" x14ac:dyDescent="0.25">
      <c r="A1631" s="98" t="s">
        <v>12</v>
      </c>
      <c r="B1631" s="66" t="s">
        <v>453</v>
      </c>
      <c r="C1631" s="8"/>
      <c r="D1631" s="8"/>
      <c r="E1631" s="8"/>
      <c r="F1631" s="8"/>
      <c r="G1631" s="8"/>
    </row>
    <row r="1632" spans="1:14" x14ac:dyDescent="0.25">
      <c r="A1632" s="98" t="s">
        <v>14</v>
      </c>
      <c r="B1632" s="66" t="s">
        <v>638</v>
      </c>
      <c r="C1632" s="66" t="s">
        <v>15</v>
      </c>
      <c r="D1632" s="8"/>
      <c r="E1632" s="8"/>
      <c r="F1632" s="8"/>
      <c r="G1632" s="8"/>
    </row>
    <row r="1633" spans="1:13" x14ac:dyDescent="0.25">
      <c r="A1633" s="95" t="s">
        <v>16</v>
      </c>
      <c r="B1633" s="245"/>
      <c r="C1633" s="261">
        <v>2016</v>
      </c>
      <c r="D1633" s="339">
        <v>2017</v>
      </c>
      <c r="E1633" s="339">
        <v>2018</v>
      </c>
      <c r="F1633" s="339">
        <v>2019</v>
      </c>
      <c r="G1633" s="339">
        <v>2020</v>
      </c>
      <c r="H1633" s="339">
        <v>2021</v>
      </c>
      <c r="I1633" s="339">
        <v>2022</v>
      </c>
      <c r="J1633" s="339" t="s">
        <v>837</v>
      </c>
      <c r="K1633" s="339" t="s">
        <v>838</v>
      </c>
      <c r="L1633" s="339" t="s">
        <v>839</v>
      </c>
      <c r="M1633" s="339" t="s">
        <v>1123</v>
      </c>
    </row>
    <row r="1634" spans="1:13" x14ac:dyDescent="0.25">
      <c r="A1634" s="68" t="s">
        <v>17</v>
      </c>
      <c r="B1634" s="69"/>
      <c r="C1634" s="72">
        <v>3600</v>
      </c>
      <c r="D1634" s="97">
        <v>3600</v>
      </c>
      <c r="E1634" s="97">
        <v>3600</v>
      </c>
      <c r="F1634" s="97">
        <v>3600</v>
      </c>
      <c r="G1634" s="97">
        <v>3600</v>
      </c>
      <c r="H1634" s="97">
        <v>3600</v>
      </c>
      <c r="I1634" s="97">
        <v>3600</v>
      </c>
      <c r="J1634" s="97">
        <v>4320</v>
      </c>
      <c r="K1634" s="97">
        <v>4320</v>
      </c>
      <c r="L1634" s="97">
        <v>4320</v>
      </c>
      <c r="M1634" s="97">
        <v>4320</v>
      </c>
    </row>
    <row r="1635" spans="1:13" x14ac:dyDescent="0.25">
      <c r="A1635" s="68" t="s">
        <v>18</v>
      </c>
      <c r="B1635" s="69"/>
      <c r="C1635" s="478">
        <f>C1634+0.25*C1634</f>
        <v>4500</v>
      </c>
      <c r="D1635" s="478">
        <v>4477</v>
      </c>
      <c r="E1635" s="478">
        <f>E1634+0.25*E1634</f>
        <v>4500</v>
      </c>
      <c r="F1635" s="478">
        <f>F1634+0.25*F1634</f>
        <v>4500</v>
      </c>
      <c r="G1635" s="478">
        <f>G1634+0.25*G1634</f>
        <v>4500</v>
      </c>
      <c r="H1635" s="478">
        <f>H1634+0.25*H1634</f>
        <v>4500</v>
      </c>
      <c r="I1635" s="478">
        <f>I1634+0.25*I1634</f>
        <v>4500</v>
      </c>
      <c r="J1635" s="478">
        <f>J1634+0.25*H1634</f>
        <v>5220</v>
      </c>
      <c r="K1635" s="478">
        <f>K1634+I1638</f>
        <v>2075</v>
      </c>
      <c r="L1635" s="478">
        <f>L1634</f>
        <v>4320</v>
      </c>
      <c r="M1635" s="478">
        <v>5400</v>
      </c>
    </row>
    <row r="1636" spans="1:13" ht="39.6" x14ac:dyDescent="0.25">
      <c r="A1636" s="68" t="s">
        <v>19</v>
      </c>
      <c r="B1636" s="432"/>
      <c r="C1636" s="478" t="s">
        <v>835</v>
      </c>
      <c r="D1636" s="478" t="s">
        <v>835</v>
      </c>
      <c r="E1636" s="478" t="s">
        <v>835</v>
      </c>
      <c r="F1636" s="478" t="s">
        <v>835</v>
      </c>
      <c r="G1636" s="478" t="s">
        <v>835</v>
      </c>
      <c r="H1636" s="478" t="s">
        <v>835</v>
      </c>
      <c r="I1636" s="478" t="s">
        <v>835</v>
      </c>
      <c r="J1636" s="478" t="s">
        <v>836</v>
      </c>
      <c r="K1636" s="479" t="s">
        <v>841</v>
      </c>
      <c r="L1636" s="479" t="s">
        <v>842</v>
      </c>
      <c r="M1636" s="478" t="s">
        <v>1259</v>
      </c>
    </row>
    <row r="1637" spans="1:13" x14ac:dyDescent="0.25">
      <c r="A1637" s="68" t="s">
        <v>20</v>
      </c>
      <c r="B1637" s="69"/>
      <c r="C1637" s="72">
        <v>994</v>
      </c>
      <c r="D1637" s="97">
        <v>365.62</v>
      </c>
      <c r="E1637" s="97">
        <v>888.8</v>
      </c>
      <c r="F1637" s="97">
        <v>966.50400000000002</v>
      </c>
      <c r="G1637" s="97">
        <v>2165.75</v>
      </c>
      <c r="H1637" s="97">
        <v>3412.63</v>
      </c>
      <c r="I1637" s="97">
        <v>6745</v>
      </c>
      <c r="J1637" s="97">
        <v>4856.4380000000001</v>
      </c>
      <c r="K1637" s="97">
        <v>458.31599999999997</v>
      </c>
      <c r="L1637" s="97"/>
      <c r="M1637" s="97"/>
    </row>
    <row r="1638" spans="1:13" x14ac:dyDescent="0.25">
      <c r="A1638" s="68" t="s">
        <v>21</v>
      </c>
      <c r="B1638" s="69"/>
      <c r="C1638" s="72">
        <f>C1635-C1637</f>
        <v>3506</v>
      </c>
      <c r="D1638" s="72">
        <f t="shared" ref="D1638:K1638" si="70">D1635-D1637</f>
        <v>4111.38</v>
      </c>
      <c r="E1638" s="72">
        <f t="shared" si="70"/>
        <v>3611.2</v>
      </c>
      <c r="F1638" s="72">
        <f t="shared" si="70"/>
        <v>3533.4960000000001</v>
      </c>
      <c r="G1638" s="72">
        <f t="shared" si="70"/>
        <v>2334.25</v>
      </c>
      <c r="H1638" s="72">
        <f t="shared" si="70"/>
        <v>1087.3699999999999</v>
      </c>
      <c r="I1638" s="72">
        <f t="shared" si="70"/>
        <v>-2245</v>
      </c>
      <c r="J1638" s="72">
        <f t="shared" si="70"/>
        <v>363.5619999999999</v>
      </c>
      <c r="K1638" s="72">
        <f t="shared" si="70"/>
        <v>1616.684</v>
      </c>
      <c r="L1638" s="72"/>
      <c r="M1638" s="72"/>
    </row>
    <row r="1639" spans="1:13" x14ac:dyDescent="0.25">
      <c r="A1639" s="68" t="s">
        <v>22</v>
      </c>
      <c r="B1639" s="69"/>
      <c r="C1639" s="246">
        <v>2018</v>
      </c>
      <c r="D1639" s="246">
        <v>2019</v>
      </c>
      <c r="E1639" s="246">
        <v>2020</v>
      </c>
      <c r="F1639" s="246">
        <v>2021</v>
      </c>
      <c r="G1639" s="246">
        <v>2022</v>
      </c>
      <c r="H1639" s="246">
        <v>2023</v>
      </c>
      <c r="I1639" s="246">
        <v>2024</v>
      </c>
      <c r="J1639" s="246">
        <v>2025</v>
      </c>
      <c r="K1639" s="246">
        <v>2026</v>
      </c>
      <c r="L1639" s="246">
        <v>2027</v>
      </c>
      <c r="M1639" s="246">
        <v>2028</v>
      </c>
    </row>
    <row r="1640" spans="1:13" x14ac:dyDescent="0.25">
      <c r="A1640" s="740" t="s">
        <v>23</v>
      </c>
      <c r="B1640" s="741"/>
      <c r="C1640" s="741"/>
      <c r="D1640" s="741"/>
      <c r="E1640" s="741"/>
      <c r="F1640" s="480"/>
      <c r="G1640" s="480"/>
      <c r="H1640" s="480"/>
      <c r="I1640" s="480"/>
      <c r="J1640" s="480"/>
      <c r="K1640" s="480"/>
      <c r="L1640" s="480"/>
      <c r="M1640" s="88"/>
    </row>
    <row r="1641" spans="1:13" x14ac:dyDescent="0.25">
      <c r="A1641" s="434" t="s">
        <v>840</v>
      </c>
      <c r="B1641" s="435"/>
      <c r="C1641" s="435"/>
      <c r="D1641" s="435"/>
      <c r="E1641" s="435"/>
      <c r="F1641" s="480"/>
      <c r="G1641" s="480"/>
      <c r="H1641" s="30"/>
      <c r="I1641" s="30"/>
      <c r="J1641" s="30"/>
      <c r="K1641" s="30"/>
      <c r="L1641" s="30"/>
      <c r="M1641" s="88"/>
    </row>
    <row r="1643" spans="1:13" x14ac:dyDescent="0.25">
      <c r="A1643" s="98" t="s">
        <v>14</v>
      </c>
      <c r="B1643" s="66" t="s">
        <v>641</v>
      </c>
      <c r="C1643" s="66" t="s">
        <v>15</v>
      </c>
      <c r="D1643" s="8"/>
      <c r="E1643" s="8"/>
      <c r="F1643" s="8"/>
      <c r="G1643" s="8"/>
      <c r="H1643" s="478"/>
    </row>
    <row r="1644" spans="1:13" x14ac:dyDescent="0.25">
      <c r="A1644" s="95" t="s">
        <v>16</v>
      </c>
      <c r="B1644" s="245"/>
      <c r="C1644" s="261">
        <v>2016</v>
      </c>
      <c r="D1644" s="339">
        <v>2017</v>
      </c>
      <c r="E1644" s="339">
        <v>2018</v>
      </c>
      <c r="F1644" s="339">
        <v>2019</v>
      </c>
      <c r="G1644" s="339">
        <v>2020</v>
      </c>
      <c r="H1644" s="339">
        <v>2021</v>
      </c>
      <c r="I1644" s="339">
        <v>2022</v>
      </c>
      <c r="J1644" s="339">
        <v>2023</v>
      </c>
      <c r="K1644" s="339">
        <v>2024</v>
      </c>
      <c r="L1644" s="339">
        <v>2025</v>
      </c>
    </row>
    <row r="1645" spans="1:13" x14ac:dyDescent="0.25">
      <c r="A1645" s="68" t="s">
        <v>17</v>
      </c>
      <c r="B1645" s="69"/>
      <c r="C1645" s="72">
        <v>1168</v>
      </c>
      <c r="D1645" s="97">
        <v>1168</v>
      </c>
      <c r="E1645" s="97">
        <v>1168</v>
      </c>
      <c r="F1645" s="97">
        <v>1168</v>
      </c>
      <c r="G1645" s="97">
        <v>1168</v>
      </c>
      <c r="H1645" s="97">
        <v>1168</v>
      </c>
      <c r="I1645" s="97">
        <v>1168</v>
      </c>
      <c r="J1645" s="97">
        <v>1168</v>
      </c>
      <c r="K1645" s="97">
        <v>1168</v>
      </c>
      <c r="L1645" s="97">
        <v>1168</v>
      </c>
    </row>
    <row r="1646" spans="1:13" x14ac:dyDescent="0.25">
      <c r="A1646" s="68" t="s">
        <v>18</v>
      </c>
      <c r="B1646" s="69"/>
      <c r="C1646" s="478">
        <f>C1645+0.3*C1645+50+50+50</f>
        <v>1668.4</v>
      </c>
      <c r="D1646" s="478">
        <f>D1645+0.3*D1645+50+50+50</f>
        <v>1668.4</v>
      </c>
      <c r="E1646" s="478">
        <f>E1645+0.2*E1645+50+50+50</f>
        <v>1551.6</v>
      </c>
      <c r="F1646" s="478">
        <f>F1645+0.2*F1645+50+50+50</f>
        <v>1551.6</v>
      </c>
      <c r="G1646" s="478">
        <f>G1645+0.2*G1645+50+50+50</f>
        <v>1551.6</v>
      </c>
      <c r="H1646" s="478">
        <f>1168+20%*1168+50+50+50</f>
        <v>1551.6</v>
      </c>
      <c r="I1646" s="478">
        <f>1168+20%*1168+50+50+50</f>
        <v>1551.6</v>
      </c>
      <c r="J1646" s="478">
        <v>1434.8</v>
      </c>
      <c r="K1646" s="478">
        <v>1434.8</v>
      </c>
      <c r="L1646" s="478">
        <v>1384.8</v>
      </c>
    </row>
    <row r="1647" spans="1:13" x14ac:dyDescent="0.25">
      <c r="A1647" s="68" t="s">
        <v>19</v>
      </c>
      <c r="B1647" s="432"/>
      <c r="C1647" s="478" t="s">
        <v>456</v>
      </c>
      <c r="D1647" s="478" t="s">
        <v>456</v>
      </c>
      <c r="E1647" s="478" t="s">
        <v>459</v>
      </c>
      <c r="F1647" s="478" t="s">
        <v>459</v>
      </c>
      <c r="G1647" s="478" t="s">
        <v>459</v>
      </c>
      <c r="H1647" s="478" t="s">
        <v>459</v>
      </c>
      <c r="I1647" s="478" t="s">
        <v>459</v>
      </c>
      <c r="J1647" s="478" t="s">
        <v>1251</v>
      </c>
      <c r="K1647" s="478" t="s">
        <v>1251</v>
      </c>
      <c r="L1647" s="478" t="s">
        <v>1252</v>
      </c>
      <c r="M1647" s="478">
        <f>1168+20%*1168+50+50+50</f>
        <v>1551.6</v>
      </c>
    </row>
    <row r="1648" spans="1:13" x14ac:dyDescent="0.25">
      <c r="A1648" s="68" t="s">
        <v>20</v>
      </c>
      <c r="B1648" s="69"/>
      <c r="C1648" s="72">
        <v>466</v>
      </c>
      <c r="D1648" s="97">
        <v>717</v>
      </c>
      <c r="E1648" s="97">
        <v>881</v>
      </c>
      <c r="F1648" s="97">
        <v>811.28</v>
      </c>
      <c r="G1648" s="97">
        <v>789.23699999999997</v>
      </c>
      <c r="H1648" s="97">
        <v>252.99</v>
      </c>
      <c r="I1648" s="97">
        <v>1083</v>
      </c>
      <c r="J1648" s="97">
        <v>664.495</v>
      </c>
      <c r="K1648" s="97">
        <v>259.97000000000003</v>
      </c>
      <c r="L1648" s="97"/>
    </row>
    <row r="1649" spans="1:12" x14ac:dyDescent="0.25">
      <c r="A1649" s="68" t="s">
        <v>21</v>
      </c>
      <c r="B1649" s="69"/>
      <c r="C1649" s="72">
        <f>C1646-C1648</f>
        <v>1202.4000000000001</v>
      </c>
      <c r="D1649" s="72">
        <f t="shared" ref="D1649:K1649" si="71">D1646-D1648</f>
        <v>951.40000000000009</v>
      </c>
      <c r="E1649" s="72">
        <f t="shared" si="71"/>
        <v>670.59999999999991</v>
      </c>
      <c r="F1649" s="72">
        <f t="shared" si="71"/>
        <v>740.31999999999994</v>
      </c>
      <c r="G1649" s="72">
        <f t="shared" si="71"/>
        <v>762.36299999999994</v>
      </c>
      <c r="H1649" s="72">
        <f t="shared" si="71"/>
        <v>1298.6099999999999</v>
      </c>
      <c r="I1649" s="72">
        <f t="shared" si="71"/>
        <v>468.59999999999991</v>
      </c>
      <c r="J1649" s="72">
        <f t="shared" si="71"/>
        <v>770.30499999999995</v>
      </c>
      <c r="K1649" s="72">
        <f t="shared" si="71"/>
        <v>1174.83</v>
      </c>
      <c r="L1649" s="72"/>
    </row>
    <row r="1650" spans="1:12" x14ac:dyDescent="0.25">
      <c r="A1650" s="92" t="s">
        <v>22</v>
      </c>
      <c r="B1650" s="270"/>
      <c r="C1650" s="663">
        <v>2018</v>
      </c>
      <c r="D1650" s="663">
        <v>2019</v>
      </c>
      <c r="E1650" s="663">
        <v>2020</v>
      </c>
      <c r="F1650" s="663">
        <v>2021</v>
      </c>
      <c r="G1650" s="663">
        <v>2022</v>
      </c>
      <c r="H1650" s="663">
        <v>2023</v>
      </c>
      <c r="I1650" s="663">
        <v>2023</v>
      </c>
      <c r="J1650" s="663">
        <v>2025</v>
      </c>
      <c r="K1650" s="663">
        <v>2026</v>
      </c>
      <c r="L1650" s="663">
        <v>2027</v>
      </c>
    </row>
    <row r="1651" spans="1:12" x14ac:dyDescent="0.25">
      <c r="A1651" s="720" t="s">
        <v>23</v>
      </c>
      <c r="B1651" s="721"/>
      <c r="C1651" s="721"/>
      <c r="D1651" s="721"/>
      <c r="E1651" s="721"/>
      <c r="F1651" s="93"/>
      <c r="G1651" s="93"/>
      <c r="H1651" s="93"/>
      <c r="I1651" s="93"/>
      <c r="J1651" s="93"/>
      <c r="K1651" s="93"/>
      <c r="L1651" s="63"/>
    </row>
    <row r="1652" spans="1:12" x14ac:dyDescent="0.25">
      <c r="A1652" s="642" t="s">
        <v>455</v>
      </c>
      <c r="B1652" s="643"/>
      <c r="C1652" s="643"/>
      <c r="D1652" s="643"/>
      <c r="E1652" s="643"/>
      <c r="F1652" s="93"/>
      <c r="G1652" s="93"/>
      <c r="H1652" s="19"/>
      <c r="I1652" s="19"/>
      <c r="J1652" s="19"/>
      <c r="K1652" s="19"/>
      <c r="L1652" s="63"/>
    </row>
    <row r="1653" spans="1:12" x14ac:dyDescent="0.25">
      <c r="A1653" s="39" t="s">
        <v>454</v>
      </c>
      <c r="L1653" s="64"/>
    </row>
    <row r="1654" spans="1:12" x14ac:dyDescent="0.25">
      <c r="A1654" s="39" t="s">
        <v>834</v>
      </c>
      <c r="L1654" s="64"/>
    </row>
    <row r="1655" spans="1:12" x14ac:dyDescent="0.25">
      <c r="A1655" s="39" t="s">
        <v>833</v>
      </c>
      <c r="L1655" s="64"/>
    </row>
    <row r="1656" spans="1:12" x14ac:dyDescent="0.25">
      <c r="A1656" s="39" t="s">
        <v>457</v>
      </c>
      <c r="L1656" s="64"/>
    </row>
    <row r="1657" spans="1:12" x14ac:dyDescent="0.25">
      <c r="A1657" s="39" t="s">
        <v>458</v>
      </c>
      <c r="L1657" s="64"/>
    </row>
    <row r="1658" spans="1:12" x14ac:dyDescent="0.25">
      <c r="A1658" s="41" t="s">
        <v>1047</v>
      </c>
      <c r="B1658" s="34"/>
      <c r="C1658" s="34"/>
      <c r="D1658" s="34"/>
      <c r="E1658" s="34"/>
      <c r="F1658" s="34"/>
      <c r="G1658" s="34"/>
      <c r="H1658" s="34"/>
      <c r="I1658" s="34"/>
      <c r="J1658" s="34"/>
      <c r="K1658" s="34"/>
      <c r="L1658" s="48"/>
    </row>
    <row r="1660" spans="1:12" x14ac:dyDescent="0.25">
      <c r="A1660" s="6" t="s">
        <v>14</v>
      </c>
      <c r="B1660" s="7" t="s">
        <v>74</v>
      </c>
      <c r="C1660" s="7" t="s">
        <v>152</v>
      </c>
    </row>
    <row r="1661" spans="1:12" x14ac:dyDescent="0.25">
      <c r="A1661" s="41" t="s">
        <v>16</v>
      </c>
      <c r="B1661" s="272">
        <v>2016</v>
      </c>
      <c r="C1661" s="152">
        <v>2017</v>
      </c>
      <c r="D1661" s="152">
        <v>2018</v>
      </c>
      <c r="E1661" s="152">
        <v>2019</v>
      </c>
      <c r="F1661" s="152">
        <v>2020</v>
      </c>
      <c r="G1661" s="152">
        <v>2021</v>
      </c>
      <c r="H1661" s="152">
        <v>2022</v>
      </c>
      <c r="I1661" s="152">
        <v>2023</v>
      </c>
      <c r="J1661" s="152">
        <v>2024</v>
      </c>
      <c r="K1661" s="152">
        <v>2025</v>
      </c>
    </row>
    <row r="1662" spans="1:12" x14ac:dyDescent="0.25">
      <c r="A1662" s="10" t="s">
        <v>17</v>
      </c>
      <c r="B1662" s="12">
        <v>10</v>
      </c>
      <c r="C1662" s="12">
        <v>10</v>
      </c>
      <c r="D1662" s="12">
        <v>10</v>
      </c>
      <c r="E1662" s="12">
        <v>10</v>
      </c>
      <c r="F1662" s="12">
        <v>10</v>
      </c>
      <c r="G1662" s="12">
        <v>10</v>
      </c>
      <c r="H1662" s="12">
        <v>10</v>
      </c>
      <c r="I1662" s="12">
        <v>10</v>
      </c>
      <c r="J1662" s="12">
        <v>10</v>
      </c>
      <c r="K1662" s="12">
        <v>10</v>
      </c>
    </row>
    <row r="1663" spans="1:12" x14ac:dyDescent="0.25">
      <c r="A1663" s="10" t="s">
        <v>18</v>
      </c>
      <c r="B1663" s="12">
        <v>10</v>
      </c>
      <c r="C1663" s="12">
        <f>C1662+B1666</f>
        <v>-12</v>
      </c>
      <c r="D1663" s="12">
        <f>D1662+C1666</f>
        <v>-59</v>
      </c>
      <c r="E1663" s="12">
        <f>E1662+D1666</f>
        <v>-133</v>
      </c>
      <c r="F1663" s="12">
        <f>F1662+E1666</f>
        <v>-175.72</v>
      </c>
      <c r="G1663" s="12">
        <f>F1666+G1662</f>
        <v>-217.13</v>
      </c>
      <c r="H1663" s="12">
        <f xml:space="preserve"> 1.25*G1666+H1662</f>
        <v>-273.72499999999997</v>
      </c>
      <c r="I1663" s="12">
        <f xml:space="preserve"> 1.25*H1666+I1662</f>
        <v>-342.58124999999995</v>
      </c>
      <c r="J1663" s="12">
        <f xml:space="preserve"> 1.25*I1666+J1662</f>
        <v>-430.47656249999994</v>
      </c>
      <c r="K1663" s="12">
        <f xml:space="preserve"> 1.25*J1666+K1662</f>
        <v>-541.38320312499991</v>
      </c>
    </row>
    <row r="1664" spans="1:12" x14ac:dyDescent="0.25">
      <c r="A1664" s="10" t="s">
        <v>19</v>
      </c>
      <c r="B1664" s="154"/>
      <c r="C1664" s="154" t="s">
        <v>399</v>
      </c>
      <c r="D1664" s="154" t="s">
        <v>400</v>
      </c>
      <c r="E1664" s="154" t="s">
        <v>401</v>
      </c>
      <c r="F1664" s="154" t="s">
        <v>402</v>
      </c>
      <c r="G1664" s="154" t="s">
        <v>566</v>
      </c>
      <c r="H1664" s="154" t="s">
        <v>604</v>
      </c>
      <c r="I1664" s="154" t="s">
        <v>625</v>
      </c>
      <c r="J1664" s="154" t="s">
        <v>784</v>
      </c>
      <c r="K1664" s="154" t="s">
        <v>996</v>
      </c>
    </row>
    <row r="1665" spans="1:11" x14ac:dyDescent="0.25">
      <c r="A1665" s="10" t="s">
        <v>20</v>
      </c>
      <c r="B1665" s="154">
        <v>32</v>
      </c>
      <c r="C1665" s="154">
        <v>57</v>
      </c>
      <c r="D1665" s="154">
        <v>84</v>
      </c>
      <c r="E1665" s="154">
        <v>52.72</v>
      </c>
      <c r="F1665" s="154">
        <v>51.41</v>
      </c>
      <c r="G1665" s="154">
        <v>9.85</v>
      </c>
      <c r="H1665" s="154">
        <v>8.34</v>
      </c>
      <c r="I1665" s="154">
        <v>9.8000000000000007</v>
      </c>
      <c r="J1665" s="180">
        <v>10.63</v>
      </c>
      <c r="K1665" s="154"/>
    </row>
    <row r="1666" spans="1:11" x14ac:dyDescent="0.25">
      <c r="A1666" s="10" t="s">
        <v>21</v>
      </c>
      <c r="B1666" s="12">
        <f t="shared" ref="B1666:J1666" si="72">B1663-B1665</f>
        <v>-22</v>
      </c>
      <c r="C1666" s="12">
        <f t="shared" si="72"/>
        <v>-69</v>
      </c>
      <c r="D1666" s="12">
        <f t="shared" si="72"/>
        <v>-143</v>
      </c>
      <c r="E1666" s="12">
        <f t="shared" si="72"/>
        <v>-185.72</v>
      </c>
      <c r="F1666" s="12">
        <f t="shared" si="72"/>
        <v>-227.13</v>
      </c>
      <c r="G1666" s="12">
        <f t="shared" si="72"/>
        <v>-226.98</v>
      </c>
      <c r="H1666" s="12">
        <f t="shared" si="72"/>
        <v>-282.06499999999994</v>
      </c>
      <c r="I1666" s="12">
        <f t="shared" si="72"/>
        <v>-352.38124999999997</v>
      </c>
      <c r="J1666" s="26">
        <f t="shared" si="72"/>
        <v>-441.10656249999994</v>
      </c>
      <c r="K1666" s="12"/>
    </row>
    <row r="1667" spans="1:11" x14ac:dyDescent="0.25">
      <c r="A1667" s="16" t="s">
        <v>22</v>
      </c>
      <c r="B1667" s="454">
        <v>2017</v>
      </c>
      <c r="C1667" s="454">
        <v>2018</v>
      </c>
      <c r="D1667" s="454">
        <v>2019</v>
      </c>
      <c r="E1667" s="454">
        <v>2020</v>
      </c>
      <c r="F1667" s="454">
        <v>2021</v>
      </c>
      <c r="G1667" s="454">
        <v>2022</v>
      </c>
      <c r="H1667" s="454">
        <v>2023</v>
      </c>
      <c r="I1667" s="454">
        <v>2023</v>
      </c>
      <c r="J1667" s="454">
        <v>2025</v>
      </c>
      <c r="K1667" s="454">
        <v>2026</v>
      </c>
    </row>
    <row r="1668" spans="1:11" x14ac:dyDescent="0.25">
      <c r="A1668" s="16" t="s">
        <v>179</v>
      </c>
      <c r="B1668" s="46"/>
      <c r="C1668" s="46"/>
      <c r="D1668" s="46"/>
      <c r="E1668" s="46"/>
      <c r="F1668" s="46"/>
      <c r="G1668" s="46"/>
      <c r="H1668" s="46"/>
      <c r="I1668" s="46"/>
      <c r="J1668" s="47"/>
    </row>
    <row r="1669" spans="1:11" x14ac:dyDescent="0.25">
      <c r="A1669" s="56" t="s">
        <v>403</v>
      </c>
      <c r="J1669" s="64"/>
    </row>
    <row r="1670" spans="1:11" x14ac:dyDescent="0.25">
      <c r="A1670" s="56" t="s">
        <v>404</v>
      </c>
      <c r="J1670" s="64"/>
    </row>
    <row r="1671" spans="1:11" x14ac:dyDescent="0.25">
      <c r="A1671" s="56" t="s">
        <v>405</v>
      </c>
      <c r="J1671" s="64"/>
    </row>
    <row r="1672" spans="1:11" x14ac:dyDescent="0.25">
      <c r="A1672" s="56" t="s">
        <v>565</v>
      </c>
      <c r="C1672" s="346"/>
      <c r="J1672" s="64"/>
    </row>
    <row r="1673" spans="1:11" x14ac:dyDescent="0.25">
      <c r="A1673" s="56" t="s">
        <v>567</v>
      </c>
      <c r="C1673" s="346"/>
      <c r="J1673" s="64"/>
    </row>
    <row r="1674" spans="1:11" x14ac:dyDescent="0.25">
      <c r="A1674" s="56" t="s">
        <v>895</v>
      </c>
      <c r="C1674" s="346"/>
      <c r="J1674" s="64"/>
    </row>
    <row r="1675" spans="1:11" x14ac:dyDescent="0.25">
      <c r="A1675" s="56" t="s">
        <v>896</v>
      </c>
      <c r="C1675" s="346"/>
      <c r="J1675" s="64"/>
    </row>
    <row r="1676" spans="1:11" x14ac:dyDescent="0.25">
      <c r="A1676" s="49" t="s">
        <v>1023</v>
      </c>
      <c r="C1676" s="346"/>
    </row>
    <row r="1677" spans="1:11" s="34" customFormat="1" x14ac:dyDescent="0.25">
      <c r="A1677" s="58" t="s">
        <v>1125</v>
      </c>
      <c r="C1677" s="311"/>
    </row>
    <row r="1679" spans="1:11" x14ac:dyDescent="0.25">
      <c r="A1679" s="6" t="s">
        <v>14</v>
      </c>
      <c r="B1679" s="7" t="s">
        <v>1048</v>
      </c>
      <c r="C1679" s="7" t="s">
        <v>152</v>
      </c>
    </row>
    <row r="1680" spans="1:11" x14ac:dyDescent="0.25">
      <c r="A1680" s="41" t="s">
        <v>16</v>
      </c>
      <c r="B1680" s="272">
        <v>2023</v>
      </c>
      <c r="C1680" s="152">
        <v>2024</v>
      </c>
    </row>
    <row r="1681" spans="1:10" x14ac:dyDescent="0.25">
      <c r="A1681" s="10" t="s">
        <v>1049</v>
      </c>
      <c r="B1681" s="12">
        <v>256</v>
      </c>
      <c r="C1681" s="12">
        <v>256</v>
      </c>
    </row>
    <row r="1682" spans="1:10" x14ac:dyDescent="0.25">
      <c r="A1682" s="10" t="s">
        <v>1050</v>
      </c>
      <c r="B1682" s="12"/>
      <c r="C1682" s="12">
        <f>C1681+B1685</f>
        <v>-10</v>
      </c>
    </row>
    <row r="1683" spans="1:10" x14ac:dyDescent="0.25">
      <c r="A1683" s="10" t="s">
        <v>19</v>
      </c>
      <c r="B1683" s="154"/>
      <c r="C1683" s="154" t="s">
        <v>399</v>
      </c>
    </row>
    <row r="1684" spans="1:10" x14ac:dyDescent="0.25">
      <c r="A1684" s="10" t="s">
        <v>20</v>
      </c>
      <c r="B1684" s="154">
        <v>522</v>
      </c>
      <c r="C1684" s="154">
        <v>250.88</v>
      </c>
    </row>
    <row r="1685" spans="1:10" x14ac:dyDescent="0.25">
      <c r="A1685" s="10" t="s">
        <v>21</v>
      </c>
      <c r="B1685" s="12">
        <f>B1681-B1684</f>
        <v>-266</v>
      </c>
      <c r="C1685" s="12">
        <f>C1682-C1684</f>
        <v>-260.88</v>
      </c>
    </row>
    <row r="1686" spans="1:10" x14ac:dyDescent="0.25">
      <c r="A1686" s="16" t="s">
        <v>22</v>
      </c>
      <c r="B1686" s="454">
        <v>2024</v>
      </c>
      <c r="C1686" s="454">
        <v>2025</v>
      </c>
    </row>
    <row r="1687" spans="1:10" x14ac:dyDescent="0.25">
      <c r="A1687" s="16" t="s">
        <v>1052</v>
      </c>
      <c r="B1687" s="46"/>
      <c r="C1687" s="47"/>
    </row>
    <row r="1688" spans="1:10" x14ac:dyDescent="0.25">
      <c r="A1688" s="310" t="s">
        <v>1051</v>
      </c>
      <c r="B1688" s="34"/>
      <c r="C1688" s="48"/>
    </row>
    <row r="1690" spans="1:10" x14ac:dyDescent="0.25">
      <c r="A1690" s="98" t="s">
        <v>12</v>
      </c>
      <c r="B1690" s="66" t="s">
        <v>261</v>
      </c>
      <c r="C1690" s="8"/>
      <c r="D1690" s="8"/>
      <c r="E1690" s="8"/>
      <c r="F1690" s="8"/>
      <c r="G1690" s="8"/>
    </row>
    <row r="1691" spans="1:10" x14ac:dyDescent="0.25">
      <c r="A1691" s="103" t="s">
        <v>14</v>
      </c>
      <c r="B1691" s="104" t="s">
        <v>642</v>
      </c>
      <c r="C1691" s="66" t="s">
        <v>15</v>
      </c>
      <c r="D1691" s="8"/>
    </row>
    <row r="1692" spans="1:10" ht="14.4" x14ac:dyDescent="0.25">
      <c r="A1692" s="95" t="s">
        <v>16</v>
      </c>
      <c r="B1692" s="245"/>
      <c r="C1692" s="69"/>
      <c r="D1692" s="338">
        <v>2019</v>
      </c>
      <c r="E1692" s="261" t="s">
        <v>1111</v>
      </c>
      <c r="F1692" s="338" t="s">
        <v>1112</v>
      </c>
      <c r="G1692" s="261" t="s">
        <v>1113</v>
      </c>
      <c r="H1692" s="261" t="s">
        <v>1114</v>
      </c>
      <c r="I1692" s="481" t="s">
        <v>1192</v>
      </c>
      <c r="J1692" s="481" t="s">
        <v>1232</v>
      </c>
    </row>
    <row r="1693" spans="1:10" x14ac:dyDescent="0.25">
      <c r="A1693" s="68" t="s">
        <v>17</v>
      </c>
      <c r="B1693" s="69"/>
      <c r="C1693" s="69"/>
      <c r="D1693" s="71">
        <v>239</v>
      </c>
      <c r="E1693" s="72">
        <v>300</v>
      </c>
      <c r="F1693" s="71">
        <v>300</v>
      </c>
      <c r="G1693" s="72">
        <v>300</v>
      </c>
      <c r="H1693" s="72">
        <v>368</v>
      </c>
      <c r="I1693" s="482">
        <v>368</v>
      </c>
      <c r="J1693" s="482">
        <v>368</v>
      </c>
    </row>
    <row r="1694" spans="1:10" x14ac:dyDescent="0.25">
      <c r="A1694" s="68" t="s">
        <v>18</v>
      </c>
      <c r="B1694" s="69"/>
      <c r="C1694" s="69"/>
      <c r="D1694" s="71">
        <v>239</v>
      </c>
      <c r="E1694" s="72">
        <f>E1693+0.05*D1693</f>
        <v>311.95</v>
      </c>
      <c r="F1694" s="71">
        <f>F1693+0.05*E1693</f>
        <v>315</v>
      </c>
      <c r="G1694" s="72">
        <f>G1693+0.05*F1693</f>
        <v>315</v>
      </c>
      <c r="H1694" s="72">
        <f>H1693+0.05*G1693</f>
        <v>383</v>
      </c>
      <c r="I1694" s="482">
        <v>386.4</v>
      </c>
      <c r="J1694" s="482">
        <v>386.4</v>
      </c>
    </row>
    <row r="1695" spans="1:10" x14ac:dyDescent="0.25">
      <c r="A1695" s="68" t="s">
        <v>19</v>
      </c>
      <c r="B1695" s="432"/>
      <c r="C1695" s="251"/>
      <c r="D1695" s="68" t="s">
        <v>262</v>
      </c>
      <c r="E1695" s="69"/>
      <c r="F1695" s="134"/>
      <c r="G1695" s="69"/>
      <c r="H1695" s="69"/>
      <c r="I1695" s="483" t="s">
        <v>262</v>
      </c>
      <c r="J1695" s="483" t="s">
        <v>262</v>
      </c>
    </row>
    <row r="1696" spans="1:10" x14ac:dyDescent="0.25">
      <c r="A1696" s="68" t="s">
        <v>20</v>
      </c>
      <c r="B1696" s="69"/>
      <c r="C1696" s="69"/>
      <c r="D1696" s="134">
        <v>49.3</v>
      </c>
      <c r="E1696" s="69">
        <v>194.39</v>
      </c>
      <c r="F1696" s="134">
        <v>157.68</v>
      </c>
      <c r="G1696" s="69">
        <v>123.17</v>
      </c>
      <c r="H1696" s="69">
        <v>117.44</v>
      </c>
      <c r="I1696" s="483">
        <v>152.57</v>
      </c>
      <c r="J1696" s="483"/>
    </row>
    <row r="1697" spans="1:10" x14ac:dyDescent="0.25">
      <c r="A1697" s="68" t="s">
        <v>21</v>
      </c>
      <c r="B1697" s="69"/>
      <c r="C1697" s="69"/>
      <c r="D1697" s="134">
        <f t="shared" ref="D1697:H1697" si="73">D1694-D1696</f>
        <v>189.7</v>
      </c>
      <c r="E1697" s="69">
        <f t="shared" si="73"/>
        <v>117.56</v>
      </c>
      <c r="F1697" s="134">
        <f t="shared" si="73"/>
        <v>157.32</v>
      </c>
      <c r="G1697" s="69">
        <f t="shared" si="73"/>
        <v>191.82999999999998</v>
      </c>
      <c r="H1697" s="69">
        <f t="shared" si="73"/>
        <v>265.56</v>
      </c>
      <c r="I1697" s="72">
        <f>I1694-I1696</f>
        <v>233.82999999999998</v>
      </c>
      <c r="J1697" s="69"/>
    </row>
    <row r="1698" spans="1:10" x14ac:dyDescent="0.25">
      <c r="A1698" s="73" t="s">
        <v>22</v>
      </c>
      <c r="B1698" s="74"/>
      <c r="C1698" s="74"/>
      <c r="D1698" s="75">
        <v>2020</v>
      </c>
      <c r="E1698" s="69">
        <v>2021</v>
      </c>
      <c r="F1698" s="75">
        <v>2022</v>
      </c>
      <c r="G1698" s="69">
        <v>2023</v>
      </c>
      <c r="H1698" s="117">
        <v>2024</v>
      </c>
      <c r="I1698" s="483">
        <v>2025</v>
      </c>
      <c r="J1698" s="483">
        <v>2026</v>
      </c>
    </row>
    <row r="1699" spans="1:10" x14ac:dyDescent="0.25">
      <c r="A1699" s="642" t="s">
        <v>23</v>
      </c>
      <c r="B1699" s="643"/>
      <c r="C1699" s="643"/>
      <c r="D1699" s="643"/>
      <c r="E1699" s="643"/>
      <c r="F1699" s="643"/>
      <c r="G1699" s="643"/>
      <c r="H1699" s="643"/>
      <c r="I1699" s="63"/>
      <c r="J1699" s="63"/>
    </row>
    <row r="1700" spans="1:10" ht="39.6" customHeight="1" x14ac:dyDescent="0.25">
      <c r="A1700" s="698" t="s">
        <v>1041</v>
      </c>
      <c r="B1700" s="699"/>
      <c r="C1700" s="699"/>
      <c r="D1700" s="699"/>
      <c r="E1700" s="699"/>
      <c r="F1700" s="699"/>
      <c r="G1700" s="699"/>
      <c r="H1700" s="699"/>
      <c r="I1700" s="19"/>
      <c r="J1700" s="63"/>
    </row>
    <row r="1701" spans="1:10" ht="49.2" customHeight="1" x14ac:dyDescent="0.25">
      <c r="A1701" s="694" t="s">
        <v>1042</v>
      </c>
      <c r="B1701" s="695"/>
      <c r="C1701" s="695"/>
      <c r="D1701" s="695"/>
      <c r="E1701" s="695"/>
      <c r="F1701" s="695"/>
      <c r="G1701" s="695"/>
      <c r="H1701" s="695"/>
      <c r="J1701" s="64"/>
    </row>
    <row r="1702" spans="1:10" ht="49.2" customHeight="1" x14ac:dyDescent="0.25">
      <c r="A1702" s="694" t="s">
        <v>1043</v>
      </c>
      <c r="B1702" s="695"/>
      <c r="C1702" s="695"/>
      <c r="D1702" s="695"/>
      <c r="E1702" s="695"/>
      <c r="F1702" s="695"/>
      <c r="G1702" s="695"/>
      <c r="H1702" s="695"/>
      <c r="J1702" s="64"/>
    </row>
    <row r="1703" spans="1:10" ht="49.2" customHeight="1" x14ac:dyDescent="0.25">
      <c r="A1703" s="694" t="s">
        <v>1044</v>
      </c>
      <c r="B1703" s="695"/>
      <c r="C1703" s="695"/>
      <c r="D1703" s="695"/>
      <c r="E1703" s="695"/>
      <c r="F1703" s="695"/>
      <c r="G1703" s="695"/>
      <c r="H1703" s="695"/>
      <c r="J1703" s="64"/>
    </row>
    <row r="1704" spans="1:10" ht="49.2" customHeight="1" x14ac:dyDescent="0.25">
      <c r="A1704" s="692" t="s">
        <v>1193</v>
      </c>
      <c r="B1704" s="693"/>
      <c r="C1704" s="693"/>
      <c r="D1704" s="693"/>
      <c r="E1704" s="693"/>
      <c r="F1704" s="693"/>
      <c r="G1704" s="693"/>
      <c r="H1704" s="693"/>
      <c r="J1704" s="64"/>
    </row>
    <row r="1705" spans="1:10" ht="48.6" customHeight="1" x14ac:dyDescent="0.25">
      <c r="A1705" s="707" t="s">
        <v>1268</v>
      </c>
      <c r="B1705" s="708"/>
      <c r="C1705" s="708"/>
      <c r="D1705" s="708"/>
      <c r="E1705" s="708"/>
      <c r="F1705" s="708"/>
      <c r="G1705" s="708"/>
      <c r="H1705" s="708"/>
      <c r="I1705" s="34"/>
      <c r="J1705" s="48"/>
    </row>
    <row r="1707" spans="1:10" x14ac:dyDescent="0.25">
      <c r="A1707" s="6" t="s">
        <v>24</v>
      </c>
      <c r="B1707" s="7" t="s">
        <v>592</v>
      </c>
    </row>
    <row r="1708" spans="1:10" x14ac:dyDescent="0.25">
      <c r="A1708" s="126" t="s">
        <v>14</v>
      </c>
      <c r="B1708" s="126" t="s">
        <v>624</v>
      </c>
      <c r="C1708" s="601" t="s">
        <v>26</v>
      </c>
    </row>
    <row r="1709" spans="1:10" x14ac:dyDescent="0.25">
      <c r="A1709" s="168" t="s">
        <v>27</v>
      </c>
      <c r="B1709" s="491">
        <v>2020</v>
      </c>
      <c r="C1709" s="491">
        <v>2021</v>
      </c>
      <c r="D1709" s="491">
        <v>2022</v>
      </c>
      <c r="E1709" s="491">
        <v>2023</v>
      </c>
      <c r="F1709" s="491">
        <v>2024</v>
      </c>
      <c r="G1709" s="491">
        <v>2025</v>
      </c>
      <c r="H1709" s="491">
        <v>2026</v>
      </c>
      <c r="I1709" s="491">
        <v>2027</v>
      </c>
    </row>
    <row r="1710" spans="1:10" x14ac:dyDescent="0.25">
      <c r="A1710" s="90" t="s">
        <v>28</v>
      </c>
      <c r="B1710" s="128">
        <v>215</v>
      </c>
      <c r="C1710" s="129">
        <v>242</v>
      </c>
      <c r="D1710" s="129">
        <v>242</v>
      </c>
      <c r="E1710" s="129">
        <v>242</v>
      </c>
      <c r="F1710" s="129">
        <v>302</v>
      </c>
      <c r="G1710" s="129">
        <v>302</v>
      </c>
      <c r="H1710" s="129">
        <v>302</v>
      </c>
      <c r="I1710" s="129"/>
    </row>
    <row r="1711" spans="1:10" x14ac:dyDescent="0.25">
      <c r="A1711" s="90" t="s">
        <v>29</v>
      </c>
      <c r="B1711" s="128">
        <v>265</v>
      </c>
      <c r="C1711" s="129">
        <v>295.75</v>
      </c>
      <c r="D1711" s="129">
        <v>295.75</v>
      </c>
      <c r="E1711" s="129">
        <v>302.5</v>
      </c>
      <c r="F1711" s="128">
        <v>362.5</v>
      </c>
      <c r="G1711" s="90">
        <v>362.5</v>
      </c>
      <c r="H1711" s="128">
        <f>(F1710*0.25)+H1710</f>
        <v>377.5</v>
      </c>
      <c r="I1711" s="128"/>
    </row>
    <row r="1712" spans="1:10" x14ac:dyDescent="0.25">
      <c r="A1712" s="90" t="s">
        <v>30</v>
      </c>
      <c r="B1712" s="602"/>
      <c r="C1712" s="602"/>
      <c r="D1712" s="602"/>
      <c r="E1712" s="602"/>
      <c r="F1712" s="602"/>
      <c r="G1712" s="90"/>
      <c r="H1712" s="602" t="s">
        <v>543</v>
      </c>
      <c r="I1712" s="602"/>
    </row>
    <row r="1713" spans="1:9" x14ac:dyDescent="0.25">
      <c r="A1713" s="90" t="s">
        <v>31</v>
      </c>
      <c r="B1713" s="128">
        <v>175.922</v>
      </c>
      <c r="C1713" s="129">
        <v>182.89599999999999</v>
      </c>
      <c r="D1713" s="129">
        <v>180.67</v>
      </c>
      <c r="E1713" s="129">
        <v>170.83</v>
      </c>
      <c r="F1713" s="129">
        <v>0</v>
      </c>
      <c r="G1713" s="129"/>
      <c r="H1713" s="129"/>
      <c r="I1713" s="129"/>
    </row>
    <row r="1714" spans="1:9" x14ac:dyDescent="0.25">
      <c r="A1714" s="90" t="s">
        <v>32</v>
      </c>
      <c r="B1714" s="128">
        <f>B1711-B1713</f>
        <v>89.078000000000003</v>
      </c>
      <c r="C1714" s="128">
        <f>C1711-C1713</f>
        <v>112.85400000000001</v>
      </c>
      <c r="D1714" s="128">
        <f t="shared" ref="D1714:E1714" si="74">D1711-D1713</f>
        <v>115.08000000000001</v>
      </c>
      <c r="E1714" s="128">
        <f t="shared" si="74"/>
        <v>131.66999999999999</v>
      </c>
      <c r="F1714" s="128">
        <v>30</v>
      </c>
      <c r="G1714" s="128"/>
      <c r="H1714" s="128"/>
      <c r="I1714" s="128"/>
    </row>
    <row r="1715" spans="1:9" x14ac:dyDescent="0.25">
      <c r="A1715" s="90" t="s">
        <v>33</v>
      </c>
      <c r="B1715" s="178">
        <v>2022</v>
      </c>
      <c r="C1715" s="178">
        <v>2023</v>
      </c>
      <c r="D1715" s="178">
        <v>2024</v>
      </c>
      <c r="E1715" s="178">
        <v>2025</v>
      </c>
      <c r="F1715" s="178">
        <v>2026</v>
      </c>
      <c r="G1715" s="178"/>
      <c r="H1715" s="178"/>
      <c r="I1715" s="178"/>
    </row>
    <row r="1716" spans="1:9" x14ac:dyDescent="0.25">
      <c r="A1716" s="45" t="s">
        <v>1222</v>
      </c>
    </row>
    <row r="1717" spans="1:9" x14ac:dyDescent="0.25">
      <c r="A1717" s="149"/>
      <c r="B1717" s="24"/>
    </row>
    <row r="1718" spans="1:9" x14ac:dyDescent="0.25">
      <c r="A1718" s="149" t="s">
        <v>14</v>
      </c>
      <c r="B1718" s="24" t="s">
        <v>638</v>
      </c>
      <c r="C1718" s="471" t="s">
        <v>26</v>
      </c>
    </row>
    <row r="1719" spans="1:9" x14ac:dyDescent="0.25">
      <c r="A1719" s="168" t="s">
        <v>27</v>
      </c>
      <c r="B1719" s="152">
        <v>2020</v>
      </c>
      <c r="C1719" s="152">
        <v>2021</v>
      </c>
      <c r="D1719" s="152">
        <v>2022</v>
      </c>
      <c r="E1719" s="152">
        <v>2023</v>
      </c>
      <c r="F1719" s="152">
        <v>2024</v>
      </c>
      <c r="G1719" s="152">
        <v>2025</v>
      </c>
      <c r="H1719" s="152">
        <v>2026</v>
      </c>
    </row>
    <row r="1720" spans="1:9" x14ac:dyDescent="0.25">
      <c r="A1720" s="11" t="s">
        <v>28</v>
      </c>
      <c r="B1720" s="72">
        <v>25</v>
      </c>
      <c r="C1720" s="12">
        <v>25</v>
      </c>
      <c r="D1720" s="12">
        <v>25</v>
      </c>
      <c r="E1720" s="12">
        <v>30</v>
      </c>
      <c r="F1720" s="12">
        <v>30</v>
      </c>
      <c r="G1720" s="12">
        <v>30</v>
      </c>
      <c r="H1720" s="12">
        <v>30</v>
      </c>
    </row>
    <row r="1721" spans="1:9" x14ac:dyDescent="0.25">
      <c r="A1721" s="11" t="s">
        <v>29</v>
      </c>
      <c r="B1721" s="72"/>
      <c r="C1721" s="72">
        <v>18.66</v>
      </c>
      <c r="D1721" s="72"/>
      <c r="E1721" s="12"/>
      <c r="F1721" s="12"/>
      <c r="G1721" s="90"/>
      <c r="H1721" s="12"/>
    </row>
    <row r="1722" spans="1:9" x14ac:dyDescent="0.25">
      <c r="A1722" s="11" t="s">
        <v>30</v>
      </c>
      <c r="B1722" s="484"/>
      <c r="C1722" s="484" t="s">
        <v>543</v>
      </c>
      <c r="D1722" s="484"/>
      <c r="E1722" s="90"/>
      <c r="F1722" s="90"/>
      <c r="G1722" s="90"/>
      <c r="H1722" s="178"/>
    </row>
    <row r="1723" spans="1:9" x14ac:dyDescent="0.25">
      <c r="A1723" s="11" t="s">
        <v>31</v>
      </c>
      <c r="B1723" s="72">
        <v>31.341000000000001</v>
      </c>
      <c r="C1723" s="12">
        <v>17.22</v>
      </c>
      <c r="D1723" s="12">
        <v>12.476000000000001</v>
      </c>
      <c r="E1723" s="90">
        <v>5.2359999999999998</v>
      </c>
      <c r="F1723" s="129">
        <v>0</v>
      </c>
      <c r="G1723" s="90"/>
      <c r="H1723" s="90"/>
    </row>
    <row r="1724" spans="1:9" x14ac:dyDescent="0.25">
      <c r="A1724" s="11" t="s">
        <v>32</v>
      </c>
      <c r="B1724" s="72">
        <v>-6.3410000000000011</v>
      </c>
      <c r="C1724" s="72">
        <f>C1721-C1723</f>
        <v>1.4400000000000013</v>
      </c>
      <c r="D1724" s="72">
        <f>D1720-D1723</f>
        <v>12.523999999999999</v>
      </c>
      <c r="E1724" s="90">
        <v>24.763999999999999</v>
      </c>
      <c r="F1724" s="129">
        <v>30</v>
      </c>
      <c r="G1724" s="90"/>
      <c r="H1724" s="90"/>
    </row>
    <row r="1725" spans="1:9" x14ac:dyDescent="0.25">
      <c r="A1725" s="16" t="s">
        <v>33</v>
      </c>
      <c r="B1725" s="157">
        <v>2021</v>
      </c>
      <c r="C1725" s="157"/>
      <c r="D1725" s="157"/>
      <c r="E1725" s="90"/>
      <c r="F1725" s="90"/>
      <c r="G1725" s="90"/>
      <c r="H1725" s="90"/>
    </row>
    <row r="1726" spans="1:9" x14ac:dyDescent="0.25">
      <c r="A1726" s="18" t="s">
        <v>593</v>
      </c>
      <c r="B1726" s="437"/>
      <c r="C1726" s="437"/>
      <c r="D1726" s="437"/>
      <c r="E1726" s="437"/>
      <c r="F1726" s="437"/>
      <c r="G1726" s="19"/>
      <c r="H1726" s="63"/>
    </row>
    <row r="1727" spans="1:9" x14ac:dyDescent="0.25">
      <c r="A1727" s="45" t="s">
        <v>1223</v>
      </c>
      <c r="B1727" s="444"/>
      <c r="C1727" s="444"/>
      <c r="D1727" s="444"/>
      <c r="E1727" s="444"/>
      <c r="F1727" s="444"/>
      <c r="H1727" s="64"/>
    </row>
    <row r="1728" spans="1:9" ht="63" customHeight="1" x14ac:dyDescent="0.25">
      <c r="A1728" s="694" t="s">
        <v>716</v>
      </c>
      <c r="B1728" s="695"/>
      <c r="C1728" s="695"/>
      <c r="D1728" s="695"/>
      <c r="E1728" s="444"/>
      <c r="F1728" s="444"/>
      <c r="H1728" s="64"/>
    </row>
    <row r="1729" spans="1:8" x14ac:dyDescent="0.25">
      <c r="A1729" s="39"/>
      <c r="B1729" s="444"/>
      <c r="C1729" s="444"/>
      <c r="D1729" s="444"/>
      <c r="E1729" s="444"/>
      <c r="F1729" s="444"/>
      <c r="H1729" s="64"/>
    </row>
    <row r="1730" spans="1:8" x14ac:dyDescent="0.25">
      <c r="A1730" s="39"/>
      <c r="B1730" s="444"/>
      <c r="C1730" s="444"/>
      <c r="D1730" s="444"/>
      <c r="E1730" s="444"/>
      <c r="F1730" s="444"/>
      <c r="H1730" s="64"/>
    </row>
    <row r="1731" spans="1:8" x14ac:dyDescent="0.25">
      <c r="A1731" s="41"/>
      <c r="B1731" s="485"/>
      <c r="C1731" s="485"/>
      <c r="D1731" s="485"/>
      <c r="E1731" s="485"/>
      <c r="F1731" s="485"/>
      <c r="G1731" s="34"/>
      <c r="H1731" s="48"/>
    </row>
    <row r="1734" spans="1:8" x14ac:dyDescent="0.25">
      <c r="A1734" s="6" t="s">
        <v>12</v>
      </c>
      <c r="B1734" s="7" t="s">
        <v>374</v>
      </c>
    </row>
    <row r="1735" spans="1:8" x14ac:dyDescent="0.25">
      <c r="A1735" s="6" t="s">
        <v>14</v>
      </c>
      <c r="B1735" s="7" t="s">
        <v>66</v>
      </c>
      <c r="C1735" s="33" t="s">
        <v>15</v>
      </c>
    </row>
    <row r="1736" spans="1:8" x14ac:dyDescent="0.25">
      <c r="A1736" s="10" t="s">
        <v>16</v>
      </c>
      <c r="B1736" s="11"/>
      <c r="C1736" s="279">
        <v>2015</v>
      </c>
      <c r="D1736" s="152">
        <v>2016</v>
      </c>
      <c r="E1736" s="171">
        <v>2017</v>
      </c>
      <c r="F1736" s="171">
        <v>2018</v>
      </c>
      <c r="G1736" s="171">
        <v>2019</v>
      </c>
      <c r="H1736" s="171">
        <v>2020</v>
      </c>
    </row>
    <row r="1737" spans="1:8" x14ac:dyDescent="0.25">
      <c r="A1737" s="10" t="s">
        <v>17</v>
      </c>
      <c r="B1737" s="11"/>
      <c r="C1737" s="12">
        <v>2100</v>
      </c>
      <c r="D1737" s="486">
        <v>1575</v>
      </c>
      <c r="E1737" s="486">
        <v>1575</v>
      </c>
      <c r="F1737" s="486">
        <v>1575</v>
      </c>
      <c r="G1737" s="486">
        <v>1575</v>
      </c>
      <c r="H1737" s="486">
        <v>0</v>
      </c>
    </row>
    <row r="1738" spans="1:8" x14ac:dyDescent="0.25">
      <c r="A1738" s="10" t="s">
        <v>18</v>
      </c>
      <c r="B1738" s="11"/>
      <c r="C1738" s="172">
        <v>2100</v>
      </c>
      <c r="D1738" s="486">
        <v>1575</v>
      </c>
      <c r="E1738" s="486">
        <v>1575</v>
      </c>
      <c r="F1738" s="486">
        <v>1575</v>
      </c>
      <c r="G1738" s="486">
        <v>1575</v>
      </c>
      <c r="H1738" s="486"/>
    </row>
    <row r="1739" spans="1:8" x14ac:dyDescent="0.25">
      <c r="A1739" s="10" t="s">
        <v>19</v>
      </c>
      <c r="B1739" s="11"/>
      <c r="C1739" s="186"/>
      <c r="D1739" s="12"/>
      <c r="E1739" s="187"/>
      <c r="F1739" s="187"/>
      <c r="G1739" s="187"/>
      <c r="H1739" s="187"/>
    </row>
    <row r="1740" spans="1:8" x14ac:dyDescent="0.25">
      <c r="A1740" s="10" t="s">
        <v>20</v>
      </c>
      <c r="B1740" s="11"/>
      <c r="C1740" s="486">
        <v>0</v>
      </c>
      <c r="D1740" s="486">
        <v>0</v>
      </c>
      <c r="E1740" s="486">
        <v>0</v>
      </c>
      <c r="F1740" s="486">
        <v>0</v>
      </c>
      <c r="G1740" s="486">
        <v>0</v>
      </c>
      <c r="H1740" s="486">
        <v>0</v>
      </c>
    </row>
    <row r="1741" spans="1:8" ht="27.75" customHeight="1" x14ac:dyDescent="0.25">
      <c r="A1741" s="10" t="s">
        <v>21</v>
      </c>
      <c r="B1741" s="11"/>
      <c r="C1741" s="172">
        <v>2100</v>
      </c>
      <c r="D1741" s="486">
        <v>1575</v>
      </c>
      <c r="E1741" s="486">
        <v>1575</v>
      </c>
      <c r="F1741" s="486">
        <v>1575</v>
      </c>
      <c r="G1741" s="486">
        <v>1575</v>
      </c>
      <c r="H1741" s="486">
        <v>1575</v>
      </c>
    </row>
    <row r="1742" spans="1:8" x14ac:dyDescent="0.25">
      <c r="A1742" s="16" t="s">
        <v>22</v>
      </c>
      <c r="B1742" s="17"/>
      <c r="C1742" s="157">
        <v>2016</v>
      </c>
      <c r="D1742" s="157">
        <v>2017</v>
      </c>
      <c r="E1742" s="177">
        <v>2018</v>
      </c>
      <c r="F1742" s="177">
        <v>2019</v>
      </c>
      <c r="G1742" s="177">
        <v>2020</v>
      </c>
      <c r="H1742" s="177">
        <v>2021</v>
      </c>
    </row>
    <row r="1743" spans="1:8" x14ac:dyDescent="0.25">
      <c r="A1743" s="10" t="s">
        <v>23</v>
      </c>
      <c r="B1743" s="36"/>
      <c r="C1743" s="36"/>
      <c r="D1743" s="36"/>
      <c r="E1743" s="36"/>
      <c r="F1743" s="36"/>
      <c r="G1743" s="36"/>
      <c r="H1743" s="37"/>
    </row>
    <row r="1746" spans="1:12" ht="26.4" x14ac:dyDescent="0.25">
      <c r="A1746" s="6" t="s">
        <v>12</v>
      </c>
      <c r="B1746" s="319" t="s">
        <v>379</v>
      </c>
    </row>
    <row r="1747" spans="1:12" x14ac:dyDescent="0.25">
      <c r="A1747" s="6" t="s">
        <v>14</v>
      </c>
      <c r="B1747" s="7" t="s">
        <v>624</v>
      </c>
      <c r="C1747" s="9" t="s">
        <v>15</v>
      </c>
    </row>
    <row r="1748" spans="1:12" x14ac:dyDescent="0.25">
      <c r="A1748" s="10" t="s">
        <v>16</v>
      </c>
      <c r="B1748" s="152">
        <v>2015</v>
      </c>
      <c r="C1748" s="170">
        <v>2016</v>
      </c>
      <c r="D1748" s="152">
        <v>2017</v>
      </c>
      <c r="E1748" s="171">
        <v>2018</v>
      </c>
      <c r="F1748" s="171">
        <v>2019</v>
      </c>
      <c r="G1748" s="152">
        <v>2020</v>
      </c>
      <c r="H1748" s="152">
        <v>2021</v>
      </c>
      <c r="I1748" s="152">
        <v>2022</v>
      </c>
      <c r="J1748" s="152">
        <v>2023</v>
      </c>
      <c r="K1748" s="152">
        <v>2024</v>
      </c>
      <c r="L1748" s="152">
        <v>2025</v>
      </c>
    </row>
    <row r="1749" spans="1:12" x14ac:dyDescent="0.25">
      <c r="A1749" s="10" t="s">
        <v>17</v>
      </c>
      <c r="B1749" s="154">
        <v>200</v>
      </c>
      <c r="C1749" s="172">
        <v>200</v>
      </c>
      <c r="D1749" s="154">
        <v>200</v>
      </c>
      <c r="E1749" s="173">
        <v>200</v>
      </c>
      <c r="F1749" s="173">
        <v>215</v>
      </c>
      <c r="G1749" s="154">
        <v>215</v>
      </c>
      <c r="H1749" s="12">
        <v>242</v>
      </c>
      <c r="I1749" s="12">
        <v>242</v>
      </c>
      <c r="J1749" s="12">
        <v>242</v>
      </c>
      <c r="K1749" s="12">
        <v>302</v>
      </c>
      <c r="L1749" s="12">
        <v>302</v>
      </c>
    </row>
    <row r="1750" spans="1:12" x14ac:dyDescent="0.25">
      <c r="A1750" s="10" t="s">
        <v>18</v>
      </c>
      <c r="B1750" s="154">
        <v>303.49</v>
      </c>
      <c r="C1750" s="172">
        <f>C1749+B1753+100</f>
        <v>298.49</v>
      </c>
      <c r="D1750" s="154">
        <f>D1749+100</f>
        <v>300</v>
      </c>
      <c r="E1750" s="173">
        <f>E1749+C1753+100</f>
        <v>306.89</v>
      </c>
      <c r="F1750" s="173">
        <v>218.8</v>
      </c>
      <c r="G1750" s="173">
        <v>265</v>
      </c>
      <c r="H1750" s="12">
        <f>H1749+F1753</f>
        <v>280.35000000000002</v>
      </c>
      <c r="I1750" s="12">
        <f>I1749+G1753</f>
        <v>255.27</v>
      </c>
      <c r="J1750" s="12">
        <f>J1749+0.25*H1749</f>
        <v>302.5</v>
      </c>
      <c r="K1750" s="12">
        <f>K1749+0.25*I1749</f>
        <v>362.5</v>
      </c>
      <c r="L1750" s="12">
        <f>L1749+0.25*J1749</f>
        <v>362.5</v>
      </c>
    </row>
    <row r="1751" spans="1:12" ht="39.6" x14ac:dyDescent="0.25">
      <c r="A1751" s="10" t="s">
        <v>19</v>
      </c>
      <c r="B1751" s="174"/>
      <c r="C1751" s="174" t="s">
        <v>380</v>
      </c>
      <c r="D1751" s="174" t="s">
        <v>381</v>
      </c>
      <c r="E1751" s="174" t="s">
        <v>382</v>
      </c>
      <c r="F1751" s="174" t="s">
        <v>395</v>
      </c>
      <c r="G1751" s="174" t="s">
        <v>396</v>
      </c>
      <c r="H1751" s="182" t="s">
        <v>696</v>
      </c>
      <c r="I1751" s="182" t="s">
        <v>695</v>
      </c>
      <c r="J1751" s="182" t="s">
        <v>790</v>
      </c>
      <c r="K1751" s="182" t="s">
        <v>1060</v>
      </c>
      <c r="L1751" s="182" t="s">
        <v>1060</v>
      </c>
    </row>
    <row r="1752" spans="1:12" x14ac:dyDescent="0.25">
      <c r="A1752" s="10" t="s">
        <v>20</v>
      </c>
      <c r="B1752" s="154">
        <v>305</v>
      </c>
      <c r="C1752" s="172">
        <v>291.60000000000002</v>
      </c>
      <c r="D1752" s="154">
        <v>296.2</v>
      </c>
      <c r="E1752" s="154">
        <v>173.26</v>
      </c>
      <c r="F1752" s="173">
        <v>180.45</v>
      </c>
      <c r="G1752" s="154">
        <v>251.73</v>
      </c>
      <c r="H1752" s="12">
        <v>0</v>
      </c>
      <c r="I1752" s="12">
        <v>0.97</v>
      </c>
      <c r="J1752" s="12">
        <v>0.28000000000000003</v>
      </c>
      <c r="K1752" s="12">
        <v>0.17199999999999999</v>
      </c>
      <c r="L1752" s="12"/>
    </row>
    <row r="1753" spans="1:12" x14ac:dyDescent="0.25">
      <c r="A1753" s="10" t="s">
        <v>21</v>
      </c>
      <c r="B1753" s="154">
        <v>-1.5099999999999909</v>
      </c>
      <c r="C1753" s="154">
        <f>C1750-C1752</f>
        <v>6.8899999999999864</v>
      </c>
      <c r="D1753" s="154">
        <f>D1750-D1752</f>
        <v>3.8000000000000114</v>
      </c>
      <c r="E1753" s="154">
        <f>E1750-E1752</f>
        <v>133.63</v>
      </c>
      <c r="F1753" s="154">
        <v>38.350000000000023</v>
      </c>
      <c r="G1753" s="154">
        <f>G1750-G1752</f>
        <v>13.27000000000001</v>
      </c>
      <c r="H1753" s="12">
        <f>H1750-H1752</f>
        <v>280.35000000000002</v>
      </c>
      <c r="I1753" s="12">
        <f>I1750-I1752</f>
        <v>254.3</v>
      </c>
      <c r="J1753" s="12">
        <f>J1750-J1752</f>
        <v>302.22000000000003</v>
      </c>
      <c r="K1753" s="12">
        <f>K1750-K1752</f>
        <v>362.32799999999997</v>
      </c>
      <c r="L1753" s="12"/>
    </row>
    <row r="1754" spans="1:12" x14ac:dyDescent="0.25">
      <c r="A1754" s="16" t="s">
        <v>22</v>
      </c>
      <c r="B1754" s="157">
        <v>2016</v>
      </c>
      <c r="C1754" s="176">
        <v>2018</v>
      </c>
      <c r="D1754" s="157">
        <v>2019</v>
      </c>
      <c r="E1754" s="177">
        <v>2020</v>
      </c>
      <c r="F1754" s="177">
        <v>2021</v>
      </c>
      <c r="G1754" s="157">
        <v>2022</v>
      </c>
      <c r="H1754" s="157">
        <v>2023</v>
      </c>
      <c r="I1754" s="157">
        <v>2024</v>
      </c>
      <c r="J1754" s="157">
        <v>2025</v>
      </c>
      <c r="K1754" s="157">
        <v>2026</v>
      </c>
      <c r="L1754" s="157">
        <v>2026</v>
      </c>
    </row>
    <row r="1755" spans="1:12" x14ac:dyDescent="0.25">
      <c r="A1755" s="16" t="s">
        <v>23</v>
      </c>
      <c r="B1755" s="46"/>
      <c r="C1755" s="46"/>
      <c r="D1755" s="46"/>
      <c r="E1755" s="46"/>
      <c r="F1755" s="46"/>
      <c r="G1755" s="46"/>
      <c r="H1755" s="47"/>
      <c r="I1755" s="47"/>
      <c r="J1755" s="47"/>
      <c r="K1755" s="47"/>
      <c r="L1755" s="47"/>
    </row>
    <row r="1756" spans="1:12" x14ac:dyDescent="0.25">
      <c r="A1756" s="39" t="s">
        <v>383</v>
      </c>
      <c r="H1756" s="64"/>
      <c r="I1756" s="64"/>
      <c r="J1756" s="64"/>
      <c r="K1756" s="64"/>
      <c r="L1756" s="64"/>
    </row>
    <row r="1757" spans="1:12" ht="13.2" customHeight="1" x14ac:dyDescent="0.25">
      <c r="A1757" s="692" t="s">
        <v>397</v>
      </c>
      <c r="B1757" s="693"/>
      <c r="C1757" s="693"/>
      <c r="D1757" s="693"/>
      <c r="E1757" s="693"/>
      <c r="F1757" s="693"/>
      <c r="G1757" s="693"/>
      <c r="H1757" s="48"/>
      <c r="I1757" s="48"/>
      <c r="J1757" s="48"/>
      <c r="K1757" s="48"/>
      <c r="L1757" s="48"/>
    </row>
    <row r="1758" spans="1:12" ht="13.2" customHeight="1" x14ac:dyDescent="0.25">
      <c r="A1758" s="32"/>
      <c r="B1758" s="32"/>
      <c r="C1758" s="32"/>
      <c r="D1758" s="32"/>
      <c r="E1758" s="32"/>
      <c r="F1758" s="32"/>
      <c r="G1758" s="32"/>
    </row>
    <row r="1759" spans="1:12" x14ac:dyDescent="0.25">
      <c r="A1759" s="6" t="s">
        <v>14</v>
      </c>
      <c r="B1759" s="7" t="s">
        <v>638</v>
      </c>
      <c r="C1759" s="9" t="s">
        <v>15</v>
      </c>
    </row>
    <row r="1760" spans="1:12" x14ac:dyDescent="0.25">
      <c r="A1760" s="10" t="s">
        <v>16</v>
      </c>
      <c r="B1760" s="152">
        <v>2022</v>
      </c>
      <c r="C1760" s="170">
        <v>2023</v>
      </c>
      <c r="D1760" s="152">
        <v>2024</v>
      </c>
      <c r="E1760" s="152">
        <v>2025</v>
      </c>
    </row>
    <row r="1761" spans="1:11" x14ac:dyDescent="0.25">
      <c r="A1761" s="10" t="s">
        <v>17</v>
      </c>
      <c r="B1761" s="154">
        <v>140</v>
      </c>
      <c r="C1761" s="172">
        <v>170</v>
      </c>
      <c r="D1761" s="173">
        <v>170</v>
      </c>
      <c r="E1761" s="173">
        <v>170</v>
      </c>
    </row>
    <row r="1762" spans="1:11" x14ac:dyDescent="0.25">
      <c r="A1762" s="10" t="s">
        <v>18</v>
      </c>
      <c r="B1762" s="154">
        <f>B1761+0.25*140</f>
        <v>175</v>
      </c>
      <c r="C1762" s="154">
        <f>C1761+0.25*140</f>
        <v>205</v>
      </c>
      <c r="D1762" s="154">
        <f>D1761+2.08</f>
        <v>172.08</v>
      </c>
      <c r="E1762" s="154">
        <f>E1761+0.25*C1761</f>
        <v>212.5</v>
      </c>
    </row>
    <row r="1763" spans="1:11" x14ac:dyDescent="0.25">
      <c r="A1763" s="10" t="s">
        <v>19</v>
      </c>
      <c r="B1763" s="174" t="s">
        <v>887</v>
      </c>
      <c r="C1763" s="174" t="s">
        <v>888</v>
      </c>
      <c r="D1763" s="174" t="s">
        <v>928</v>
      </c>
      <c r="E1763" s="174" t="s">
        <v>1061</v>
      </c>
    </row>
    <row r="1764" spans="1:11" x14ac:dyDescent="0.25">
      <c r="A1764" s="10" t="s">
        <v>20</v>
      </c>
      <c r="B1764" s="154">
        <v>21.678999999999998</v>
      </c>
      <c r="C1764" s="172">
        <v>0</v>
      </c>
      <c r="D1764" s="154">
        <v>0</v>
      </c>
      <c r="E1764" s="154"/>
    </row>
    <row r="1765" spans="1:11" x14ac:dyDescent="0.25">
      <c r="A1765" s="10" t="s">
        <v>21</v>
      </c>
      <c r="B1765" s="154">
        <f>B1762-B1764</f>
        <v>153.321</v>
      </c>
      <c r="C1765" s="154">
        <f>C1762-C1764</f>
        <v>205</v>
      </c>
      <c r="D1765" s="154">
        <f>D1762-D1764</f>
        <v>172.08</v>
      </c>
      <c r="E1765" s="154"/>
    </row>
    <row r="1766" spans="1:11" x14ac:dyDescent="0.25">
      <c r="A1766" s="16" t="s">
        <v>22</v>
      </c>
      <c r="B1766" s="157">
        <v>2024</v>
      </c>
      <c r="C1766" s="176">
        <v>2025</v>
      </c>
      <c r="D1766" s="157">
        <v>2026</v>
      </c>
      <c r="E1766" s="157">
        <v>2027</v>
      </c>
    </row>
    <row r="1767" spans="1:11" x14ac:dyDescent="0.25">
      <c r="A1767" s="16" t="s">
        <v>23</v>
      </c>
      <c r="B1767" s="46"/>
      <c r="C1767" s="46"/>
      <c r="D1767" s="47"/>
      <c r="E1767" s="47"/>
    </row>
    <row r="1768" spans="1:11" x14ac:dyDescent="0.25">
      <c r="A1768" s="39" t="s">
        <v>383</v>
      </c>
      <c r="D1768" s="64"/>
      <c r="E1768" s="64"/>
    </row>
    <row r="1769" spans="1:11" ht="13.2" customHeight="1" x14ac:dyDescent="0.25">
      <c r="A1769" s="41" t="s">
        <v>927</v>
      </c>
      <c r="B1769" s="335"/>
      <c r="C1769" s="335"/>
      <c r="D1769" s="336"/>
      <c r="E1769" s="336"/>
    </row>
    <row r="1770" spans="1:11" ht="13.2" customHeight="1" x14ac:dyDescent="0.25">
      <c r="B1770" s="4"/>
      <c r="C1770" s="4"/>
      <c r="D1770" s="4"/>
      <c r="E1770" s="4"/>
    </row>
    <row r="1771" spans="1:11" x14ac:dyDescent="0.25">
      <c r="A1771" s="6" t="s">
        <v>14</v>
      </c>
      <c r="B1771" s="7" t="s">
        <v>79</v>
      </c>
      <c r="C1771" s="7" t="s">
        <v>152</v>
      </c>
    </row>
    <row r="1772" spans="1:11" x14ac:dyDescent="0.25">
      <c r="A1772" s="41" t="s">
        <v>16</v>
      </c>
      <c r="B1772" s="272">
        <v>2016</v>
      </c>
      <c r="C1772" s="152">
        <v>2017</v>
      </c>
      <c r="D1772" s="152">
        <v>2018</v>
      </c>
      <c r="E1772" s="152">
        <v>2019</v>
      </c>
      <c r="F1772" s="152">
        <v>2020</v>
      </c>
      <c r="G1772" s="152">
        <v>2021</v>
      </c>
      <c r="H1772" s="152">
        <v>2022</v>
      </c>
      <c r="I1772" s="152">
        <v>2023</v>
      </c>
      <c r="J1772" s="152">
        <v>2024</v>
      </c>
      <c r="K1772" s="152">
        <v>2025</v>
      </c>
    </row>
    <row r="1773" spans="1:11" x14ac:dyDescent="0.25">
      <c r="A1773" s="10" t="s">
        <v>17</v>
      </c>
      <c r="B1773" s="12">
        <v>2</v>
      </c>
      <c r="C1773" s="12">
        <v>2</v>
      </c>
      <c r="D1773" s="12">
        <v>2</v>
      </c>
      <c r="E1773" s="12">
        <v>2</v>
      </c>
      <c r="F1773" s="12">
        <v>2</v>
      </c>
      <c r="G1773" s="12">
        <v>2</v>
      </c>
      <c r="H1773" s="12">
        <v>2</v>
      </c>
      <c r="I1773" s="12">
        <v>2</v>
      </c>
      <c r="J1773" s="12">
        <v>2</v>
      </c>
      <c r="K1773" s="12">
        <v>2</v>
      </c>
    </row>
    <row r="1774" spans="1:11" x14ac:dyDescent="0.25">
      <c r="A1774" s="10" t="s">
        <v>18</v>
      </c>
      <c r="B1774" s="12"/>
      <c r="C1774" s="12">
        <f>C1773+B1777</f>
        <v>-1.5599999999999996</v>
      </c>
      <c r="D1774" s="12">
        <f>D1773+C1777</f>
        <v>-7.0599999999999987</v>
      </c>
      <c r="E1774" s="12">
        <f>E1773+D1777</f>
        <v>-11.759999999999998</v>
      </c>
      <c r="F1774" s="12">
        <f>F1773+E1777</f>
        <v>-14.86</v>
      </c>
      <c r="G1774" s="12">
        <f>G1773+F1777</f>
        <v>-21.86</v>
      </c>
      <c r="H1774" s="12">
        <f>H1773+1.25*G1777</f>
        <v>-27.325000000000003</v>
      </c>
      <c r="I1774" s="12">
        <f>I1773+1.25*H1777</f>
        <v>-34.03125</v>
      </c>
      <c r="J1774" s="12">
        <f>J1773+1.25*I1777</f>
        <v>-46.0390625</v>
      </c>
      <c r="K1774" s="12">
        <f>K1773+1.25*J1777</f>
        <v>-61.650120625</v>
      </c>
    </row>
    <row r="1775" spans="1:11" x14ac:dyDescent="0.25">
      <c r="A1775" s="10" t="s">
        <v>19</v>
      </c>
      <c r="B1775" s="154"/>
      <c r="C1775" s="154" t="s">
        <v>399</v>
      </c>
      <c r="D1775" s="154" t="s">
        <v>400</v>
      </c>
      <c r="E1775" s="154" t="s">
        <v>401</v>
      </c>
      <c r="F1775" s="154" t="s">
        <v>402</v>
      </c>
      <c r="G1775" s="154" t="s">
        <v>566</v>
      </c>
      <c r="H1775" s="154" t="s">
        <v>604</v>
      </c>
      <c r="I1775" s="154" t="s">
        <v>625</v>
      </c>
      <c r="J1775" s="154" t="s">
        <v>784</v>
      </c>
      <c r="K1775" s="154" t="s">
        <v>996</v>
      </c>
    </row>
    <row r="1776" spans="1:11" x14ac:dyDescent="0.25">
      <c r="A1776" s="10" t="s">
        <v>20</v>
      </c>
      <c r="B1776" s="154">
        <v>5.56</v>
      </c>
      <c r="C1776" s="154">
        <v>7.5</v>
      </c>
      <c r="D1776" s="154">
        <v>6.7</v>
      </c>
      <c r="E1776" s="154">
        <v>5.0999999999999996</v>
      </c>
      <c r="F1776" s="154">
        <v>9</v>
      </c>
      <c r="G1776" s="154">
        <v>1.6</v>
      </c>
      <c r="H1776" s="154">
        <v>1.5</v>
      </c>
      <c r="I1776" s="12">
        <v>4.4000000000000004</v>
      </c>
      <c r="J1776" s="154">
        <v>4.8810339999999997</v>
      </c>
      <c r="K1776" s="154"/>
    </row>
    <row r="1777" spans="1:11" x14ac:dyDescent="0.25">
      <c r="A1777" s="10" t="s">
        <v>21</v>
      </c>
      <c r="B1777" s="12">
        <f>B1773-B1776</f>
        <v>-3.5599999999999996</v>
      </c>
      <c r="C1777" s="12">
        <f t="shared" ref="C1777:J1777" si="75">C1774-C1776</f>
        <v>-9.0599999999999987</v>
      </c>
      <c r="D1777" s="12">
        <f t="shared" si="75"/>
        <v>-13.759999999999998</v>
      </c>
      <c r="E1777" s="12">
        <f t="shared" si="75"/>
        <v>-16.86</v>
      </c>
      <c r="F1777" s="12">
        <f t="shared" si="75"/>
        <v>-23.86</v>
      </c>
      <c r="G1777" s="12">
        <f t="shared" si="75"/>
        <v>-23.46</v>
      </c>
      <c r="H1777" s="12">
        <f t="shared" si="75"/>
        <v>-28.825000000000003</v>
      </c>
      <c r="I1777" s="12">
        <f t="shared" si="75"/>
        <v>-38.431249999999999</v>
      </c>
      <c r="J1777" s="12">
        <f t="shared" si="75"/>
        <v>-50.9200965</v>
      </c>
      <c r="K1777" s="12"/>
    </row>
    <row r="1778" spans="1:11" x14ac:dyDescent="0.25">
      <c r="A1778" s="16" t="s">
        <v>22</v>
      </c>
      <c r="B1778" s="454">
        <v>2017</v>
      </c>
      <c r="C1778" s="454">
        <v>2018</v>
      </c>
      <c r="D1778" s="454">
        <v>2019</v>
      </c>
      <c r="E1778" s="454">
        <v>2020</v>
      </c>
      <c r="F1778" s="454">
        <v>2021</v>
      </c>
      <c r="G1778" s="454">
        <v>2022</v>
      </c>
      <c r="H1778" s="454">
        <v>2023</v>
      </c>
      <c r="I1778" s="454">
        <v>2024</v>
      </c>
      <c r="J1778" s="454">
        <v>2025</v>
      </c>
      <c r="K1778" s="477">
        <v>2026</v>
      </c>
    </row>
    <row r="1779" spans="1:11" x14ac:dyDescent="0.25">
      <c r="A1779" s="29" t="s">
        <v>179</v>
      </c>
      <c r="B1779" s="30"/>
      <c r="C1779" s="30"/>
      <c r="D1779" s="30"/>
      <c r="E1779" s="30"/>
      <c r="F1779" s="30"/>
      <c r="G1779" s="30"/>
      <c r="H1779" s="30"/>
      <c r="I1779" s="30"/>
      <c r="J1779" s="30"/>
      <c r="K1779" s="88"/>
    </row>
    <row r="1780" spans="1:11" x14ac:dyDescent="0.25">
      <c r="A1780" s="470" t="s">
        <v>1089</v>
      </c>
      <c r="B1780" s="19"/>
      <c r="C1780" s="19"/>
      <c r="D1780" s="19"/>
      <c r="E1780" s="19"/>
      <c r="F1780" s="487"/>
      <c r="G1780" s="19"/>
      <c r="H1780" s="19"/>
      <c r="I1780" s="19"/>
      <c r="J1780" s="19"/>
      <c r="K1780" s="63"/>
    </row>
    <row r="1781" spans="1:11" x14ac:dyDescent="0.25">
      <c r="A1781" s="56" t="s">
        <v>1090</v>
      </c>
      <c r="K1781" s="64"/>
    </row>
    <row r="1782" spans="1:11" x14ac:dyDescent="0.25">
      <c r="A1782" s="56" t="s">
        <v>1091</v>
      </c>
      <c r="K1782" s="64"/>
    </row>
    <row r="1783" spans="1:11" x14ac:dyDescent="0.25">
      <c r="A1783" s="56" t="s">
        <v>1092</v>
      </c>
      <c r="C1783" s="346"/>
      <c r="K1783" s="64"/>
    </row>
    <row r="1784" spans="1:11" x14ac:dyDescent="0.25">
      <c r="A1784" s="56" t="s">
        <v>1093</v>
      </c>
      <c r="C1784" s="346"/>
      <c r="K1784" s="64"/>
    </row>
    <row r="1785" spans="1:11" x14ac:dyDescent="0.25">
      <c r="A1785" s="56" t="s">
        <v>895</v>
      </c>
      <c r="C1785" s="346"/>
      <c r="K1785" s="64"/>
    </row>
    <row r="1786" spans="1:11" x14ac:dyDescent="0.25">
      <c r="A1786" s="56" t="s">
        <v>896</v>
      </c>
      <c r="C1786" s="346"/>
      <c r="K1786" s="64"/>
    </row>
    <row r="1787" spans="1:11" x14ac:dyDescent="0.25">
      <c r="A1787" s="56" t="s">
        <v>1023</v>
      </c>
      <c r="C1787" s="346"/>
      <c r="K1787" s="64"/>
    </row>
    <row r="1788" spans="1:11" x14ac:dyDescent="0.25">
      <c r="A1788" s="488" t="s">
        <v>1125</v>
      </c>
      <c r="B1788" s="34"/>
      <c r="C1788" s="311"/>
      <c r="D1788" s="34"/>
      <c r="E1788" s="34"/>
      <c r="F1788" s="34"/>
      <c r="G1788" s="34"/>
      <c r="H1788" s="34"/>
      <c r="I1788" s="34"/>
      <c r="J1788" s="34"/>
      <c r="K1788" s="48"/>
    </row>
    <row r="1789" spans="1:11" ht="13.2" customHeight="1" x14ac:dyDescent="0.25">
      <c r="B1789" s="4"/>
      <c r="C1789" s="4"/>
      <c r="D1789" s="4"/>
      <c r="E1789" s="4"/>
    </row>
    <row r="1790" spans="1:11" ht="13.2" customHeight="1" x14ac:dyDescent="0.25">
      <c r="A1790" s="32"/>
      <c r="B1790" s="32"/>
      <c r="C1790" s="32"/>
      <c r="D1790" s="32"/>
      <c r="E1790" s="32"/>
      <c r="F1790" s="32"/>
      <c r="G1790" s="32"/>
    </row>
    <row r="1791" spans="1:11" x14ac:dyDescent="0.25">
      <c r="A1791" s="98" t="s">
        <v>12</v>
      </c>
      <c r="B1791" s="66" t="s">
        <v>897</v>
      </c>
      <c r="C1791" s="8"/>
      <c r="D1791" s="8"/>
      <c r="E1791" s="8"/>
      <c r="F1791" s="8"/>
      <c r="G1791" s="8"/>
    </row>
    <row r="1792" spans="1:11" x14ac:dyDescent="0.25">
      <c r="A1792" s="6" t="s">
        <v>14</v>
      </c>
      <c r="B1792" s="7" t="s">
        <v>74</v>
      </c>
      <c r="C1792" s="7" t="s">
        <v>152</v>
      </c>
    </row>
    <row r="1793" spans="1:11" x14ac:dyDescent="0.25">
      <c r="A1793" s="41" t="s">
        <v>16</v>
      </c>
      <c r="B1793" s="272">
        <v>2016</v>
      </c>
      <c r="C1793" s="152">
        <v>2017</v>
      </c>
      <c r="D1793" s="152">
        <v>2018</v>
      </c>
      <c r="E1793" s="152">
        <v>2019</v>
      </c>
      <c r="F1793" s="152">
        <v>2020</v>
      </c>
      <c r="G1793" s="152">
        <v>2021</v>
      </c>
      <c r="H1793" s="152">
        <v>2022</v>
      </c>
      <c r="I1793" s="152">
        <v>2023</v>
      </c>
      <c r="J1793" s="152">
        <v>2024</v>
      </c>
      <c r="K1793" s="152">
        <v>2025</v>
      </c>
    </row>
    <row r="1794" spans="1:11" x14ac:dyDescent="0.25">
      <c r="A1794" s="10" t="s">
        <v>17</v>
      </c>
      <c r="B1794" s="12">
        <v>45</v>
      </c>
      <c r="C1794" s="12">
        <v>45</v>
      </c>
      <c r="D1794" s="12">
        <v>45</v>
      </c>
      <c r="E1794" s="12">
        <v>45</v>
      </c>
      <c r="F1794" s="12">
        <v>37.9</v>
      </c>
      <c r="G1794" s="12">
        <v>37.9</v>
      </c>
      <c r="H1794" s="12">
        <v>37.9</v>
      </c>
      <c r="I1794" s="12">
        <v>37.9</v>
      </c>
      <c r="J1794" s="12">
        <v>37.9</v>
      </c>
      <c r="K1794" s="12">
        <v>37.9</v>
      </c>
    </row>
    <row r="1795" spans="1:11" ht="15" x14ac:dyDescent="0.25">
      <c r="A1795" s="10" t="s">
        <v>18</v>
      </c>
      <c r="B1795" s="12">
        <v>16.39</v>
      </c>
      <c r="C1795" s="12">
        <f>C1794+B1798</f>
        <v>51.59</v>
      </c>
      <c r="D1795" s="12">
        <f>D1794+0.2*C1794</f>
        <v>54</v>
      </c>
      <c r="E1795" s="12">
        <f>E1794+0.2*D1794</f>
        <v>54</v>
      </c>
      <c r="F1795" s="489">
        <f>F1794+E1798</f>
        <v>4.3999999999999986</v>
      </c>
      <c r="G1795" s="489">
        <f>G1794+F1798</f>
        <v>8.3489999999999966</v>
      </c>
      <c r="H1795" s="489">
        <f>1.25*G1798+H1794</f>
        <v>-87.29249999999999</v>
      </c>
      <c r="I1795" s="489">
        <f xml:space="preserve"> 1.25*H1798+I1794</f>
        <v>-165.110625</v>
      </c>
      <c r="J1795" s="489">
        <f xml:space="preserve"> 1.25*I1798+J1794</f>
        <v>-263.47578125000001</v>
      </c>
      <c r="K1795" s="489">
        <f xml:space="preserve"> 1.25*J1798+K1794</f>
        <v>-327.19472656250008</v>
      </c>
    </row>
    <row r="1796" spans="1:11" x14ac:dyDescent="0.25">
      <c r="A1796" s="10" t="s">
        <v>19</v>
      </c>
      <c r="B1796" s="154"/>
      <c r="C1796" s="154" t="s">
        <v>399</v>
      </c>
      <c r="D1796" s="154" t="s">
        <v>400</v>
      </c>
      <c r="E1796" s="154" t="s">
        <v>401</v>
      </c>
      <c r="F1796" s="154" t="s">
        <v>402</v>
      </c>
      <c r="G1796" s="154" t="s">
        <v>566</v>
      </c>
      <c r="H1796" s="154" t="s">
        <v>604</v>
      </c>
      <c r="I1796" s="154" t="s">
        <v>625</v>
      </c>
      <c r="J1796" s="154" t="s">
        <v>784</v>
      </c>
      <c r="K1796" s="154" t="s">
        <v>996</v>
      </c>
    </row>
    <row r="1797" spans="1:11" ht="15" x14ac:dyDescent="0.25">
      <c r="A1797" s="10" t="s">
        <v>20</v>
      </c>
      <c r="B1797" s="154">
        <v>9.8000000000000007</v>
      </c>
      <c r="C1797" s="154">
        <v>12.6</v>
      </c>
      <c r="D1797" s="490">
        <v>5</v>
      </c>
      <c r="E1797" s="490">
        <v>87.5</v>
      </c>
      <c r="F1797" s="490">
        <v>33.951000000000001</v>
      </c>
      <c r="G1797" s="490">
        <v>108.503</v>
      </c>
      <c r="H1797" s="490">
        <v>75.116</v>
      </c>
      <c r="I1797" s="490">
        <v>75.989999999999995</v>
      </c>
      <c r="J1797" s="490">
        <v>28.6</v>
      </c>
      <c r="K1797" s="154"/>
    </row>
    <row r="1798" spans="1:11" ht="15" x14ac:dyDescent="0.25">
      <c r="A1798" s="10" t="s">
        <v>21</v>
      </c>
      <c r="B1798" s="12">
        <f t="shared" ref="B1798:J1798" si="76">B1795-B1797</f>
        <v>6.59</v>
      </c>
      <c r="C1798" s="12">
        <f t="shared" si="76"/>
        <v>38.99</v>
      </c>
      <c r="D1798" s="12">
        <f t="shared" si="76"/>
        <v>49</v>
      </c>
      <c r="E1798" s="489">
        <f t="shared" si="76"/>
        <v>-33.5</v>
      </c>
      <c r="F1798" s="489">
        <f t="shared" si="76"/>
        <v>-29.551000000000002</v>
      </c>
      <c r="G1798" s="489">
        <f t="shared" si="76"/>
        <v>-100.154</v>
      </c>
      <c r="H1798" s="489">
        <f t="shared" si="76"/>
        <v>-162.4085</v>
      </c>
      <c r="I1798" s="489">
        <f t="shared" si="76"/>
        <v>-241.10062499999998</v>
      </c>
      <c r="J1798" s="489">
        <f t="shared" si="76"/>
        <v>-292.07578125000003</v>
      </c>
      <c r="K1798" s="12"/>
    </row>
    <row r="1799" spans="1:11" x14ac:dyDescent="0.25">
      <c r="A1799" s="18" t="s">
        <v>22</v>
      </c>
      <c r="B1799" s="640">
        <v>2017</v>
      </c>
      <c r="C1799" s="640">
        <v>2018</v>
      </c>
      <c r="D1799" s="640">
        <v>2019</v>
      </c>
      <c r="E1799" s="640">
        <v>2020</v>
      </c>
      <c r="F1799" s="640">
        <v>2021</v>
      </c>
      <c r="G1799" s="640">
        <v>2022</v>
      </c>
      <c r="H1799" s="640">
        <v>2023</v>
      </c>
      <c r="I1799" s="640">
        <v>2024</v>
      </c>
      <c r="J1799" s="640">
        <v>2025</v>
      </c>
      <c r="K1799" s="640">
        <v>2026</v>
      </c>
    </row>
    <row r="1800" spans="1:11" x14ac:dyDescent="0.25">
      <c r="A1800" s="18" t="s">
        <v>179</v>
      </c>
      <c r="B1800" s="19"/>
      <c r="C1800" s="19"/>
      <c r="D1800" s="19"/>
      <c r="E1800" s="19"/>
      <c r="F1800" s="19"/>
      <c r="G1800" s="19"/>
      <c r="H1800" s="19"/>
      <c r="I1800" s="19"/>
      <c r="J1800" s="19"/>
      <c r="K1800" s="63"/>
    </row>
    <row r="1801" spans="1:11" x14ac:dyDescent="0.25">
      <c r="A1801" s="56" t="s">
        <v>403</v>
      </c>
      <c r="F1801" s="267"/>
      <c r="K1801" s="64"/>
    </row>
    <row r="1802" spans="1:11" x14ac:dyDescent="0.25">
      <c r="A1802" s="56" t="s">
        <v>898</v>
      </c>
      <c r="K1802" s="64"/>
    </row>
    <row r="1803" spans="1:11" x14ac:dyDescent="0.25">
      <c r="A1803" s="56" t="s">
        <v>899</v>
      </c>
      <c r="K1803" s="64"/>
    </row>
    <row r="1804" spans="1:11" x14ac:dyDescent="0.25">
      <c r="A1804" s="56" t="s">
        <v>565</v>
      </c>
      <c r="C1804" s="346"/>
      <c r="K1804" s="64"/>
    </row>
    <row r="1805" spans="1:11" x14ac:dyDescent="0.25">
      <c r="A1805" s="56" t="s">
        <v>567</v>
      </c>
      <c r="C1805" s="346"/>
      <c r="K1805" s="64"/>
    </row>
    <row r="1806" spans="1:11" x14ac:dyDescent="0.25">
      <c r="A1806" s="56" t="s">
        <v>895</v>
      </c>
      <c r="C1806" s="346"/>
      <c r="K1806" s="64"/>
    </row>
    <row r="1807" spans="1:11" x14ac:dyDescent="0.25">
      <c r="A1807" s="56" t="s">
        <v>896</v>
      </c>
      <c r="C1807" s="346"/>
      <c r="K1807" s="64"/>
    </row>
    <row r="1808" spans="1:11" x14ac:dyDescent="0.25">
      <c r="A1808" s="56" t="s">
        <v>1023</v>
      </c>
      <c r="C1808" s="346"/>
      <c r="K1808" s="64"/>
    </row>
    <row r="1809" spans="1:11" x14ac:dyDescent="0.25">
      <c r="A1809" s="310" t="s">
        <v>1125</v>
      </c>
      <c r="B1809" s="34"/>
      <c r="C1809" s="311"/>
      <c r="D1809" s="34"/>
      <c r="E1809" s="34"/>
      <c r="F1809" s="34"/>
      <c r="G1809" s="34"/>
      <c r="H1809" s="34"/>
      <c r="I1809" s="34"/>
      <c r="J1809" s="34"/>
      <c r="K1809" s="48"/>
    </row>
    <row r="1810" spans="1:11" x14ac:dyDescent="0.25">
      <c r="A1810" s="49"/>
      <c r="C1810" s="346"/>
    </row>
    <row r="1811" spans="1:11" x14ac:dyDescent="0.25">
      <c r="A1811" s="6" t="s">
        <v>14</v>
      </c>
      <c r="B1811" s="7" t="s">
        <v>79</v>
      </c>
      <c r="C1811" s="7" t="s">
        <v>152</v>
      </c>
    </row>
    <row r="1812" spans="1:11" x14ac:dyDescent="0.25">
      <c r="A1812" s="41" t="s">
        <v>16</v>
      </c>
      <c r="B1812" s="272">
        <v>2016</v>
      </c>
      <c r="C1812" s="152">
        <v>2017</v>
      </c>
      <c r="D1812" s="152">
        <v>2018</v>
      </c>
      <c r="E1812" s="152">
        <v>2019</v>
      </c>
      <c r="F1812" s="152">
        <v>2020</v>
      </c>
      <c r="G1812" s="152">
        <v>2021</v>
      </c>
      <c r="H1812" s="152">
        <v>2022</v>
      </c>
      <c r="I1812" s="152">
        <v>2023</v>
      </c>
      <c r="J1812" s="152">
        <v>2024</v>
      </c>
      <c r="K1812" s="152">
        <v>2025</v>
      </c>
    </row>
    <row r="1813" spans="1:11" x14ac:dyDescent="0.25">
      <c r="A1813" s="10" t="s">
        <v>17</v>
      </c>
      <c r="B1813" s="12">
        <v>20</v>
      </c>
      <c r="C1813" s="12">
        <v>20</v>
      </c>
      <c r="D1813" s="12">
        <v>20</v>
      </c>
      <c r="E1813" s="12">
        <v>20</v>
      </c>
      <c r="F1813" s="12">
        <v>20</v>
      </c>
      <c r="G1813" s="12">
        <v>20</v>
      </c>
      <c r="H1813" s="12">
        <v>20</v>
      </c>
      <c r="I1813" s="12">
        <v>20</v>
      </c>
      <c r="J1813" s="12">
        <v>20</v>
      </c>
      <c r="K1813" s="12">
        <v>20</v>
      </c>
    </row>
    <row r="1814" spans="1:11" ht="15" x14ac:dyDescent="0.25">
      <c r="A1814" s="10" t="s">
        <v>18</v>
      </c>
      <c r="B1814" s="12">
        <v>24</v>
      </c>
      <c r="C1814" s="12">
        <f>C1813+0.2*B1813</f>
        <v>24</v>
      </c>
      <c r="D1814" s="12">
        <f>D1813+0.2*C1813</f>
        <v>24</v>
      </c>
      <c r="E1814" s="489">
        <f>E1813+0.2*D1813</f>
        <v>24</v>
      </c>
      <c r="F1814" s="489">
        <f>F1813+0.2*E1813</f>
        <v>24</v>
      </c>
      <c r="G1814" s="489"/>
      <c r="H1814" s="489">
        <f>H1813+G1817</f>
        <v>19.587</v>
      </c>
      <c r="I1814" s="489">
        <f xml:space="preserve"> 1.25*H1817+I1813</f>
        <v>11.083750000000002</v>
      </c>
      <c r="J1814" s="489">
        <f xml:space="preserve"> 1.25*I1817+J1813</f>
        <v>-2.0312499999999289E-2</v>
      </c>
      <c r="K1814" s="489">
        <f xml:space="preserve"> 1.25*J1817+K1813</f>
        <v>-1.025390625</v>
      </c>
    </row>
    <row r="1815" spans="1:11" x14ac:dyDescent="0.25">
      <c r="A1815" s="10" t="s">
        <v>19</v>
      </c>
      <c r="B1815" s="154"/>
      <c r="C1815" s="154" t="s">
        <v>399</v>
      </c>
      <c r="D1815" s="154" t="s">
        <v>400</v>
      </c>
      <c r="E1815" s="154" t="s">
        <v>401</v>
      </c>
      <c r="F1815" s="154" t="s">
        <v>402</v>
      </c>
      <c r="G1815" s="154" t="s">
        <v>566</v>
      </c>
      <c r="H1815" s="154" t="s">
        <v>604</v>
      </c>
      <c r="I1815" s="154" t="s">
        <v>625</v>
      </c>
      <c r="J1815" s="154" t="s">
        <v>784</v>
      </c>
      <c r="K1815" s="154" t="s">
        <v>996</v>
      </c>
    </row>
    <row r="1816" spans="1:11" ht="15" x14ac:dyDescent="0.25">
      <c r="A1816" s="10" t="s">
        <v>20</v>
      </c>
      <c r="B1816" s="154">
        <v>15</v>
      </c>
      <c r="C1816" s="154">
        <v>13</v>
      </c>
      <c r="D1816" s="490">
        <v>1.125</v>
      </c>
      <c r="E1816" s="490">
        <v>9.5559999999999992</v>
      </c>
      <c r="F1816" s="490">
        <v>10.503</v>
      </c>
      <c r="G1816" s="490">
        <v>20.413</v>
      </c>
      <c r="H1816" s="490">
        <v>26.72</v>
      </c>
      <c r="I1816" s="489">
        <v>27.1</v>
      </c>
      <c r="J1816" s="490">
        <v>16.8</v>
      </c>
      <c r="K1816" s="154"/>
    </row>
    <row r="1817" spans="1:11" ht="15" x14ac:dyDescent="0.25">
      <c r="A1817" s="10" t="s">
        <v>21</v>
      </c>
      <c r="B1817" s="12">
        <f>B1814-B1816</f>
        <v>9</v>
      </c>
      <c r="C1817" s="12">
        <f>C1814-C1816</f>
        <v>11</v>
      </c>
      <c r="D1817" s="489">
        <f>D1814-D1816</f>
        <v>22.875</v>
      </c>
      <c r="E1817" s="489">
        <f>E1814-E1816</f>
        <v>14.444000000000001</v>
      </c>
      <c r="F1817" s="489">
        <f>F1814-F1816</f>
        <v>13.497</v>
      </c>
      <c r="G1817" s="489">
        <f>G1813-G1816</f>
        <v>-0.41300000000000026</v>
      </c>
      <c r="H1817" s="489">
        <f>H1814-H1816</f>
        <v>-7.1329999999999991</v>
      </c>
      <c r="I1817" s="489">
        <f>I1814-I1816</f>
        <v>-16.016249999999999</v>
      </c>
      <c r="J1817" s="489">
        <f>J1814-J1816</f>
        <v>-16.8203125</v>
      </c>
      <c r="K1817" s="12"/>
    </row>
    <row r="1818" spans="1:11" x14ac:dyDescent="0.25">
      <c r="A1818" s="18" t="s">
        <v>22</v>
      </c>
      <c r="B1818" s="640">
        <v>2017</v>
      </c>
      <c r="C1818" s="640">
        <v>2018</v>
      </c>
      <c r="D1818" s="640">
        <v>2019</v>
      </c>
      <c r="E1818" s="640">
        <v>2020</v>
      </c>
      <c r="F1818" s="640">
        <v>2021</v>
      </c>
      <c r="G1818" s="640">
        <v>2022</v>
      </c>
      <c r="H1818" s="640">
        <v>2023</v>
      </c>
      <c r="I1818" s="640">
        <v>2024</v>
      </c>
      <c r="J1818" s="640">
        <v>2025</v>
      </c>
      <c r="K1818" s="640">
        <v>2026</v>
      </c>
    </row>
    <row r="1819" spans="1:11" x14ac:dyDescent="0.25">
      <c r="A1819" s="18" t="s">
        <v>179</v>
      </c>
      <c r="B1819" s="19"/>
      <c r="C1819" s="19"/>
      <c r="D1819" s="19"/>
      <c r="E1819" s="19"/>
      <c r="F1819" s="19"/>
      <c r="G1819" s="19"/>
      <c r="H1819" s="19"/>
      <c r="I1819" s="19"/>
      <c r="J1819" s="19"/>
      <c r="K1819" s="63"/>
    </row>
    <row r="1820" spans="1:11" x14ac:dyDescent="0.25">
      <c r="A1820" s="56" t="s">
        <v>900</v>
      </c>
      <c r="F1820" s="267"/>
      <c r="K1820" s="64"/>
    </row>
    <row r="1821" spans="1:11" x14ac:dyDescent="0.25">
      <c r="A1821" s="56" t="s">
        <v>898</v>
      </c>
      <c r="K1821" s="64"/>
    </row>
    <row r="1822" spans="1:11" x14ac:dyDescent="0.25">
      <c r="A1822" s="56" t="s">
        <v>899</v>
      </c>
      <c r="K1822" s="64"/>
    </row>
    <row r="1823" spans="1:11" x14ac:dyDescent="0.25">
      <c r="A1823" s="56" t="s">
        <v>901</v>
      </c>
      <c r="C1823" s="346"/>
      <c r="K1823" s="64"/>
    </row>
    <row r="1824" spans="1:11" x14ac:dyDescent="0.25">
      <c r="A1824" s="56" t="s">
        <v>902</v>
      </c>
      <c r="C1824" s="346"/>
      <c r="K1824" s="64"/>
    </row>
    <row r="1825" spans="1:11" x14ac:dyDescent="0.25">
      <c r="A1825" s="56" t="s">
        <v>605</v>
      </c>
      <c r="C1825" s="346"/>
      <c r="K1825" s="64"/>
    </row>
    <row r="1826" spans="1:11" x14ac:dyDescent="0.25">
      <c r="A1826" s="56" t="s">
        <v>896</v>
      </c>
      <c r="C1826" s="346"/>
      <c r="K1826" s="64"/>
    </row>
    <row r="1827" spans="1:11" x14ac:dyDescent="0.25">
      <c r="A1827" s="56" t="s">
        <v>1023</v>
      </c>
      <c r="C1827" s="346"/>
      <c r="K1827" s="64"/>
    </row>
    <row r="1828" spans="1:11" x14ac:dyDescent="0.25">
      <c r="A1828" s="56" t="s">
        <v>1125</v>
      </c>
      <c r="B1828" s="34"/>
      <c r="C1828" s="311"/>
      <c r="D1828" s="34"/>
      <c r="E1828" s="34"/>
      <c r="F1828" s="34"/>
      <c r="G1828" s="34"/>
      <c r="H1828" s="34"/>
      <c r="I1828" s="34"/>
      <c r="J1828" s="34"/>
      <c r="K1828" s="48"/>
    </row>
    <row r="1830" spans="1:11" x14ac:dyDescent="0.25">
      <c r="A1830" s="6" t="s">
        <v>11</v>
      </c>
      <c r="B1830" s="7" t="s">
        <v>217</v>
      </c>
      <c r="C1830" s="8"/>
    </row>
    <row r="1831" spans="1:11" x14ac:dyDescent="0.25">
      <c r="A1831" s="6" t="s">
        <v>1</v>
      </c>
      <c r="B1831" s="7" t="s">
        <v>623</v>
      </c>
      <c r="C1831" s="9" t="s">
        <v>2</v>
      </c>
    </row>
    <row r="1832" spans="1:11" x14ac:dyDescent="0.25">
      <c r="A1832" s="10" t="s">
        <v>3</v>
      </c>
      <c r="B1832" s="11"/>
      <c r="C1832" s="152">
        <v>2018</v>
      </c>
      <c r="D1832" s="170">
        <v>2019</v>
      </c>
      <c r="E1832" s="152">
        <v>2020</v>
      </c>
      <c r="F1832" s="152">
        <v>2021</v>
      </c>
      <c r="G1832" s="152">
        <v>2022</v>
      </c>
      <c r="H1832" s="152">
        <v>2023</v>
      </c>
      <c r="I1832" s="152">
        <v>2024</v>
      </c>
      <c r="J1832" s="152">
        <v>2025</v>
      </c>
    </row>
    <row r="1833" spans="1:11" x14ac:dyDescent="0.25">
      <c r="A1833" s="10" t="s">
        <v>4</v>
      </c>
      <c r="B1833" s="11"/>
      <c r="C1833" s="12">
        <v>250</v>
      </c>
      <c r="D1833" s="186">
        <v>250</v>
      </c>
      <c r="E1833" s="12">
        <v>250</v>
      </c>
      <c r="F1833" s="187">
        <v>250</v>
      </c>
      <c r="G1833" s="187">
        <v>250</v>
      </c>
      <c r="H1833" s="187">
        <v>250</v>
      </c>
      <c r="I1833" s="187">
        <v>250</v>
      </c>
      <c r="J1833" s="187">
        <v>250</v>
      </c>
    </row>
    <row r="1834" spans="1:11" x14ac:dyDescent="0.25">
      <c r="A1834" s="10" t="s">
        <v>5</v>
      </c>
      <c r="B1834" s="11"/>
      <c r="C1834" s="12">
        <v>200</v>
      </c>
      <c r="D1834" s="12">
        <v>225</v>
      </c>
      <c r="E1834" s="12">
        <f>E1835</f>
        <v>225</v>
      </c>
      <c r="F1834" s="187">
        <f>F1835</f>
        <v>200</v>
      </c>
      <c r="G1834" s="187">
        <f>G1835</f>
        <v>200</v>
      </c>
      <c r="H1834" s="187">
        <f>H1835</f>
        <v>225</v>
      </c>
      <c r="I1834" s="187">
        <f>I1835</f>
        <v>225</v>
      </c>
      <c r="J1834" s="187">
        <v>325</v>
      </c>
    </row>
    <row r="1835" spans="1:11" x14ac:dyDescent="0.25">
      <c r="A1835" s="10" t="s">
        <v>6</v>
      </c>
      <c r="B1835" s="11"/>
      <c r="C1835" s="12">
        <v>200</v>
      </c>
      <c r="D1835" s="12">
        <v>225</v>
      </c>
      <c r="E1835" s="12">
        <f>1.4*E1833-125</f>
        <v>225</v>
      </c>
      <c r="F1835" s="187">
        <f>F1833+0.4*E1833-150</f>
        <v>200</v>
      </c>
      <c r="G1835" s="187">
        <f>G1833+0.4*F1833-150</f>
        <v>200</v>
      </c>
      <c r="H1835" s="187">
        <f>H1833+0.4*G1833-125</f>
        <v>225</v>
      </c>
      <c r="I1835" s="187">
        <f>I1833+0.4*H1833-125</f>
        <v>225</v>
      </c>
      <c r="J1835" s="187"/>
    </row>
    <row r="1836" spans="1:11" x14ac:dyDescent="0.25">
      <c r="A1836" s="10" t="s">
        <v>7</v>
      </c>
      <c r="B1836" s="11"/>
      <c r="C1836" s="12">
        <v>43.54</v>
      </c>
      <c r="D1836" s="12">
        <v>13.63</v>
      </c>
      <c r="E1836" s="12">
        <v>10</v>
      </c>
      <c r="F1836" s="187">
        <v>20</v>
      </c>
      <c r="G1836" s="187">
        <v>0</v>
      </c>
      <c r="H1836" s="187">
        <v>54.02</v>
      </c>
      <c r="I1836" s="187">
        <v>16.52</v>
      </c>
      <c r="J1836" s="90"/>
    </row>
    <row r="1837" spans="1:11" x14ac:dyDescent="0.25">
      <c r="A1837" s="10" t="s">
        <v>8</v>
      </c>
      <c r="B1837" s="11"/>
      <c r="C1837" s="12">
        <v>156.46</v>
      </c>
      <c r="D1837" s="186">
        <v>211.37</v>
      </c>
      <c r="E1837" s="12">
        <f>E1834-E1836</f>
        <v>215</v>
      </c>
      <c r="F1837" s="187">
        <f>F1834-F1836</f>
        <v>180</v>
      </c>
      <c r="G1837" s="187">
        <f>G1834-G1836</f>
        <v>200</v>
      </c>
      <c r="H1837" s="187">
        <f>H1834-H1836</f>
        <v>170.98</v>
      </c>
      <c r="I1837" s="187">
        <f>I1834-I1836</f>
        <v>208.48</v>
      </c>
      <c r="J1837" s="90"/>
    </row>
    <row r="1838" spans="1:11" x14ac:dyDescent="0.25">
      <c r="A1838" s="16" t="s">
        <v>9</v>
      </c>
      <c r="B1838" s="17"/>
      <c r="C1838" s="157">
        <v>2019</v>
      </c>
      <c r="D1838" s="176">
        <v>2020</v>
      </c>
      <c r="E1838" s="157">
        <v>2021</v>
      </c>
      <c r="F1838" s="47">
        <v>2022</v>
      </c>
      <c r="G1838" s="47">
        <v>2023</v>
      </c>
      <c r="H1838" s="47">
        <v>2024</v>
      </c>
      <c r="I1838" s="47">
        <v>2025</v>
      </c>
      <c r="J1838" s="90"/>
    </row>
    <row r="1839" spans="1:11" x14ac:dyDescent="0.25">
      <c r="A1839" s="18" t="s">
        <v>164</v>
      </c>
      <c r="B1839" s="19"/>
      <c r="C1839" s="19"/>
      <c r="D1839" s="19"/>
      <c r="E1839" s="19"/>
      <c r="F1839" s="19"/>
      <c r="G1839" s="19"/>
      <c r="H1839" s="19"/>
      <c r="I1839" s="19"/>
      <c r="J1839" s="63"/>
    </row>
    <row r="1840" spans="1:11" x14ac:dyDescent="0.25">
      <c r="A1840" s="39" t="s">
        <v>218</v>
      </c>
      <c r="J1840" s="64"/>
    </row>
    <row r="1841" spans="1:10" x14ac:dyDescent="0.25">
      <c r="A1841" s="39" t="s">
        <v>513</v>
      </c>
      <c r="J1841" s="64"/>
    </row>
    <row r="1842" spans="1:10" ht="13.2" customHeight="1" x14ac:dyDescent="0.25">
      <c r="A1842" s="159" t="s">
        <v>514</v>
      </c>
      <c r="B1842" s="121"/>
      <c r="C1842" s="121"/>
      <c r="D1842" s="121"/>
      <c r="E1842" s="121"/>
      <c r="F1842" s="121"/>
      <c r="G1842" s="121"/>
      <c r="H1842" s="121"/>
      <c r="I1842" s="121"/>
      <c r="J1842" s="64"/>
    </row>
    <row r="1843" spans="1:10" x14ac:dyDescent="0.25">
      <c r="A1843" s="159" t="s">
        <v>515</v>
      </c>
      <c r="B1843" s="32"/>
      <c r="C1843" s="32"/>
      <c r="D1843" s="32"/>
      <c r="E1843" s="32"/>
      <c r="F1843" s="32"/>
      <c r="G1843" s="32"/>
      <c r="H1843" s="32"/>
      <c r="I1843" s="32"/>
      <c r="J1843" s="64"/>
    </row>
    <row r="1844" spans="1:10" x14ac:dyDescent="0.25">
      <c r="A1844" s="39" t="s">
        <v>516</v>
      </c>
      <c r="B1844" s="32"/>
      <c r="C1844" s="32"/>
      <c r="D1844" s="32"/>
      <c r="E1844" s="32"/>
      <c r="F1844" s="32"/>
      <c r="G1844" s="32"/>
      <c r="H1844" s="32"/>
      <c r="I1844" s="32"/>
      <c r="J1844" s="64"/>
    </row>
    <row r="1845" spans="1:10" x14ac:dyDescent="0.25">
      <c r="A1845" s="39" t="s">
        <v>843</v>
      </c>
      <c r="B1845" s="32"/>
      <c r="C1845" s="32"/>
      <c r="D1845" s="32"/>
      <c r="E1845" s="32"/>
      <c r="F1845" s="32"/>
      <c r="G1845" s="32"/>
      <c r="H1845" s="32"/>
      <c r="I1845" s="32"/>
      <c r="J1845" s="64"/>
    </row>
    <row r="1846" spans="1:10" x14ac:dyDescent="0.25">
      <c r="A1846" s="39" t="s">
        <v>844</v>
      </c>
      <c r="B1846" s="32"/>
      <c r="C1846" s="32"/>
      <c r="D1846" s="32"/>
      <c r="E1846" s="32"/>
      <c r="F1846" s="32"/>
      <c r="G1846" s="32"/>
      <c r="H1846" s="32"/>
      <c r="I1846" s="32"/>
      <c r="J1846" s="64"/>
    </row>
    <row r="1847" spans="1:10" x14ac:dyDescent="0.25">
      <c r="A1847" s="39" t="s">
        <v>1053</v>
      </c>
      <c r="B1847" s="32"/>
      <c r="C1847" s="32"/>
      <c r="D1847" s="32"/>
      <c r="E1847" s="32"/>
      <c r="F1847" s="32"/>
      <c r="G1847" s="32"/>
      <c r="H1847" s="32"/>
      <c r="I1847" s="32"/>
      <c r="J1847" s="64"/>
    </row>
    <row r="1848" spans="1:10" ht="13.2" customHeight="1" x14ac:dyDescent="0.25">
      <c r="A1848" s="42" t="s">
        <v>1195</v>
      </c>
      <c r="B1848" s="43"/>
      <c r="C1848" s="43"/>
      <c r="D1848" s="43"/>
      <c r="E1848" s="43"/>
      <c r="F1848" s="43"/>
      <c r="G1848" s="34"/>
      <c r="H1848" s="34"/>
      <c r="I1848" s="34"/>
      <c r="J1848" s="48"/>
    </row>
    <row r="1850" spans="1:10" x14ac:dyDescent="0.25">
      <c r="A1850" s="6" t="s">
        <v>1</v>
      </c>
      <c r="B1850" s="7" t="s">
        <v>641</v>
      </c>
      <c r="C1850" s="9" t="s">
        <v>2</v>
      </c>
    </row>
    <row r="1851" spans="1:10" x14ac:dyDescent="0.25">
      <c r="A1851" s="10" t="s">
        <v>3</v>
      </c>
      <c r="B1851" s="11"/>
      <c r="C1851" s="152">
        <v>2018</v>
      </c>
      <c r="D1851" s="170">
        <v>2019</v>
      </c>
      <c r="E1851" s="152">
        <v>2020</v>
      </c>
      <c r="F1851" s="152">
        <v>2021</v>
      </c>
      <c r="G1851" s="152">
        <v>2022</v>
      </c>
      <c r="H1851" s="152">
        <v>2023</v>
      </c>
      <c r="I1851" s="152">
        <v>2024</v>
      </c>
      <c r="J1851" s="491">
        <v>2025</v>
      </c>
    </row>
    <row r="1852" spans="1:10" x14ac:dyDescent="0.25">
      <c r="A1852" s="10" t="s">
        <v>4</v>
      </c>
      <c r="B1852" s="11"/>
      <c r="C1852" s="12">
        <v>417</v>
      </c>
      <c r="D1852" s="12">
        <v>417</v>
      </c>
      <c r="E1852" s="12">
        <v>417</v>
      </c>
      <c r="F1852" s="12">
        <v>417</v>
      </c>
      <c r="G1852" s="12">
        <v>417</v>
      </c>
      <c r="H1852" s="12">
        <v>417</v>
      </c>
      <c r="I1852" s="12">
        <v>417</v>
      </c>
      <c r="J1852" s="90">
        <v>417</v>
      </c>
    </row>
    <row r="1853" spans="1:10" x14ac:dyDescent="0.25">
      <c r="A1853" s="10" t="s">
        <v>5</v>
      </c>
      <c r="B1853" s="11"/>
      <c r="C1853" s="12">
        <v>500.4</v>
      </c>
      <c r="D1853" s="12">
        <v>500.4</v>
      </c>
      <c r="E1853" s="12">
        <f>E1854</f>
        <v>500.4</v>
      </c>
      <c r="F1853" s="12">
        <v>500.4</v>
      </c>
      <c r="G1853" s="12">
        <v>500.4</v>
      </c>
      <c r="H1853" s="12">
        <f>H1854</f>
        <v>458.7</v>
      </c>
      <c r="I1853" s="12">
        <f>I1854</f>
        <v>458.7</v>
      </c>
      <c r="J1853" s="90">
        <v>458.7</v>
      </c>
    </row>
    <row r="1854" spans="1:10" x14ac:dyDescent="0.25">
      <c r="A1854" s="10" t="s">
        <v>6</v>
      </c>
      <c r="B1854" s="11"/>
      <c r="C1854" s="12">
        <v>500.4</v>
      </c>
      <c r="D1854" s="12">
        <v>500.4</v>
      </c>
      <c r="E1854" s="12">
        <f>1.2*E1852</f>
        <v>500.4</v>
      </c>
      <c r="F1854" s="12">
        <v>500.4</v>
      </c>
      <c r="G1854" s="12">
        <v>500.4</v>
      </c>
      <c r="H1854" s="12">
        <f>H1852+0.1*G1852</f>
        <v>458.7</v>
      </c>
      <c r="I1854" s="12">
        <f>I1852+0.1*H1852</f>
        <v>458.7</v>
      </c>
      <c r="J1854" s="90"/>
    </row>
    <row r="1855" spans="1:10" x14ac:dyDescent="0.25">
      <c r="A1855" s="10" t="s">
        <v>7</v>
      </c>
      <c r="B1855" s="11"/>
      <c r="C1855" s="12">
        <v>92.8</v>
      </c>
      <c r="D1855" s="12">
        <v>166.9</v>
      </c>
      <c r="E1855" s="12">
        <v>0</v>
      </c>
      <c r="F1855" s="12">
        <v>0</v>
      </c>
      <c r="G1855" s="12">
        <v>0</v>
      </c>
      <c r="H1855" s="12">
        <v>0</v>
      </c>
      <c r="I1855" s="12">
        <v>0</v>
      </c>
      <c r="J1855" s="90"/>
    </row>
    <row r="1856" spans="1:10" x14ac:dyDescent="0.25">
      <c r="A1856" s="10" t="s">
        <v>8</v>
      </c>
      <c r="B1856" s="11"/>
      <c r="C1856" s="12">
        <v>407.59999999999997</v>
      </c>
      <c r="D1856" s="12">
        <f t="shared" ref="D1856:I1856" si="77">D1853-D1855</f>
        <v>333.5</v>
      </c>
      <c r="E1856" s="12">
        <f t="shared" si="77"/>
        <v>500.4</v>
      </c>
      <c r="F1856" s="12">
        <f t="shared" si="77"/>
        <v>500.4</v>
      </c>
      <c r="G1856" s="12">
        <f t="shared" si="77"/>
        <v>500.4</v>
      </c>
      <c r="H1856" s="12">
        <f t="shared" si="77"/>
        <v>458.7</v>
      </c>
      <c r="I1856" s="12">
        <f t="shared" si="77"/>
        <v>458.7</v>
      </c>
      <c r="J1856" s="90"/>
    </row>
    <row r="1857" spans="1:15" x14ac:dyDescent="0.25">
      <c r="A1857" s="16" t="s">
        <v>9</v>
      </c>
      <c r="B1857" s="17"/>
      <c r="C1857" s="157">
        <v>2019</v>
      </c>
      <c r="D1857" s="176">
        <v>2020</v>
      </c>
      <c r="E1857" s="157">
        <v>2021</v>
      </c>
      <c r="F1857" s="177">
        <v>2022</v>
      </c>
      <c r="G1857" s="177">
        <v>2023</v>
      </c>
      <c r="H1857" s="177">
        <v>2024</v>
      </c>
      <c r="I1857" s="177">
        <v>2025</v>
      </c>
      <c r="J1857" s="178">
        <v>2026</v>
      </c>
    </row>
    <row r="1858" spans="1:15" x14ac:dyDescent="0.25">
      <c r="A1858" s="18" t="s">
        <v>164</v>
      </c>
      <c r="B1858" s="19"/>
      <c r="C1858" s="19"/>
      <c r="D1858" s="19"/>
      <c r="E1858" s="19"/>
      <c r="F1858" s="19"/>
      <c r="G1858" s="19"/>
      <c r="H1858" s="19"/>
      <c r="I1858" s="19"/>
      <c r="J1858" s="63"/>
    </row>
    <row r="1859" spans="1:15" x14ac:dyDescent="0.25">
      <c r="A1859" s="39" t="s">
        <v>218</v>
      </c>
      <c r="J1859" s="64"/>
    </row>
    <row r="1860" spans="1:15" s="121" customFormat="1" ht="12.75" customHeight="1" x14ac:dyDescent="0.25">
      <c r="A1860" s="39" t="s">
        <v>219</v>
      </c>
      <c r="B1860" s="3"/>
      <c r="C1860" s="3"/>
      <c r="D1860" s="3"/>
      <c r="E1860" s="3"/>
      <c r="F1860" s="3"/>
      <c r="J1860" s="492"/>
    </row>
    <row r="1861" spans="1:15" s="121" customFormat="1" ht="12.75" customHeight="1" x14ac:dyDescent="0.25">
      <c r="A1861" s="39" t="s">
        <v>315</v>
      </c>
      <c r="B1861" s="3"/>
      <c r="C1861" s="3"/>
      <c r="D1861" s="3"/>
      <c r="E1861" s="3"/>
      <c r="F1861" s="3"/>
      <c r="J1861" s="492"/>
    </row>
    <row r="1862" spans="1:15" s="121" customFormat="1" ht="12.75" customHeight="1" x14ac:dyDescent="0.25">
      <c r="A1862" s="39" t="s">
        <v>698</v>
      </c>
      <c r="B1862" s="3"/>
      <c r="C1862" s="3"/>
      <c r="D1862" s="3"/>
      <c r="E1862" s="3"/>
      <c r="F1862" s="3"/>
      <c r="J1862" s="492"/>
    </row>
    <row r="1863" spans="1:15" s="121" customFormat="1" ht="12.75" customHeight="1" x14ac:dyDescent="0.25">
      <c r="A1863" s="39" t="s">
        <v>697</v>
      </c>
      <c r="B1863" s="3"/>
      <c r="C1863" s="3"/>
      <c r="D1863" s="3"/>
      <c r="E1863" s="3"/>
      <c r="F1863" s="3"/>
      <c r="J1863" s="492"/>
    </row>
    <row r="1864" spans="1:15" s="121" customFormat="1" x14ac:dyDescent="0.25">
      <c r="A1864" s="159" t="s">
        <v>845</v>
      </c>
      <c r="J1864" s="492"/>
    </row>
    <row r="1865" spans="1:15" s="121" customFormat="1" x14ac:dyDescent="0.25">
      <c r="A1865" s="159" t="s">
        <v>1054</v>
      </c>
      <c r="J1865" s="492"/>
    </row>
    <row r="1866" spans="1:15" s="121" customFormat="1" ht="12.75" customHeight="1" x14ac:dyDescent="0.25">
      <c r="A1866" s="42" t="s">
        <v>1194</v>
      </c>
      <c r="B1866" s="43"/>
      <c r="C1866" s="43"/>
      <c r="D1866" s="43"/>
      <c r="E1866" s="43"/>
      <c r="F1866" s="43"/>
      <c r="G1866" s="179"/>
      <c r="H1866" s="179"/>
      <c r="I1866" s="179"/>
      <c r="J1866" s="493"/>
    </row>
    <row r="1868" spans="1:15" x14ac:dyDescent="0.25">
      <c r="A1868" s="98" t="s">
        <v>14</v>
      </c>
      <c r="B1868" s="66" t="s">
        <v>66</v>
      </c>
      <c r="C1868" s="67" t="s">
        <v>15</v>
      </c>
      <c r="D1868" s="8"/>
      <c r="E1868" s="8"/>
      <c r="F1868" s="8"/>
    </row>
    <row r="1869" spans="1:15" x14ac:dyDescent="0.25">
      <c r="A1869" s="68" t="s">
        <v>16</v>
      </c>
      <c r="B1869" s="69"/>
      <c r="C1869" s="152">
        <v>2020</v>
      </c>
      <c r="D1869" s="152">
        <v>2021</v>
      </c>
      <c r="E1869" s="152">
        <v>2022</v>
      </c>
      <c r="F1869" s="152">
        <v>2023</v>
      </c>
      <c r="G1869" s="152">
        <v>2024</v>
      </c>
      <c r="H1869" s="152">
        <v>2025</v>
      </c>
      <c r="I1869" s="152">
        <v>2026</v>
      </c>
      <c r="J1869" s="152">
        <v>2027</v>
      </c>
      <c r="K1869" s="152">
        <v>2028</v>
      </c>
      <c r="L1869" s="152">
        <v>2029</v>
      </c>
      <c r="M1869" s="152">
        <v>2030</v>
      </c>
      <c r="N1869" s="152">
        <v>2031</v>
      </c>
      <c r="O1869" s="152">
        <v>2032</v>
      </c>
    </row>
    <row r="1870" spans="1:15" x14ac:dyDescent="0.25">
      <c r="A1870" s="68" t="s">
        <v>17</v>
      </c>
      <c r="B1870" s="72"/>
      <c r="C1870" s="12">
        <v>1322.73</v>
      </c>
      <c r="D1870" s="12">
        <v>1301.5663200000001</v>
      </c>
      <c r="E1870" s="12">
        <v>1312.14816</v>
      </c>
      <c r="F1870" s="12">
        <v>1312.14816</v>
      </c>
      <c r="G1870" s="12">
        <v>1312.14816</v>
      </c>
      <c r="H1870" s="12">
        <v>1312.14816</v>
      </c>
      <c r="I1870" s="12">
        <v>1312.14816</v>
      </c>
      <c r="J1870" s="12">
        <v>1312.14816</v>
      </c>
      <c r="K1870" s="12">
        <v>1312.14816</v>
      </c>
      <c r="L1870" s="12">
        <v>1312.14816</v>
      </c>
      <c r="M1870" s="12">
        <v>1312.14816</v>
      </c>
      <c r="N1870" s="12">
        <v>1312.14816</v>
      </c>
      <c r="O1870" s="12">
        <v>1312.14816</v>
      </c>
    </row>
    <row r="1871" spans="1:15" x14ac:dyDescent="0.25">
      <c r="A1871" s="68" t="s">
        <v>18</v>
      </c>
      <c r="B1871" s="72"/>
      <c r="C1871" s="12"/>
      <c r="D1871" s="12"/>
      <c r="E1871" s="12"/>
      <c r="F1871" s="12">
        <f>F1870-137.77</f>
        <v>1174.37816</v>
      </c>
      <c r="G1871" s="12">
        <f t="shared" ref="G1871:O1871" si="78">G1870-137.77</f>
        <v>1174.37816</v>
      </c>
      <c r="H1871" s="12">
        <f>H1870-137.77+F1874</f>
        <v>1173.96632</v>
      </c>
      <c r="I1871" s="12">
        <f t="shared" si="78"/>
        <v>1174.37816</v>
      </c>
      <c r="J1871" s="12">
        <f t="shared" si="78"/>
        <v>1174.37816</v>
      </c>
      <c r="K1871" s="12">
        <f t="shared" si="78"/>
        <v>1174.37816</v>
      </c>
      <c r="L1871" s="12">
        <f t="shared" si="78"/>
        <v>1174.37816</v>
      </c>
      <c r="M1871" s="12">
        <f t="shared" si="78"/>
        <v>1174.37816</v>
      </c>
      <c r="N1871" s="12">
        <f t="shared" si="78"/>
        <v>1174.37816</v>
      </c>
      <c r="O1871" s="12">
        <f t="shared" si="78"/>
        <v>1174.37816</v>
      </c>
    </row>
    <row r="1872" spans="1:15" x14ac:dyDescent="0.25">
      <c r="A1872" s="68" t="s">
        <v>19</v>
      </c>
      <c r="B1872" s="72"/>
      <c r="C1872" s="12"/>
      <c r="D1872" s="494"/>
      <c r="E1872" s="494" t="s">
        <v>531</v>
      </c>
      <c r="F1872" s="494" t="s">
        <v>531</v>
      </c>
      <c r="G1872" s="494" t="s">
        <v>531</v>
      </c>
      <c r="H1872" s="494" t="s">
        <v>1055</v>
      </c>
      <c r="I1872" s="494" t="s">
        <v>531</v>
      </c>
      <c r="J1872" s="494" t="s">
        <v>531</v>
      </c>
      <c r="K1872" s="494" t="s">
        <v>531</v>
      </c>
      <c r="L1872" s="494" t="s">
        <v>531</v>
      </c>
      <c r="M1872" s="494" t="s">
        <v>531</v>
      </c>
      <c r="N1872" s="494" t="s">
        <v>531</v>
      </c>
      <c r="O1872" s="494" t="s">
        <v>531</v>
      </c>
    </row>
    <row r="1873" spans="1:15" x14ac:dyDescent="0.25">
      <c r="A1873" s="68" t="s">
        <v>20</v>
      </c>
      <c r="B1873" s="72"/>
      <c r="C1873" s="12">
        <v>2700.5</v>
      </c>
      <c r="D1873" s="12">
        <v>702.1</v>
      </c>
      <c r="E1873" s="12">
        <v>764.67</v>
      </c>
      <c r="F1873" s="12">
        <v>1174.79</v>
      </c>
      <c r="G1873" s="12">
        <v>581.6</v>
      </c>
      <c r="H1873" s="12"/>
      <c r="I1873" s="12"/>
      <c r="J1873" s="12"/>
      <c r="K1873" s="12"/>
      <c r="L1873" s="12"/>
      <c r="M1873" s="12"/>
      <c r="N1873" s="12"/>
      <c r="O1873" s="12"/>
    </row>
    <row r="1874" spans="1:15" x14ac:dyDescent="0.25">
      <c r="A1874" s="68" t="s">
        <v>21</v>
      </c>
      <c r="B1874" s="101"/>
      <c r="C1874" s="12">
        <f>C1870-C1873</f>
        <v>-1377.77</v>
      </c>
      <c r="D1874" s="12">
        <f>D1870-D1873</f>
        <v>599.46632000000011</v>
      </c>
      <c r="E1874" s="12">
        <f>E1870-E1873</f>
        <v>547.47816</v>
      </c>
      <c r="F1874" s="12">
        <f>F1871-F1873</f>
        <v>-0.41183999999998377</v>
      </c>
      <c r="G1874" s="12">
        <f>G1871-G1873</f>
        <v>592.77815999999996</v>
      </c>
      <c r="H1874" s="12"/>
      <c r="I1874" s="12"/>
      <c r="J1874" s="12"/>
      <c r="K1874" s="12"/>
      <c r="L1874" s="12"/>
      <c r="M1874" s="12"/>
      <c r="N1874" s="12"/>
      <c r="O1874" s="12"/>
    </row>
    <row r="1875" spans="1:15" x14ac:dyDescent="0.25">
      <c r="A1875" s="73" t="s">
        <v>22</v>
      </c>
      <c r="B1875" s="102"/>
      <c r="C1875" s="17">
        <v>2022</v>
      </c>
      <c r="D1875" s="17">
        <v>2023</v>
      </c>
      <c r="E1875" s="17"/>
      <c r="F1875" s="17"/>
      <c r="G1875" s="17"/>
      <c r="H1875" s="17"/>
      <c r="I1875" s="17"/>
      <c r="J1875" s="17"/>
      <c r="K1875" s="17"/>
      <c r="L1875" s="17"/>
      <c r="M1875" s="17"/>
      <c r="N1875" s="17"/>
      <c r="O1875" s="17"/>
    </row>
    <row r="1876" spans="1:15" ht="12.75" customHeight="1" x14ac:dyDescent="0.25">
      <c r="A1876" s="495" t="s">
        <v>564</v>
      </c>
      <c r="B1876" s="496"/>
      <c r="C1876" s="496"/>
      <c r="D1876" s="496"/>
      <c r="E1876" s="496"/>
      <c r="F1876" s="496"/>
      <c r="G1876" s="496"/>
      <c r="H1876" s="496"/>
      <c r="I1876" s="496"/>
      <c r="J1876" s="496"/>
      <c r="K1876" s="496"/>
      <c r="L1876" s="496"/>
      <c r="M1876" s="496"/>
      <c r="N1876" s="496"/>
      <c r="O1876" s="497"/>
    </row>
    <row r="1877" spans="1:15" ht="12.75" customHeight="1" x14ac:dyDescent="0.25">
      <c r="A1877" s="498" t="s">
        <v>933</v>
      </c>
      <c r="B1877" s="499"/>
      <c r="C1877" s="499"/>
      <c r="D1877" s="499"/>
      <c r="E1877" s="499"/>
      <c r="F1877" s="499"/>
      <c r="G1877" s="499"/>
      <c r="H1877" s="499"/>
      <c r="I1877" s="499"/>
      <c r="J1877" s="499"/>
      <c r="K1877" s="499"/>
      <c r="L1877" s="499"/>
      <c r="M1877" s="499"/>
      <c r="N1877" s="499"/>
      <c r="O1877" s="500"/>
    </row>
    <row r="1878" spans="1:15" ht="12.75" customHeight="1" x14ac:dyDescent="0.25">
      <c r="A1878" s="498" t="s">
        <v>1056</v>
      </c>
      <c r="B1878" s="499"/>
      <c r="C1878" s="499"/>
      <c r="D1878" s="499"/>
      <c r="E1878" s="499"/>
      <c r="F1878" s="499"/>
      <c r="G1878" s="499"/>
      <c r="H1878" s="499"/>
      <c r="I1878" s="499"/>
      <c r="J1878" s="499"/>
      <c r="K1878" s="499"/>
      <c r="L1878" s="499"/>
      <c r="M1878" s="499"/>
      <c r="N1878" s="499"/>
      <c r="O1878" s="500"/>
    </row>
    <row r="1879" spans="1:15" x14ac:dyDescent="0.25">
      <c r="A1879" s="42" t="s">
        <v>1196</v>
      </c>
      <c r="B1879" s="34"/>
      <c r="C1879" s="34"/>
      <c r="D1879" s="34"/>
      <c r="E1879" s="34"/>
      <c r="F1879" s="34"/>
      <c r="G1879" s="34"/>
      <c r="H1879" s="34"/>
      <c r="I1879" s="34"/>
      <c r="J1879" s="34"/>
      <c r="K1879" s="34"/>
      <c r="L1879" s="34"/>
      <c r="M1879" s="34"/>
      <c r="N1879" s="34"/>
      <c r="O1879" s="48"/>
    </row>
    <row r="1880" spans="1:15" x14ac:dyDescent="0.25">
      <c r="C1880" s="121"/>
    </row>
    <row r="1881" spans="1:15" x14ac:dyDescent="0.25">
      <c r="A1881" s="6" t="s">
        <v>14</v>
      </c>
      <c r="B1881" s="7" t="s">
        <v>74</v>
      </c>
      <c r="C1881" s="121"/>
    </row>
    <row r="1882" spans="1:15" x14ac:dyDescent="0.25">
      <c r="A1882" s="41" t="s">
        <v>16</v>
      </c>
      <c r="B1882" s="272">
        <v>2024</v>
      </c>
      <c r="C1882" s="491">
        <v>2025</v>
      </c>
    </row>
    <row r="1883" spans="1:15" x14ac:dyDescent="0.25">
      <c r="A1883" s="10" t="s">
        <v>17</v>
      </c>
      <c r="B1883" s="12">
        <v>50.5</v>
      </c>
      <c r="C1883" s="12">
        <v>50.5</v>
      </c>
    </row>
    <row r="1884" spans="1:15" x14ac:dyDescent="0.25">
      <c r="A1884" s="10" t="s">
        <v>18</v>
      </c>
      <c r="B1884" s="12"/>
      <c r="C1884" s="501">
        <f>C1883+B1887</f>
        <v>49.84</v>
      </c>
    </row>
    <row r="1885" spans="1:15" x14ac:dyDescent="0.25">
      <c r="A1885" s="10" t="s">
        <v>19</v>
      </c>
      <c r="B1885" s="154"/>
      <c r="C1885" s="502" t="s">
        <v>399</v>
      </c>
    </row>
    <row r="1886" spans="1:15" x14ac:dyDescent="0.25">
      <c r="A1886" s="10" t="s">
        <v>20</v>
      </c>
      <c r="B1886" s="154">
        <v>51.16</v>
      </c>
      <c r="C1886" s="503"/>
    </row>
    <row r="1887" spans="1:15" x14ac:dyDescent="0.25">
      <c r="A1887" s="10" t="s">
        <v>21</v>
      </c>
      <c r="B1887" s="26">
        <f>B1883-B1886</f>
        <v>-0.65999999999999659</v>
      </c>
      <c r="C1887" s="503"/>
    </row>
    <row r="1888" spans="1:15" x14ac:dyDescent="0.25">
      <c r="A1888" s="16" t="s">
        <v>22</v>
      </c>
      <c r="B1888" s="454"/>
      <c r="C1888" s="503"/>
    </row>
    <row r="1889" spans="1:12" x14ac:dyDescent="0.25">
      <c r="A1889" s="18" t="s">
        <v>179</v>
      </c>
      <c r="B1889" s="19"/>
      <c r="C1889" s="504"/>
    </row>
    <row r="1890" spans="1:12" x14ac:dyDescent="0.25">
      <c r="A1890" s="56" t="s">
        <v>1197</v>
      </c>
      <c r="C1890" s="492"/>
    </row>
    <row r="1891" spans="1:12" x14ac:dyDescent="0.25">
      <c r="A1891" s="41"/>
      <c r="B1891" s="34"/>
      <c r="C1891" s="493"/>
    </row>
    <row r="1893" spans="1:12" x14ac:dyDescent="0.25">
      <c r="A1893" s="6" t="s">
        <v>204</v>
      </c>
      <c r="B1893" s="7" t="s">
        <v>205</v>
      </c>
    </row>
    <row r="1894" spans="1:12" x14ac:dyDescent="0.25">
      <c r="A1894" s="6" t="s">
        <v>203</v>
      </c>
      <c r="B1894" s="7" t="s">
        <v>638</v>
      </c>
      <c r="C1894" s="9" t="s">
        <v>15</v>
      </c>
    </row>
    <row r="1895" spans="1:12" x14ac:dyDescent="0.25">
      <c r="A1895" s="11" t="s">
        <v>16</v>
      </c>
      <c r="B1895" s="11"/>
      <c r="C1895" s="11"/>
      <c r="D1895" s="152">
        <v>2018</v>
      </c>
      <c r="E1895" s="152">
        <v>2019</v>
      </c>
      <c r="F1895" s="152">
        <v>2020</v>
      </c>
      <c r="G1895" s="152">
        <v>2021</v>
      </c>
      <c r="H1895" s="152">
        <v>2022</v>
      </c>
      <c r="I1895" s="152">
        <v>2023</v>
      </c>
      <c r="J1895" s="152">
        <v>2024</v>
      </c>
      <c r="K1895" s="152">
        <v>2025</v>
      </c>
      <c r="L1895" s="152">
        <v>2026</v>
      </c>
    </row>
    <row r="1896" spans="1:12" x14ac:dyDescent="0.25">
      <c r="A1896" s="11" t="s">
        <v>17</v>
      </c>
      <c r="B1896" s="12"/>
      <c r="C1896" s="12"/>
      <c r="D1896" s="12">
        <v>4400</v>
      </c>
      <c r="E1896" s="12">
        <v>4400</v>
      </c>
      <c r="F1896" s="12">
        <v>4400</v>
      </c>
      <c r="G1896" s="12">
        <v>4400</v>
      </c>
      <c r="H1896" s="12">
        <v>4400</v>
      </c>
      <c r="I1896" s="12">
        <v>5280</v>
      </c>
      <c r="J1896" s="12">
        <v>5280</v>
      </c>
      <c r="K1896" s="12">
        <v>5280</v>
      </c>
      <c r="L1896" s="12">
        <v>5280</v>
      </c>
    </row>
    <row r="1897" spans="1:12" x14ac:dyDescent="0.25">
      <c r="A1897" s="11" t="s">
        <v>18</v>
      </c>
      <c r="B1897" s="12"/>
      <c r="C1897" s="12"/>
      <c r="D1897" s="12">
        <v>5500</v>
      </c>
      <c r="E1897" s="12">
        <f>E1896*1.25-900</f>
        <v>4600</v>
      </c>
      <c r="F1897" s="12">
        <f>F1896*1.25-600</f>
        <v>4900</v>
      </c>
      <c r="G1897" s="12">
        <f>G1896+E1900</f>
        <v>4597.134</v>
      </c>
      <c r="H1897" s="12">
        <f>H1896+F1900</f>
        <v>5274.0761000000002</v>
      </c>
      <c r="I1897" s="12">
        <f>I1896+G1900-100</f>
        <v>5854.6139999999996</v>
      </c>
      <c r="J1897" s="12">
        <f>J1896+0-100</f>
        <v>5180</v>
      </c>
      <c r="K1897" s="12">
        <f>1.25*I1896-100</f>
        <v>6500</v>
      </c>
      <c r="L1897" s="12">
        <v>5477.7</v>
      </c>
    </row>
    <row r="1898" spans="1:12" x14ac:dyDescent="0.25">
      <c r="A1898" s="10" t="s">
        <v>19</v>
      </c>
      <c r="B1898" s="282"/>
      <c r="C1898" s="12"/>
      <c r="D1898" s="12"/>
      <c r="E1898" s="12"/>
      <c r="F1898" s="12"/>
      <c r="G1898" s="12"/>
      <c r="H1898" s="12"/>
      <c r="I1898" s="12"/>
      <c r="J1898" s="12"/>
      <c r="K1898" s="12"/>
      <c r="L1898" s="12"/>
    </row>
    <row r="1899" spans="1:12" x14ac:dyDescent="0.25">
      <c r="A1899" s="10" t="s">
        <v>20</v>
      </c>
      <c r="B1899" s="12"/>
      <c r="C1899" s="12"/>
      <c r="D1899" s="12">
        <v>2572.5</v>
      </c>
      <c r="E1899" s="12">
        <v>4402.866</v>
      </c>
      <c r="F1899" s="12">
        <v>4025.9238999999998</v>
      </c>
      <c r="G1899" s="12">
        <v>3922.52</v>
      </c>
      <c r="H1899" s="12">
        <v>5586.99</v>
      </c>
      <c r="I1899" s="12">
        <v>2670.4437000000003</v>
      </c>
      <c r="J1899" s="12">
        <v>4882.3</v>
      </c>
      <c r="K1899" s="12"/>
      <c r="L1899" s="12"/>
    </row>
    <row r="1900" spans="1:12" x14ac:dyDescent="0.25">
      <c r="A1900" s="10" t="s">
        <v>21</v>
      </c>
      <c r="B1900" s="12"/>
      <c r="C1900" s="12"/>
      <c r="D1900" s="12">
        <f t="shared" ref="D1900:J1900" si="79">D1897-D1899</f>
        <v>2927.5</v>
      </c>
      <c r="E1900" s="12">
        <f t="shared" si="79"/>
        <v>197.13400000000001</v>
      </c>
      <c r="F1900" s="12">
        <f t="shared" si="79"/>
        <v>874.07610000000022</v>
      </c>
      <c r="G1900" s="12">
        <f t="shared" si="79"/>
        <v>674.61400000000003</v>
      </c>
      <c r="H1900" s="12">
        <f t="shared" si="79"/>
        <v>-312.91389999999956</v>
      </c>
      <c r="I1900" s="12">
        <f t="shared" si="79"/>
        <v>3184.1702999999993</v>
      </c>
      <c r="J1900" s="12">
        <f t="shared" si="79"/>
        <v>297.69999999999982</v>
      </c>
      <c r="K1900" s="12"/>
      <c r="L1900" s="12"/>
    </row>
    <row r="1901" spans="1:12" x14ac:dyDescent="0.25">
      <c r="A1901" s="16" t="s">
        <v>22</v>
      </c>
      <c r="B1901" s="17"/>
      <c r="C1901" s="17"/>
      <c r="D1901" s="157">
        <v>2020</v>
      </c>
      <c r="E1901" s="157">
        <v>2021</v>
      </c>
      <c r="F1901" s="157">
        <v>2022</v>
      </c>
      <c r="G1901" s="157">
        <v>2023</v>
      </c>
      <c r="H1901" s="157">
        <v>2024</v>
      </c>
      <c r="I1901" s="157">
        <v>2025</v>
      </c>
      <c r="J1901" s="157">
        <v>2026</v>
      </c>
      <c r="K1901" s="157">
        <v>2027</v>
      </c>
      <c r="L1901" s="157">
        <v>2027</v>
      </c>
    </row>
    <row r="1902" spans="1:12" x14ac:dyDescent="0.25">
      <c r="A1902" s="16" t="s">
        <v>23</v>
      </c>
      <c r="B1902" s="46"/>
      <c r="C1902" s="46"/>
      <c r="D1902" s="176"/>
      <c r="E1902" s="176"/>
      <c r="F1902" s="176"/>
      <c r="G1902" s="177"/>
      <c r="H1902" s="177"/>
      <c r="I1902" s="177"/>
      <c r="J1902" s="177"/>
      <c r="K1902" s="177"/>
      <c r="L1902" s="177"/>
    </row>
    <row r="1903" spans="1:12" x14ac:dyDescent="0.25">
      <c r="A1903" s="18" t="s">
        <v>115</v>
      </c>
      <c r="B1903" s="19"/>
      <c r="C1903" s="19"/>
      <c r="D1903" s="19"/>
      <c r="E1903" s="19"/>
      <c r="F1903" s="19"/>
      <c r="G1903" s="19"/>
      <c r="H1903" s="19"/>
      <c r="I1903" s="19"/>
      <c r="J1903" s="19"/>
      <c r="K1903" s="19"/>
      <c r="L1903" s="63"/>
    </row>
    <row r="1904" spans="1:12" x14ac:dyDescent="0.25">
      <c r="A1904" s="39" t="s">
        <v>326</v>
      </c>
      <c r="L1904" s="64"/>
    </row>
    <row r="1905" spans="1:12" x14ac:dyDescent="0.25">
      <c r="A1905" s="39" t="s">
        <v>327</v>
      </c>
      <c r="L1905" s="64"/>
    </row>
    <row r="1906" spans="1:12" x14ac:dyDescent="0.25">
      <c r="A1906" s="39" t="s">
        <v>466</v>
      </c>
      <c r="L1906" s="64"/>
    </row>
    <row r="1907" spans="1:12" x14ac:dyDescent="0.25">
      <c r="A1907" s="39" t="s">
        <v>905</v>
      </c>
      <c r="L1907" s="64"/>
    </row>
    <row r="1908" spans="1:12" x14ac:dyDescent="0.25">
      <c r="A1908" s="39" t="s">
        <v>817</v>
      </c>
      <c r="L1908" s="64"/>
    </row>
    <row r="1909" spans="1:12" x14ac:dyDescent="0.25">
      <c r="A1909" s="39" t="s">
        <v>1057</v>
      </c>
      <c r="L1909" s="64"/>
    </row>
    <row r="1910" spans="1:12" x14ac:dyDescent="0.25">
      <c r="A1910" s="39" t="s">
        <v>1058</v>
      </c>
      <c r="L1910" s="64"/>
    </row>
    <row r="1911" spans="1:12" x14ac:dyDescent="0.25">
      <c r="A1911" s="42" t="s">
        <v>1198</v>
      </c>
      <c r="B1911" s="34"/>
      <c r="C1911" s="34"/>
      <c r="D1911" s="34"/>
      <c r="E1911" s="34"/>
      <c r="F1911" s="34"/>
      <c r="G1911" s="34"/>
      <c r="H1911" s="34"/>
      <c r="I1911" s="34"/>
      <c r="J1911" s="34"/>
      <c r="K1911" s="34"/>
      <c r="L1911" s="48"/>
    </row>
    <row r="1913" spans="1:12" x14ac:dyDescent="0.25">
      <c r="A1913" s="6" t="s">
        <v>203</v>
      </c>
      <c r="B1913" s="7" t="s">
        <v>641</v>
      </c>
      <c r="C1913" s="9" t="s">
        <v>15</v>
      </c>
    </row>
    <row r="1914" spans="1:12" x14ac:dyDescent="0.25">
      <c r="A1914" s="11" t="s">
        <v>16</v>
      </c>
      <c r="B1914" s="11"/>
      <c r="C1914" s="152">
        <v>2016</v>
      </c>
      <c r="D1914" s="152">
        <v>2017</v>
      </c>
      <c r="E1914" s="152">
        <v>2018</v>
      </c>
      <c r="F1914" s="152">
        <v>2019</v>
      </c>
      <c r="G1914" s="152">
        <v>2020</v>
      </c>
      <c r="H1914" s="152">
        <v>2021</v>
      </c>
      <c r="I1914" s="152">
        <v>2022</v>
      </c>
      <c r="J1914" s="152">
        <v>2023</v>
      </c>
      <c r="K1914" s="152">
        <v>2024</v>
      </c>
    </row>
    <row r="1915" spans="1:12" x14ac:dyDescent="0.25">
      <c r="A1915" s="11" t="s">
        <v>17</v>
      </c>
      <c r="B1915" s="12"/>
      <c r="C1915" s="12">
        <v>1001</v>
      </c>
      <c r="D1915" s="12">
        <v>1001</v>
      </c>
      <c r="E1915" s="12">
        <v>1001</v>
      </c>
      <c r="F1915" s="12">
        <v>1001</v>
      </c>
      <c r="G1915" s="12">
        <v>1001</v>
      </c>
      <c r="H1915" s="12">
        <v>1001</v>
      </c>
      <c r="I1915" s="12">
        <v>1001</v>
      </c>
      <c r="J1915" s="12">
        <v>1001</v>
      </c>
      <c r="K1915" s="12">
        <v>1001</v>
      </c>
    </row>
    <row r="1916" spans="1:12" x14ac:dyDescent="0.25">
      <c r="A1916" s="11" t="s">
        <v>18</v>
      </c>
      <c r="B1916" s="12"/>
      <c r="C1916" s="12">
        <f>C1915*1.3-50</f>
        <v>1251.3</v>
      </c>
      <c r="D1916" s="12">
        <f>D1915*1.3-50</f>
        <v>1251.3</v>
      </c>
      <c r="E1916" s="12">
        <f>E1915*1.2-50</f>
        <v>1151.2</v>
      </c>
      <c r="F1916" s="12">
        <f>F1915*1.2-50</f>
        <v>1151.2</v>
      </c>
      <c r="G1916" s="12">
        <f>G1915*1.2-50</f>
        <v>1151.2</v>
      </c>
      <c r="H1916" s="12">
        <f>H1915*1.2-50</f>
        <v>1151.2</v>
      </c>
      <c r="I1916" s="12">
        <f>I1915*1.2-50</f>
        <v>1151.2</v>
      </c>
      <c r="J1916" s="12">
        <f>J1915*1.1-50</f>
        <v>1051.1000000000001</v>
      </c>
      <c r="K1916" s="12">
        <f>K1915*1.1-50</f>
        <v>1051.1000000000001</v>
      </c>
    </row>
    <row r="1917" spans="1:12" x14ac:dyDescent="0.25">
      <c r="A1917" s="10" t="s">
        <v>19</v>
      </c>
      <c r="B1917" s="282"/>
      <c r="C1917" s="478" t="s">
        <v>467</v>
      </c>
      <c r="D1917" s="478" t="s">
        <v>467</v>
      </c>
      <c r="E1917" s="478" t="s">
        <v>468</v>
      </c>
      <c r="F1917" s="478" t="s">
        <v>468</v>
      </c>
      <c r="G1917" s="478" t="s">
        <v>468</v>
      </c>
      <c r="H1917" s="478" t="s">
        <v>468</v>
      </c>
      <c r="I1917" s="478" t="s">
        <v>468</v>
      </c>
      <c r="J1917" s="478" t="s">
        <v>1059</v>
      </c>
      <c r="K1917" s="478" t="s">
        <v>1059</v>
      </c>
    </row>
    <row r="1918" spans="1:12" x14ac:dyDescent="0.25">
      <c r="A1918" s="10" t="s">
        <v>20</v>
      </c>
      <c r="B1918" s="12"/>
      <c r="C1918" s="12">
        <v>124.4</v>
      </c>
      <c r="D1918" s="12">
        <v>159</v>
      </c>
      <c r="E1918" s="12">
        <v>188.7</v>
      </c>
      <c r="F1918" s="12">
        <v>288.56359999999995</v>
      </c>
      <c r="G1918" s="12">
        <v>149.46553</v>
      </c>
      <c r="H1918" s="11">
        <v>228.99</v>
      </c>
      <c r="I1918" s="11">
        <v>160.58000000000001</v>
      </c>
      <c r="J1918" s="11">
        <v>291.24200000000002</v>
      </c>
      <c r="K1918" s="11">
        <v>291.10000000000002</v>
      </c>
    </row>
    <row r="1919" spans="1:12" x14ac:dyDescent="0.25">
      <c r="A1919" s="10" t="s">
        <v>21</v>
      </c>
      <c r="B1919" s="12"/>
      <c r="C1919" s="12">
        <f t="shared" ref="C1919:K1919" si="80">C1916-C1918</f>
        <v>1126.8999999999999</v>
      </c>
      <c r="D1919" s="12">
        <f t="shared" si="80"/>
        <v>1092.3</v>
      </c>
      <c r="E1919" s="12">
        <f t="shared" si="80"/>
        <v>962.5</v>
      </c>
      <c r="F1919" s="12">
        <f t="shared" si="80"/>
        <v>862.63640000000009</v>
      </c>
      <c r="G1919" s="12">
        <f t="shared" si="80"/>
        <v>1001.7344700000001</v>
      </c>
      <c r="H1919" s="12">
        <f t="shared" si="80"/>
        <v>922.21</v>
      </c>
      <c r="I1919" s="12">
        <f t="shared" si="80"/>
        <v>990.62</v>
      </c>
      <c r="J1919" s="12">
        <f t="shared" si="80"/>
        <v>759.85800000000017</v>
      </c>
      <c r="K1919" s="12">
        <f t="shared" si="80"/>
        <v>760.00000000000011</v>
      </c>
    </row>
    <row r="1920" spans="1:12" x14ac:dyDescent="0.25">
      <c r="A1920" s="16" t="s">
        <v>22</v>
      </c>
      <c r="B1920" s="17"/>
      <c r="C1920" s="157">
        <v>2018</v>
      </c>
      <c r="D1920" s="157">
        <v>2019</v>
      </c>
      <c r="E1920" s="157">
        <v>2020</v>
      </c>
      <c r="F1920" s="157">
        <v>2021</v>
      </c>
      <c r="G1920" s="157">
        <v>2022</v>
      </c>
      <c r="H1920" s="157">
        <v>2023</v>
      </c>
      <c r="I1920" s="157">
        <v>2024</v>
      </c>
      <c r="J1920" s="157">
        <v>2025</v>
      </c>
      <c r="K1920" s="157">
        <v>2026</v>
      </c>
    </row>
    <row r="1921" spans="1:12" x14ac:dyDescent="0.25">
      <c r="A1921" s="17" t="s">
        <v>23</v>
      </c>
      <c r="B1921" s="16"/>
      <c r="C1921" s="46"/>
      <c r="D1921" s="46"/>
      <c r="E1921" s="46"/>
      <c r="F1921" s="46"/>
      <c r="G1921" s="46"/>
      <c r="H1921" s="47"/>
      <c r="I1921" s="47"/>
      <c r="J1921" s="47"/>
      <c r="K1921" s="47"/>
    </row>
    <row r="1922" spans="1:12" x14ac:dyDescent="0.25">
      <c r="A1922" s="76" t="s">
        <v>455</v>
      </c>
      <c r="B1922" s="77"/>
      <c r="C1922" s="77"/>
      <c r="D1922" s="77"/>
      <c r="E1922" s="77"/>
      <c r="F1922" s="75"/>
      <c r="G1922" s="75"/>
      <c r="H1922" s="46"/>
      <c r="I1922" s="46"/>
      <c r="J1922" s="47"/>
      <c r="K1922" s="47"/>
    </row>
    <row r="1923" spans="1:12" x14ac:dyDescent="0.25">
      <c r="A1923" s="39" t="s">
        <v>454</v>
      </c>
      <c r="J1923" s="64"/>
      <c r="K1923" s="64"/>
    </row>
    <row r="1924" spans="1:12" x14ac:dyDescent="0.25">
      <c r="A1924" s="39" t="s">
        <v>834</v>
      </c>
      <c r="J1924" s="64"/>
      <c r="K1924" s="64"/>
    </row>
    <row r="1925" spans="1:12" x14ac:dyDescent="0.25">
      <c r="A1925" s="41" t="s">
        <v>1199</v>
      </c>
      <c r="B1925" s="34"/>
      <c r="C1925" s="34"/>
      <c r="D1925" s="34"/>
      <c r="E1925" s="34"/>
      <c r="F1925" s="34"/>
      <c r="G1925" s="34"/>
      <c r="H1925" s="34"/>
      <c r="I1925" s="34"/>
      <c r="J1925" s="48"/>
      <c r="K1925" s="48"/>
    </row>
    <row r="1928" spans="1:12" x14ac:dyDescent="0.25">
      <c r="A1928" s="6" t="s">
        <v>12</v>
      </c>
      <c r="B1928" s="7" t="s">
        <v>13</v>
      </c>
    </row>
    <row r="1929" spans="1:12" x14ac:dyDescent="0.25">
      <c r="A1929" s="6" t="s">
        <v>14</v>
      </c>
      <c r="B1929" s="7" t="s">
        <v>642</v>
      </c>
      <c r="C1929" s="9" t="s">
        <v>15</v>
      </c>
    </row>
    <row r="1930" spans="1:12" x14ac:dyDescent="0.25">
      <c r="A1930" s="10" t="s">
        <v>16</v>
      </c>
      <c r="B1930" s="11"/>
      <c r="C1930" s="505">
        <v>2016</v>
      </c>
      <c r="D1930" s="506">
        <v>2017</v>
      </c>
      <c r="E1930" s="505">
        <v>2018</v>
      </c>
      <c r="F1930" s="507">
        <v>2019</v>
      </c>
      <c r="G1930" s="507">
        <v>2020</v>
      </c>
      <c r="H1930" s="507">
        <v>2021</v>
      </c>
      <c r="I1930" s="507">
        <v>2022</v>
      </c>
      <c r="J1930" s="507">
        <v>2023</v>
      </c>
      <c r="K1930" s="507">
        <v>2024</v>
      </c>
      <c r="L1930" s="507">
        <v>2025</v>
      </c>
    </row>
    <row r="1931" spans="1:12" x14ac:dyDescent="0.25">
      <c r="A1931" s="10" t="s">
        <v>17</v>
      </c>
      <c r="B1931" s="11"/>
      <c r="C1931" s="12">
        <v>47.4</v>
      </c>
      <c r="D1931" s="186">
        <v>56.91</v>
      </c>
      <c r="E1931" s="12">
        <v>66</v>
      </c>
      <c r="F1931" s="187">
        <v>73</v>
      </c>
      <c r="G1931" s="187">
        <v>80</v>
      </c>
      <c r="H1931" s="187">
        <v>80</v>
      </c>
      <c r="I1931" s="187">
        <v>80</v>
      </c>
      <c r="J1931" s="187">
        <v>129</v>
      </c>
      <c r="K1931" s="187">
        <v>129</v>
      </c>
      <c r="L1931" s="187">
        <v>129</v>
      </c>
    </row>
    <row r="1932" spans="1:12" x14ac:dyDescent="0.25">
      <c r="A1932" s="10" t="s">
        <v>18</v>
      </c>
      <c r="B1932" s="11"/>
      <c r="C1932" s="12">
        <v>47.4</v>
      </c>
      <c r="D1932" s="186">
        <v>56.91</v>
      </c>
      <c r="E1932" s="12">
        <v>66</v>
      </c>
      <c r="F1932" s="187">
        <v>73</v>
      </c>
      <c r="G1932" s="187">
        <v>80</v>
      </c>
      <c r="H1932" s="187">
        <v>0.8</v>
      </c>
      <c r="I1932" s="187">
        <v>80</v>
      </c>
      <c r="J1932" s="187">
        <v>1</v>
      </c>
      <c r="K1932" s="187">
        <v>1</v>
      </c>
      <c r="L1932" s="187">
        <v>1</v>
      </c>
    </row>
    <row r="1933" spans="1:12" x14ac:dyDescent="0.25">
      <c r="A1933" s="10" t="s">
        <v>19</v>
      </c>
      <c r="B1933" s="11"/>
      <c r="C1933" s="12"/>
      <c r="D1933" s="186"/>
      <c r="E1933" s="12"/>
      <c r="F1933" s="187"/>
      <c r="G1933" s="187"/>
      <c r="H1933" s="508" t="s">
        <v>543</v>
      </c>
      <c r="I1933" s="508"/>
      <c r="J1933" s="508" t="s">
        <v>544</v>
      </c>
      <c r="K1933" s="508" t="s">
        <v>545</v>
      </c>
      <c r="L1933" s="508" t="s">
        <v>548</v>
      </c>
    </row>
    <row r="1934" spans="1:12" x14ac:dyDescent="0.25">
      <c r="A1934" s="10" t="s">
        <v>20</v>
      </c>
      <c r="B1934" s="11"/>
      <c r="C1934" s="12">
        <v>47.393000000000001</v>
      </c>
      <c r="D1934" s="186">
        <v>56.905999999999999</v>
      </c>
      <c r="E1934" s="12">
        <v>66</v>
      </c>
      <c r="F1934" s="187">
        <v>71.97</v>
      </c>
      <c r="G1934" s="187">
        <v>79.2</v>
      </c>
      <c r="H1934" s="187"/>
      <c r="I1934" s="187">
        <v>79.2</v>
      </c>
      <c r="J1934" s="187"/>
      <c r="K1934" s="187">
        <v>0</v>
      </c>
      <c r="L1934" s="187"/>
    </row>
    <row r="1935" spans="1:12" x14ac:dyDescent="0.25">
      <c r="A1935" s="10" t="s">
        <v>21</v>
      </c>
      <c r="B1935" s="11"/>
      <c r="C1935" s="12">
        <f>C1932-C1934</f>
        <v>6.9999999999978968E-3</v>
      </c>
      <c r="D1935" s="12">
        <f>D1932-D1934</f>
        <v>3.9999999999977831E-3</v>
      </c>
      <c r="E1935" s="12">
        <f>E1932-E1934</f>
        <v>0</v>
      </c>
      <c r="F1935" s="12">
        <f>F1932-F1934</f>
        <v>1.0300000000000011</v>
      </c>
      <c r="G1935" s="187">
        <f>G1932-G1934</f>
        <v>0.79999999999999716</v>
      </c>
      <c r="H1935" s="187"/>
      <c r="I1935" s="187">
        <v>0.79999999999999716</v>
      </c>
      <c r="J1935" s="187">
        <v>0</v>
      </c>
      <c r="K1935" s="187">
        <f>K1932-K1934</f>
        <v>1</v>
      </c>
      <c r="L1935" s="187"/>
    </row>
    <row r="1936" spans="1:12" x14ac:dyDescent="0.25">
      <c r="A1936" s="16" t="s">
        <v>22</v>
      </c>
      <c r="B1936" s="17"/>
      <c r="C1936" s="17"/>
      <c r="D1936" s="46"/>
      <c r="E1936" s="17"/>
      <c r="F1936" s="47"/>
      <c r="G1936" s="17"/>
      <c r="H1936" s="17"/>
      <c r="I1936" s="17"/>
      <c r="J1936" s="17"/>
      <c r="K1936" s="17">
        <v>2025</v>
      </c>
      <c r="L1936" s="17">
        <v>2026</v>
      </c>
    </row>
    <row r="1937" spans="1:13" x14ac:dyDescent="0.25">
      <c r="A1937" s="16" t="s">
        <v>23</v>
      </c>
      <c r="B1937" s="46"/>
      <c r="C1937" s="46"/>
      <c r="D1937" s="46"/>
      <c r="E1937" s="46"/>
      <c r="F1937" s="46"/>
      <c r="G1937" s="46"/>
      <c r="H1937" s="46"/>
      <c r="I1937" s="47"/>
      <c r="J1937" s="47"/>
      <c r="K1937" s="47"/>
    </row>
    <row r="1938" spans="1:13" x14ac:dyDescent="0.25">
      <c r="A1938" s="16" t="s">
        <v>950</v>
      </c>
      <c r="B1938" s="46"/>
      <c r="C1938" s="46"/>
      <c r="D1938" s="46"/>
      <c r="E1938" s="46"/>
      <c r="F1938" s="46"/>
      <c r="G1938" s="46"/>
      <c r="H1938" s="46"/>
      <c r="I1938" s="46"/>
      <c r="J1938" s="46"/>
      <c r="K1938" s="47"/>
    </row>
    <row r="1939" spans="1:13" x14ac:dyDescent="0.25">
      <c r="A1939" s="39" t="s">
        <v>951</v>
      </c>
      <c r="K1939" s="64"/>
    </row>
    <row r="1940" spans="1:13" x14ac:dyDescent="0.25">
      <c r="A1940" s="41" t="s">
        <v>952</v>
      </c>
      <c r="B1940" s="34"/>
      <c r="C1940" s="34"/>
      <c r="D1940" s="34"/>
      <c r="E1940" s="34"/>
      <c r="F1940" s="34"/>
      <c r="G1940" s="34"/>
      <c r="H1940" s="34"/>
      <c r="I1940" s="34"/>
      <c r="J1940" s="34"/>
      <c r="K1940" s="48"/>
    </row>
    <row r="1943" spans="1:13" x14ac:dyDescent="0.25">
      <c r="A1943" s="6" t="s">
        <v>12</v>
      </c>
      <c r="B1943" s="7" t="s">
        <v>172</v>
      </c>
    </row>
    <row r="1944" spans="1:13" x14ac:dyDescent="0.25">
      <c r="A1944" s="6" t="s">
        <v>14</v>
      </c>
      <c r="B1944" s="509" t="s">
        <v>623</v>
      </c>
      <c r="C1944" s="510" t="s">
        <v>15</v>
      </c>
    </row>
    <row r="1945" spans="1:13" x14ac:dyDescent="0.25">
      <c r="A1945" s="10" t="s">
        <v>16</v>
      </c>
      <c r="B1945" s="11"/>
      <c r="C1945" s="11"/>
      <c r="D1945" s="11"/>
      <c r="E1945" s="11"/>
      <c r="F1945" s="152">
        <v>2018</v>
      </c>
      <c r="G1945" s="152">
        <v>2019</v>
      </c>
      <c r="H1945" s="152">
        <v>2020</v>
      </c>
      <c r="I1945" s="152">
        <v>2021</v>
      </c>
      <c r="J1945" s="152">
        <v>2022</v>
      </c>
      <c r="K1945" s="152">
        <v>2023</v>
      </c>
      <c r="L1945" s="152">
        <v>2024</v>
      </c>
      <c r="M1945" s="152">
        <v>2025</v>
      </c>
    </row>
    <row r="1946" spans="1:13" x14ac:dyDescent="0.25">
      <c r="A1946" s="10" t="s">
        <v>17</v>
      </c>
      <c r="B1946" s="11"/>
      <c r="C1946" s="12"/>
      <c r="D1946" s="12"/>
      <c r="E1946" s="12"/>
      <c r="F1946" s="12">
        <v>125</v>
      </c>
      <c r="G1946" s="12">
        <v>125</v>
      </c>
      <c r="H1946" s="12">
        <v>125</v>
      </c>
      <c r="I1946" s="12">
        <v>125</v>
      </c>
      <c r="J1946" s="12">
        <v>125</v>
      </c>
      <c r="K1946" s="12">
        <v>125</v>
      </c>
      <c r="L1946" s="12">
        <v>125</v>
      </c>
      <c r="M1946" s="12">
        <v>125</v>
      </c>
    </row>
    <row r="1947" spans="1:13" x14ac:dyDescent="0.25">
      <c r="A1947" s="10" t="s">
        <v>18</v>
      </c>
      <c r="B1947" s="11"/>
      <c r="C1947" s="12"/>
      <c r="D1947" s="12"/>
      <c r="E1947" s="12"/>
      <c r="F1947" s="12">
        <v>100</v>
      </c>
      <c r="G1947" s="12">
        <v>100</v>
      </c>
      <c r="H1947" s="12">
        <f>H1946*1.4-100</f>
        <v>75</v>
      </c>
      <c r="I1947" s="12">
        <v>75</v>
      </c>
      <c r="J1947" s="12">
        <v>75</v>
      </c>
      <c r="K1947" s="12">
        <v>75</v>
      </c>
      <c r="L1947" s="12">
        <v>75</v>
      </c>
      <c r="M1947" s="12">
        <v>75</v>
      </c>
    </row>
    <row r="1948" spans="1:13" x14ac:dyDescent="0.25">
      <c r="A1948" s="10" t="s">
        <v>19</v>
      </c>
      <c r="B1948" s="11"/>
      <c r="C1948" s="12"/>
      <c r="D1948" s="12"/>
      <c r="E1948" s="12"/>
      <c r="F1948" s="12">
        <f>F1946*1.4-(75)</f>
        <v>100</v>
      </c>
      <c r="G1948" s="12">
        <f>G1946*1.4-(75)</f>
        <v>100</v>
      </c>
      <c r="H1948" s="12">
        <v>75</v>
      </c>
      <c r="I1948" s="12">
        <v>75</v>
      </c>
      <c r="J1948" s="12">
        <v>75</v>
      </c>
      <c r="K1948" s="12">
        <v>75</v>
      </c>
      <c r="L1948" s="12">
        <f>L1946+0.4*K1946-75-25</f>
        <v>75</v>
      </c>
      <c r="M1948" s="12"/>
    </row>
    <row r="1949" spans="1:13" x14ac:dyDescent="0.25">
      <c r="A1949" s="10" t="s">
        <v>20</v>
      </c>
      <c r="B1949" s="11"/>
      <c r="C1949" s="12"/>
      <c r="D1949" s="12"/>
      <c r="E1949" s="12"/>
      <c r="F1949" s="12">
        <v>3</v>
      </c>
      <c r="G1949" s="12">
        <v>5.91</v>
      </c>
      <c r="H1949" s="12">
        <v>7.76</v>
      </c>
      <c r="I1949" s="12">
        <v>6.2</v>
      </c>
      <c r="J1949" s="12">
        <v>6.06</v>
      </c>
      <c r="K1949" s="12">
        <v>0.95</v>
      </c>
      <c r="L1949" s="15">
        <v>4.09</v>
      </c>
      <c r="M1949" s="15"/>
    </row>
    <row r="1950" spans="1:13" x14ac:dyDescent="0.25">
      <c r="A1950" s="10" t="s">
        <v>21</v>
      </c>
      <c r="B1950" s="11"/>
      <c r="C1950" s="12"/>
      <c r="D1950" s="12"/>
      <c r="E1950" s="12"/>
      <c r="F1950" s="12">
        <f>F1947-F1949</f>
        <v>97</v>
      </c>
      <c r="G1950" s="12">
        <f>G1947-G1949</f>
        <v>94.09</v>
      </c>
      <c r="H1950" s="12">
        <v>67.239999999999995</v>
      </c>
      <c r="I1950" s="12">
        <f>I1947-I1949</f>
        <v>68.8</v>
      </c>
      <c r="J1950" s="12">
        <f>J1947-J1949</f>
        <v>68.94</v>
      </c>
      <c r="K1950" s="12">
        <f>K1947-K1949</f>
        <v>74.05</v>
      </c>
      <c r="L1950" s="12">
        <f>L1947-L1949</f>
        <v>70.91</v>
      </c>
      <c r="M1950" s="12"/>
    </row>
    <row r="1951" spans="1:13" x14ac:dyDescent="0.25">
      <c r="A1951" s="16" t="s">
        <v>22</v>
      </c>
      <c r="B1951" s="17"/>
      <c r="C1951" s="17"/>
      <c r="D1951" s="17"/>
      <c r="E1951" s="17"/>
      <c r="F1951" s="157">
        <v>2019</v>
      </c>
      <c r="G1951" s="157">
        <v>2020</v>
      </c>
      <c r="H1951" s="157">
        <v>2021</v>
      </c>
      <c r="I1951" s="157">
        <v>2022</v>
      </c>
      <c r="J1951" s="157">
        <v>2023</v>
      </c>
      <c r="K1951" s="157">
        <v>2024</v>
      </c>
      <c r="L1951" s="157">
        <v>2025</v>
      </c>
      <c r="M1951" s="157">
        <v>2026</v>
      </c>
    </row>
    <row r="1952" spans="1:13" ht="25.95" customHeight="1" x14ac:dyDescent="0.25">
      <c r="A1952" s="158" t="s">
        <v>662</v>
      </c>
      <c r="B1952" s="583"/>
      <c r="C1952" s="583"/>
      <c r="D1952" s="583"/>
      <c r="E1952" s="583"/>
      <c r="F1952" s="583"/>
      <c r="G1952" s="583"/>
      <c r="H1952" s="583"/>
      <c r="I1952" s="583"/>
      <c r="J1952" s="19"/>
      <c r="K1952" s="19"/>
      <c r="L1952" s="19"/>
      <c r="M1952" s="63"/>
    </row>
    <row r="1953" spans="1:13" ht="34.200000000000003" customHeight="1" x14ac:dyDescent="0.25">
      <c r="A1953" s="159" t="s">
        <v>260</v>
      </c>
      <c r="B1953" s="4"/>
      <c r="C1953" s="4"/>
      <c r="D1953" s="4"/>
      <c r="E1953" s="4"/>
      <c r="F1953" s="4"/>
      <c r="G1953" s="4"/>
      <c r="H1953" s="4"/>
      <c r="I1953" s="4"/>
      <c r="M1953" s="64"/>
    </row>
    <row r="1954" spans="1:13" ht="27.6" customHeight="1" x14ac:dyDescent="0.25">
      <c r="A1954" s="159" t="s">
        <v>521</v>
      </c>
      <c r="B1954" s="4"/>
      <c r="C1954" s="4"/>
      <c r="D1954" s="4"/>
      <c r="E1954" s="4"/>
      <c r="F1954" s="4"/>
      <c r="G1954" s="4"/>
      <c r="H1954" s="4"/>
      <c r="I1954" s="4"/>
      <c r="M1954" s="64"/>
    </row>
    <row r="1955" spans="1:13" ht="27.6" customHeight="1" x14ac:dyDescent="0.25">
      <c r="A1955" s="159" t="s">
        <v>522</v>
      </c>
      <c r="B1955" s="4"/>
      <c r="C1955" s="4"/>
      <c r="D1955" s="4"/>
      <c r="E1955" s="4"/>
      <c r="F1955" s="4"/>
      <c r="G1955" s="4"/>
      <c r="H1955" s="4"/>
      <c r="I1955" s="4"/>
      <c r="M1955" s="64"/>
    </row>
    <row r="1956" spans="1:13" ht="27.6" customHeight="1" x14ac:dyDescent="0.25">
      <c r="A1956" s="159" t="s">
        <v>661</v>
      </c>
      <c r="M1956" s="64"/>
    </row>
    <row r="1957" spans="1:13" ht="27.6" customHeight="1" x14ac:dyDescent="0.25">
      <c r="A1957" s="159" t="s">
        <v>846</v>
      </c>
      <c r="M1957" s="64"/>
    </row>
    <row r="1958" spans="1:13" ht="30" customHeight="1" x14ac:dyDescent="0.25">
      <c r="A1958" s="243" t="s">
        <v>1062</v>
      </c>
      <c r="B1958" s="34"/>
      <c r="C1958" s="34"/>
      <c r="D1958" s="34"/>
      <c r="E1958" s="34"/>
      <c r="F1958" s="34"/>
      <c r="G1958" s="34"/>
      <c r="H1958" s="34"/>
      <c r="I1958" s="34"/>
      <c r="J1958" s="34"/>
      <c r="K1958" s="34"/>
      <c r="L1958" s="34"/>
      <c r="M1958" s="48"/>
    </row>
    <row r="1960" spans="1:13" x14ac:dyDescent="0.25">
      <c r="A1960" s="6" t="s">
        <v>14</v>
      </c>
      <c r="B1960" s="471" t="s">
        <v>74</v>
      </c>
      <c r="C1960" s="7" t="s">
        <v>15</v>
      </c>
    </row>
    <row r="1961" spans="1:13" x14ac:dyDescent="0.25">
      <c r="A1961" s="41" t="s">
        <v>16</v>
      </c>
      <c r="B1961" s="467"/>
      <c r="C1961" s="152">
        <v>2015</v>
      </c>
      <c r="D1961" s="152">
        <v>2016</v>
      </c>
      <c r="E1961" s="152">
        <v>2017</v>
      </c>
      <c r="F1961" s="152">
        <v>2018</v>
      </c>
      <c r="G1961" s="152">
        <v>2019</v>
      </c>
      <c r="H1961" s="152">
        <v>2020</v>
      </c>
      <c r="I1961" s="152">
        <v>2021</v>
      </c>
      <c r="J1961" s="152">
        <v>2022</v>
      </c>
      <c r="K1961" s="152">
        <v>2023</v>
      </c>
      <c r="L1961" s="152">
        <v>2024</v>
      </c>
      <c r="M1961" s="152">
        <v>2025</v>
      </c>
    </row>
    <row r="1962" spans="1:13" x14ac:dyDescent="0.25">
      <c r="A1962" s="10" t="s">
        <v>17</v>
      </c>
      <c r="B1962" s="273"/>
      <c r="C1962" s="273">
        <v>20</v>
      </c>
      <c r="D1962" s="273">
        <v>20</v>
      </c>
      <c r="E1962" s="273">
        <v>20</v>
      </c>
      <c r="F1962" s="273">
        <v>20</v>
      </c>
      <c r="G1962" s="273">
        <v>20</v>
      </c>
      <c r="H1962" s="296">
        <v>16.8</v>
      </c>
      <c r="I1962" s="11">
        <v>16.8</v>
      </c>
      <c r="J1962" s="11">
        <v>16.8</v>
      </c>
      <c r="K1962" s="11">
        <v>16.8</v>
      </c>
      <c r="L1962" s="11">
        <v>16.8</v>
      </c>
      <c r="M1962" s="11">
        <v>16.8</v>
      </c>
    </row>
    <row r="1963" spans="1:13" x14ac:dyDescent="0.25">
      <c r="A1963" s="10" t="s">
        <v>18</v>
      </c>
      <c r="B1963" s="273"/>
      <c r="C1963" s="273"/>
      <c r="D1963" s="273">
        <v>-64.900000000000006</v>
      </c>
      <c r="E1963" s="273">
        <v>-63.600000000000009</v>
      </c>
      <c r="F1963" s="273">
        <v>-43.600000000000009</v>
      </c>
      <c r="G1963" s="273">
        <v>-23.600000000000009</v>
      </c>
      <c r="H1963" s="273">
        <f>G1966+H1962+2</f>
        <v>-4.8000000000000078</v>
      </c>
      <c r="I1963" s="12">
        <f>I1962+H1966+2</f>
        <v>13.999999999999993</v>
      </c>
      <c r="J1963" s="12">
        <f>J1962+2</f>
        <v>18.8</v>
      </c>
      <c r="K1963" s="12">
        <f>K1962+2</f>
        <v>18.8</v>
      </c>
      <c r="L1963" s="12">
        <f>L1962+2</f>
        <v>18.8</v>
      </c>
      <c r="M1963" s="12">
        <f>M1962+2</f>
        <v>18.8</v>
      </c>
    </row>
    <row r="1964" spans="1:13" x14ac:dyDescent="0.25">
      <c r="A1964" s="10" t="s">
        <v>19</v>
      </c>
      <c r="B1964" s="274"/>
      <c r="C1964" s="274"/>
      <c r="D1964" s="289">
        <v>1</v>
      </c>
      <c r="E1964" s="289">
        <v>2</v>
      </c>
      <c r="F1964" s="289">
        <v>3</v>
      </c>
      <c r="G1964" s="289">
        <v>4</v>
      </c>
      <c r="H1964" s="289">
        <v>5</v>
      </c>
      <c r="I1964" s="195">
        <v>6</v>
      </c>
      <c r="J1964" s="195">
        <v>7</v>
      </c>
      <c r="K1964" s="195">
        <v>8</v>
      </c>
      <c r="L1964" s="195">
        <v>9</v>
      </c>
      <c r="M1964" s="90">
        <v>10</v>
      </c>
    </row>
    <row r="1965" spans="1:13" x14ac:dyDescent="0.25">
      <c r="A1965" s="10" t="s">
        <v>20</v>
      </c>
      <c r="B1965" s="12"/>
      <c r="C1965" s="12">
        <v>34.9</v>
      </c>
      <c r="D1965" s="12">
        <v>18.7</v>
      </c>
      <c r="E1965" s="12">
        <v>0</v>
      </c>
      <c r="F1965" s="12">
        <v>0</v>
      </c>
      <c r="G1965" s="12">
        <v>0</v>
      </c>
      <c r="H1965" s="12">
        <v>0</v>
      </c>
      <c r="I1965" s="11">
        <v>0.6</v>
      </c>
      <c r="J1965" s="11">
        <v>0</v>
      </c>
      <c r="K1965" s="11">
        <v>0</v>
      </c>
      <c r="L1965" s="12">
        <v>0.13172300000000001</v>
      </c>
      <c r="M1965" s="90"/>
    </row>
    <row r="1966" spans="1:13" x14ac:dyDescent="0.25">
      <c r="A1966" s="10" t="s">
        <v>21</v>
      </c>
      <c r="B1966" s="12"/>
      <c r="C1966" s="12">
        <v>-84.9</v>
      </c>
      <c r="D1966" s="12">
        <v>-83.600000000000009</v>
      </c>
      <c r="E1966" s="12">
        <v>-63.600000000000009</v>
      </c>
      <c r="F1966" s="12">
        <v>-43.600000000000009</v>
      </c>
      <c r="G1966" s="12">
        <f t="shared" ref="G1966:L1966" si="81">G1963-G1965</f>
        <v>-23.600000000000009</v>
      </c>
      <c r="H1966" s="12">
        <f t="shared" si="81"/>
        <v>-4.8000000000000078</v>
      </c>
      <c r="I1966" s="12">
        <f t="shared" si="81"/>
        <v>13.399999999999993</v>
      </c>
      <c r="J1966" s="12">
        <f t="shared" si="81"/>
        <v>18.8</v>
      </c>
      <c r="K1966" s="12">
        <f t="shared" si="81"/>
        <v>18.8</v>
      </c>
      <c r="L1966" s="12">
        <f t="shared" si="81"/>
        <v>18.668277</v>
      </c>
      <c r="M1966" s="90"/>
    </row>
    <row r="1967" spans="1:13" x14ac:dyDescent="0.25">
      <c r="A1967" s="62" t="s">
        <v>22</v>
      </c>
      <c r="B1967" s="125"/>
      <c r="C1967" s="641">
        <v>2016</v>
      </c>
      <c r="D1967" s="641">
        <v>2017</v>
      </c>
      <c r="E1967" s="641">
        <v>2018</v>
      </c>
      <c r="F1967" s="641">
        <v>2019</v>
      </c>
      <c r="G1967" s="641">
        <v>2020</v>
      </c>
      <c r="H1967" s="641">
        <v>2021</v>
      </c>
      <c r="I1967" s="641">
        <v>2022</v>
      </c>
      <c r="J1967" s="641">
        <v>2023</v>
      </c>
      <c r="K1967" s="641">
        <v>2024</v>
      </c>
      <c r="L1967" s="641">
        <v>2025</v>
      </c>
      <c r="M1967" s="62">
        <v>2026</v>
      </c>
    </row>
    <row r="1968" spans="1:13" x14ac:dyDescent="0.25">
      <c r="A1968" s="18" t="s">
        <v>523</v>
      </c>
      <c r="B1968" s="285"/>
      <c r="C1968" s="285"/>
      <c r="D1968" s="285"/>
      <c r="E1968" s="285"/>
      <c r="F1968" s="674"/>
      <c r="G1968" s="674"/>
      <c r="H1968" s="674"/>
      <c r="I1968" s="19"/>
      <c r="J1968" s="19"/>
      <c r="K1968" s="19"/>
      <c r="L1968" s="19"/>
      <c r="M1968" s="63"/>
    </row>
    <row r="1969" spans="1:13" x14ac:dyDescent="0.25">
      <c r="A1969" s="39" t="s">
        <v>524</v>
      </c>
      <c r="B1969" s="2"/>
      <c r="C1969" s="2"/>
      <c r="D1969" s="2"/>
      <c r="E1969" s="2"/>
      <c r="F1969" s="673"/>
      <c r="G1969" s="673"/>
      <c r="H1969" s="673"/>
      <c r="M1969" s="64"/>
    </row>
    <row r="1970" spans="1:13" x14ac:dyDescent="0.25">
      <c r="A1970" s="39" t="s">
        <v>525</v>
      </c>
      <c r="B1970" s="2"/>
      <c r="C1970" s="2"/>
      <c r="D1970" s="2"/>
      <c r="E1970" s="2"/>
      <c r="F1970" s="673"/>
      <c r="G1970" s="673"/>
      <c r="H1970" s="673"/>
      <c r="M1970" s="64"/>
    </row>
    <row r="1971" spans="1:13" x14ac:dyDescent="0.25">
      <c r="A1971" s="39" t="s">
        <v>526</v>
      </c>
      <c r="B1971" s="2"/>
      <c r="C1971" s="2"/>
      <c r="D1971" s="2"/>
      <c r="E1971" s="2"/>
      <c r="F1971" s="673"/>
      <c r="G1971" s="673"/>
      <c r="H1971" s="673"/>
      <c r="M1971" s="64"/>
    </row>
    <row r="1972" spans="1:13" x14ac:dyDescent="0.25">
      <c r="A1972" s="39" t="s">
        <v>527</v>
      </c>
      <c r="B1972" s="2"/>
      <c r="C1972" s="2"/>
      <c r="D1972" s="2"/>
      <c r="E1972" s="2"/>
      <c r="F1972" s="673"/>
      <c r="G1972" s="673"/>
      <c r="H1972" s="673"/>
      <c r="M1972" s="64"/>
    </row>
    <row r="1973" spans="1:13" x14ac:dyDescent="0.25">
      <c r="A1973" s="39" t="s">
        <v>664</v>
      </c>
      <c r="B1973" s="2"/>
      <c r="C1973" s="2"/>
      <c r="D1973" s="2"/>
      <c r="E1973" s="2"/>
      <c r="F1973" s="673"/>
      <c r="G1973" s="673"/>
      <c r="H1973" s="673"/>
      <c r="M1973" s="64"/>
    </row>
    <row r="1974" spans="1:13" x14ac:dyDescent="0.25">
      <c r="A1974" s="39" t="s">
        <v>663</v>
      </c>
      <c r="B1974" s="2"/>
      <c r="C1974" s="2"/>
      <c r="D1974" s="2"/>
      <c r="E1974" s="2"/>
      <c r="F1974" s="673"/>
      <c r="G1974" s="673"/>
      <c r="H1974" s="673"/>
      <c r="M1974" s="64"/>
    </row>
    <row r="1975" spans="1:13" x14ac:dyDescent="0.25">
      <c r="A1975" s="39" t="s">
        <v>847</v>
      </c>
      <c r="B1975" s="2"/>
      <c r="C1975" s="2"/>
      <c r="D1975" s="2"/>
      <c r="E1975" s="2"/>
      <c r="F1975" s="673"/>
      <c r="G1975" s="673"/>
      <c r="H1975" s="673"/>
      <c r="M1975" s="64"/>
    </row>
    <row r="1976" spans="1:13" x14ac:dyDescent="0.25">
      <c r="A1976" s="39" t="s">
        <v>1064</v>
      </c>
      <c r="B1976" s="2"/>
      <c r="C1976" s="2"/>
      <c r="D1976" s="2"/>
      <c r="E1976" s="2"/>
      <c r="F1976" s="673"/>
      <c r="G1976" s="673"/>
      <c r="H1976" s="673"/>
      <c r="M1976" s="64"/>
    </row>
    <row r="1977" spans="1:13" x14ac:dyDescent="0.25">
      <c r="A1977" s="41" t="s">
        <v>1250</v>
      </c>
      <c r="B1977" s="33"/>
      <c r="C1977" s="33"/>
      <c r="D1977" s="33"/>
      <c r="E1977" s="33"/>
      <c r="F1977" s="511"/>
      <c r="G1977" s="511"/>
      <c r="H1977" s="511"/>
      <c r="I1977" s="34"/>
      <c r="J1977" s="34"/>
      <c r="K1977" s="34"/>
      <c r="L1977" s="34"/>
      <c r="M1977" s="48"/>
    </row>
    <row r="1979" spans="1:13" x14ac:dyDescent="0.25">
      <c r="A1979" s="6" t="s">
        <v>14</v>
      </c>
      <c r="B1979" s="471" t="s">
        <v>79</v>
      </c>
      <c r="C1979" s="7" t="s">
        <v>15</v>
      </c>
    </row>
    <row r="1980" spans="1:13" x14ac:dyDescent="0.25">
      <c r="A1980" s="41" t="s">
        <v>16</v>
      </c>
      <c r="B1980" s="467"/>
      <c r="C1980" s="9">
        <v>2015</v>
      </c>
      <c r="D1980" s="9">
        <v>2016</v>
      </c>
      <c r="E1980" s="9">
        <v>2017</v>
      </c>
      <c r="F1980" s="9">
        <v>2018</v>
      </c>
      <c r="G1980" s="9">
        <v>2019</v>
      </c>
      <c r="H1980" s="9">
        <v>2020</v>
      </c>
      <c r="I1980" s="152">
        <v>2021</v>
      </c>
      <c r="J1980" s="152">
        <v>2022</v>
      </c>
      <c r="K1980" s="152">
        <v>2023</v>
      </c>
      <c r="L1980" s="152">
        <v>2024</v>
      </c>
      <c r="M1980" s="491">
        <v>2024</v>
      </c>
    </row>
    <row r="1981" spans="1:13" x14ac:dyDescent="0.25">
      <c r="A1981" s="10" t="s">
        <v>17</v>
      </c>
      <c r="B1981" s="273"/>
      <c r="C1981" s="273">
        <v>15</v>
      </c>
      <c r="D1981" s="273">
        <v>15</v>
      </c>
      <c r="E1981" s="273">
        <v>15</v>
      </c>
      <c r="F1981" s="273">
        <v>15</v>
      </c>
      <c r="G1981" s="273">
        <v>15</v>
      </c>
      <c r="H1981" s="296">
        <v>15</v>
      </c>
      <c r="I1981" s="12">
        <v>15</v>
      </c>
      <c r="J1981" s="12">
        <v>15</v>
      </c>
      <c r="K1981" s="12">
        <v>15</v>
      </c>
      <c r="L1981" s="12">
        <v>15</v>
      </c>
      <c r="M1981" s="129">
        <v>15</v>
      </c>
    </row>
    <row r="1982" spans="1:13" x14ac:dyDescent="0.25">
      <c r="A1982" s="10" t="s">
        <v>18</v>
      </c>
      <c r="B1982" s="273"/>
      <c r="C1982" s="273"/>
      <c r="D1982" s="273">
        <v>-59.3</v>
      </c>
      <c r="E1982" s="273">
        <v>-64.199999999999989</v>
      </c>
      <c r="F1982" s="273">
        <v>-49.199999999999989</v>
      </c>
      <c r="G1982" s="273">
        <v>-34.199999999999989</v>
      </c>
      <c r="H1982" s="273">
        <f>G1985+H1981</f>
        <v>-19.199999999999989</v>
      </c>
      <c r="I1982" s="12">
        <f>I1981+H1985</f>
        <v>-4.1999999999999886</v>
      </c>
      <c r="J1982" s="12">
        <f>J1981+I1985</f>
        <v>10.440000000000012</v>
      </c>
      <c r="K1982" s="12"/>
      <c r="L1982" s="12">
        <f t="shared" ref="L1982" si="82">L1981+K1985</f>
        <v>15</v>
      </c>
      <c r="M1982" s="12"/>
    </row>
    <row r="1983" spans="1:13" x14ac:dyDescent="0.25">
      <c r="A1983" s="10" t="s">
        <v>19</v>
      </c>
      <c r="B1983" s="274"/>
      <c r="C1983" s="274"/>
      <c r="D1983" s="289">
        <v>1</v>
      </c>
      <c r="E1983" s="289">
        <v>2</v>
      </c>
      <c r="F1983" s="289">
        <v>3</v>
      </c>
      <c r="G1983" s="289">
        <v>4</v>
      </c>
      <c r="H1983" s="289">
        <v>5</v>
      </c>
      <c r="I1983" s="195">
        <v>6</v>
      </c>
      <c r="J1983" s="195">
        <v>7</v>
      </c>
      <c r="K1983" s="195">
        <v>8</v>
      </c>
      <c r="L1983" s="195">
        <v>9</v>
      </c>
      <c r="M1983" s="247">
        <v>10</v>
      </c>
    </row>
    <row r="1984" spans="1:13" x14ac:dyDescent="0.25">
      <c r="A1984" s="10" t="s">
        <v>20</v>
      </c>
      <c r="B1984" s="12"/>
      <c r="C1984" s="12">
        <v>31.9</v>
      </c>
      <c r="D1984" s="12">
        <v>19.899999999999999</v>
      </c>
      <c r="E1984" s="12">
        <v>0</v>
      </c>
      <c r="F1984" s="12">
        <v>0</v>
      </c>
      <c r="G1984" s="12">
        <v>0</v>
      </c>
      <c r="H1984" s="12">
        <v>0</v>
      </c>
      <c r="I1984" s="12">
        <v>0.36</v>
      </c>
      <c r="J1984" s="12">
        <v>0</v>
      </c>
      <c r="K1984" s="12">
        <v>0</v>
      </c>
      <c r="L1984" s="12">
        <v>1.53</v>
      </c>
      <c r="M1984" s="90"/>
    </row>
    <row r="1985" spans="1:13" x14ac:dyDescent="0.25">
      <c r="A1985" s="10" t="s">
        <v>21</v>
      </c>
      <c r="B1985" s="12"/>
      <c r="C1985" s="12">
        <v>-74.3</v>
      </c>
      <c r="D1985" s="12">
        <v>-79.199999999999989</v>
      </c>
      <c r="E1985" s="12">
        <v>-64.199999999999989</v>
      </c>
      <c r="F1985" s="12">
        <v>-49.199999999999989</v>
      </c>
      <c r="G1985" s="12">
        <f t="shared" ref="G1985:L1985" si="83">G1982-G1984</f>
        <v>-34.199999999999989</v>
      </c>
      <c r="H1985" s="12">
        <f t="shared" si="83"/>
        <v>-19.199999999999989</v>
      </c>
      <c r="I1985" s="12">
        <f t="shared" si="83"/>
        <v>-4.559999999999989</v>
      </c>
      <c r="J1985" s="12">
        <f t="shared" si="83"/>
        <v>10.440000000000012</v>
      </c>
      <c r="K1985" s="12">
        <f t="shared" si="83"/>
        <v>0</v>
      </c>
      <c r="L1985" s="12">
        <f t="shared" si="83"/>
        <v>13.47</v>
      </c>
      <c r="M1985" s="12"/>
    </row>
    <row r="1986" spans="1:13" x14ac:dyDescent="0.25">
      <c r="A1986" s="62" t="s">
        <v>22</v>
      </c>
      <c r="B1986" s="125"/>
      <c r="C1986" s="641">
        <v>2016</v>
      </c>
      <c r="D1986" s="641">
        <v>2017</v>
      </c>
      <c r="E1986" s="641">
        <v>2018</v>
      </c>
      <c r="F1986" s="641">
        <v>2019</v>
      </c>
      <c r="G1986" s="641">
        <v>2020</v>
      </c>
      <c r="H1986" s="641">
        <v>2021</v>
      </c>
      <c r="I1986" s="641">
        <v>2022</v>
      </c>
      <c r="J1986" s="641"/>
      <c r="K1986" s="641"/>
      <c r="L1986" s="641"/>
      <c r="M1986" s="62"/>
    </row>
    <row r="1987" spans="1:13" x14ac:dyDescent="0.25">
      <c r="A1987" s="18" t="s">
        <v>523</v>
      </c>
      <c r="B1987" s="285"/>
      <c r="C1987" s="285"/>
      <c r="D1987" s="437"/>
      <c r="E1987" s="437"/>
      <c r="F1987" s="437"/>
      <c r="G1987" s="437"/>
      <c r="H1987" s="437"/>
      <c r="I1987" s="437"/>
      <c r="J1987" s="437"/>
      <c r="K1987" s="19"/>
      <c r="L1987" s="19"/>
      <c r="M1987" s="63"/>
    </row>
    <row r="1988" spans="1:13" x14ac:dyDescent="0.25">
      <c r="A1988" s="39" t="s">
        <v>524</v>
      </c>
      <c r="B1988" s="2"/>
      <c r="C1988" s="2"/>
      <c r="D1988" s="444"/>
      <c r="E1988" s="444"/>
      <c r="F1988" s="444"/>
      <c r="G1988" s="444"/>
      <c r="H1988" s="444"/>
      <c r="I1988" s="444"/>
      <c r="J1988" s="444"/>
      <c r="M1988" s="64"/>
    </row>
    <row r="1989" spans="1:13" x14ac:dyDescent="0.25">
      <c r="A1989" s="39" t="s">
        <v>525</v>
      </c>
      <c r="B1989" s="2"/>
      <c r="C1989" s="2"/>
      <c r="D1989" s="444"/>
      <c r="E1989" s="444"/>
      <c r="F1989" s="444"/>
      <c r="G1989" s="444"/>
      <c r="H1989" s="444"/>
      <c r="I1989" s="444"/>
      <c r="J1989" s="444"/>
      <c r="M1989" s="64"/>
    </row>
    <row r="1990" spans="1:13" x14ac:dyDescent="0.25">
      <c r="A1990" s="39" t="s">
        <v>526</v>
      </c>
      <c r="B1990" s="2"/>
      <c r="C1990" s="2"/>
      <c r="D1990" s="444"/>
      <c r="E1990" s="444"/>
      <c r="F1990" s="444"/>
      <c r="G1990" s="444"/>
      <c r="H1990" s="444"/>
      <c r="I1990" s="444"/>
      <c r="J1990" s="444"/>
      <c r="M1990" s="64"/>
    </row>
    <row r="1991" spans="1:13" x14ac:dyDescent="0.25">
      <c r="A1991" s="39" t="s">
        <v>528</v>
      </c>
      <c r="B1991" s="2"/>
      <c r="C1991" s="2"/>
      <c r="D1991" s="444"/>
      <c r="E1991" s="444"/>
      <c r="F1991" s="444"/>
      <c r="G1991" s="444"/>
      <c r="H1991" s="444"/>
      <c r="I1991" s="444"/>
      <c r="J1991" s="444"/>
      <c r="M1991" s="64"/>
    </row>
    <row r="1992" spans="1:13" x14ac:dyDescent="0.25">
      <c r="A1992" s="39" t="s">
        <v>529</v>
      </c>
      <c r="B1992" s="2"/>
      <c r="C1992" s="2"/>
      <c r="D1992" s="444"/>
      <c r="E1992" s="444"/>
      <c r="F1992" s="444"/>
      <c r="G1992" s="444"/>
      <c r="H1992" s="444"/>
      <c r="I1992" s="444"/>
      <c r="J1992" s="444"/>
      <c r="M1992" s="64"/>
    </row>
    <row r="1993" spans="1:13" x14ac:dyDescent="0.25">
      <c r="A1993" s="39" t="s">
        <v>665</v>
      </c>
      <c r="B1993" s="2"/>
      <c r="C1993" s="2"/>
      <c r="D1993" s="444"/>
      <c r="E1993" s="444"/>
      <c r="F1993" s="444"/>
      <c r="G1993" s="444"/>
      <c r="H1993" s="444"/>
      <c r="I1993" s="444"/>
      <c r="J1993" s="444"/>
      <c r="M1993" s="64"/>
    </row>
    <row r="1994" spans="1:13" x14ac:dyDescent="0.25">
      <c r="A1994" s="41"/>
      <c r="B1994" s="34"/>
      <c r="C1994" s="34"/>
      <c r="D1994" s="34"/>
      <c r="E1994" s="34"/>
      <c r="F1994" s="34"/>
      <c r="G1994" s="34"/>
      <c r="H1994" s="34"/>
      <c r="I1994" s="34"/>
      <c r="J1994" s="34"/>
      <c r="K1994" s="34"/>
      <c r="L1994" s="34"/>
      <c r="M1994" s="48"/>
    </row>
    <row r="1996" spans="1:13" x14ac:dyDescent="0.25">
      <c r="A1996" s="6" t="s">
        <v>11</v>
      </c>
      <c r="B1996" s="7" t="s">
        <v>38</v>
      </c>
    </row>
    <row r="1997" spans="1:13" x14ac:dyDescent="0.25">
      <c r="A1997" s="6" t="s">
        <v>1</v>
      </c>
      <c r="B1997" s="471" t="s">
        <v>642</v>
      </c>
      <c r="C1997" s="9" t="s">
        <v>2</v>
      </c>
    </row>
    <row r="1998" spans="1:13" x14ac:dyDescent="0.25">
      <c r="A1998" s="11" t="s">
        <v>3</v>
      </c>
      <c r="B1998" s="512">
        <v>2016</v>
      </c>
      <c r="C1998" s="513">
        <v>2017</v>
      </c>
      <c r="D1998" s="513">
        <v>2018</v>
      </c>
      <c r="E1998" s="513">
        <v>2019</v>
      </c>
      <c r="F1998" s="152">
        <v>2020</v>
      </c>
      <c r="G1998" s="152">
        <v>2021</v>
      </c>
      <c r="H1998" s="152">
        <v>2022</v>
      </c>
      <c r="I1998" s="152">
        <v>2023</v>
      </c>
      <c r="J1998" s="152">
        <v>2024</v>
      </c>
      <c r="K1998" s="152">
        <v>2025</v>
      </c>
    </row>
    <row r="1999" spans="1:13" x14ac:dyDescent="0.25">
      <c r="A1999" s="10" t="s">
        <v>4</v>
      </c>
      <c r="B1999" s="514">
        <v>1491.71</v>
      </c>
      <c r="C1999" s="514">
        <v>1791</v>
      </c>
      <c r="D1999" s="187">
        <v>2115</v>
      </c>
      <c r="E1999" s="187">
        <v>2400</v>
      </c>
      <c r="F1999" s="187">
        <v>2655</v>
      </c>
      <c r="G1999" s="187">
        <v>2655</v>
      </c>
      <c r="H1999" s="187">
        <v>2655</v>
      </c>
      <c r="I1999" s="187">
        <v>3000</v>
      </c>
      <c r="J1999" s="187">
        <v>3000</v>
      </c>
      <c r="K1999" s="187">
        <v>3000</v>
      </c>
    </row>
    <row r="2000" spans="1:13" x14ac:dyDescent="0.25">
      <c r="A2000" s="10" t="s">
        <v>5</v>
      </c>
      <c r="B2000" s="514">
        <v>1491.71</v>
      </c>
      <c r="C2000" s="514">
        <v>1791</v>
      </c>
      <c r="D2000" s="187">
        <v>2115</v>
      </c>
      <c r="E2000" s="187">
        <v>2400</v>
      </c>
      <c r="F2000" s="187">
        <v>2675.4</v>
      </c>
      <c r="G2000" s="187">
        <f>G1999+79.2+21.55</f>
        <v>2755.75</v>
      </c>
      <c r="H2000" s="187">
        <f>H1999+24.72</f>
        <v>2679.72</v>
      </c>
      <c r="I2000" s="187">
        <v>3020</v>
      </c>
      <c r="J2000" s="187">
        <v>3030</v>
      </c>
      <c r="K2000" s="187">
        <v>3020.62</v>
      </c>
    </row>
    <row r="2001" spans="1:11" x14ac:dyDescent="0.25">
      <c r="A2001" s="10" t="s">
        <v>6</v>
      </c>
      <c r="B2001" s="12"/>
      <c r="C2001" s="186"/>
      <c r="D2001" s="12"/>
      <c r="E2001" s="187"/>
      <c r="F2001" s="187"/>
      <c r="G2001" s="187"/>
      <c r="H2001" s="187"/>
      <c r="I2001" s="187"/>
      <c r="J2001" s="187"/>
      <c r="K2001" s="187"/>
    </row>
    <row r="2002" spans="1:11" x14ac:dyDescent="0.25">
      <c r="A2002" s="10" t="s">
        <v>7</v>
      </c>
      <c r="B2002" s="187">
        <v>1490.58</v>
      </c>
      <c r="C2002" s="187">
        <v>1789.538</v>
      </c>
      <c r="D2002" s="187">
        <v>2102.0929999999998</v>
      </c>
      <c r="E2002" s="187">
        <v>2379.1309999999999</v>
      </c>
      <c r="F2002" s="187">
        <v>2653.377</v>
      </c>
      <c r="G2002" s="187">
        <v>2729.7379999999998</v>
      </c>
      <c r="H2002" s="187">
        <v>2652.7869999999998</v>
      </c>
      <c r="I2002" s="187">
        <v>2989.87</v>
      </c>
      <c r="J2002" s="515">
        <v>2998</v>
      </c>
      <c r="K2002" s="515"/>
    </row>
    <row r="2003" spans="1:11" x14ac:dyDescent="0.25">
      <c r="A2003" s="10" t="s">
        <v>8</v>
      </c>
      <c r="B2003" s="12">
        <v>1.1300000000001091</v>
      </c>
      <c r="C2003" s="12">
        <v>1.4619999999999891</v>
      </c>
      <c r="D2003" s="12">
        <v>12.907000000000153</v>
      </c>
      <c r="E2003" s="12">
        <f t="shared" ref="E2003:J2003" si="84">E2000-E2002</f>
        <v>20.869000000000142</v>
      </c>
      <c r="F2003" s="187">
        <f t="shared" si="84"/>
        <v>22.023000000000138</v>
      </c>
      <c r="G2003" s="187">
        <f t="shared" si="84"/>
        <v>26.012000000000171</v>
      </c>
      <c r="H2003" s="187">
        <f t="shared" si="84"/>
        <v>26.932999999999993</v>
      </c>
      <c r="I2003" s="187">
        <f t="shared" si="84"/>
        <v>30.130000000000109</v>
      </c>
      <c r="J2003" s="187">
        <f t="shared" si="84"/>
        <v>32</v>
      </c>
      <c r="K2003" s="187"/>
    </row>
    <row r="2004" spans="1:11" x14ac:dyDescent="0.25">
      <c r="A2004" s="10" t="s">
        <v>9</v>
      </c>
      <c r="B2004" s="11">
        <v>2017</v>
      </c>
      <c r="C2004" s="11">
        <v>2018</v>
      </c>
      <c r="D2004" s="11">
        <v>2019</v>
      </c>
      <c r="E2004" s="11">
        <v>2020</v>
      </c>
      <c r="F2004" s="11">
        <v>2021</v>
      </c>
      <c r="G2004" s="11">
        <v>2022</v>
      </c>
      <c r="H2004" s="37">
        <v>2023</v>
      </c>
      <c r="I2004" s="37">
        <v>2024</v>
      </c>
      <c r="J2004" s="37">
        <v>2025</v>
      </c>
      <c r="K2004" s="37">
        <v>2026</v>
      </c>
    </row>
    <row r="2005" spans="1:11" x14ac:dyDescent="0.25">
      <c r="A2005" s="16" t="s">
        <v>10</v>
      </c>
      <c r="B2005" s="46"/>
      <c r="C2005" s="46"/>
      <c r="D2005" s="46"/>
      <c r="E2005" s="46"/>
      <c r="F2005" s="47"/>
      <c r="G2005" s="47"/>
      <c r="H2005" s="47"/>
      <c r="I2005" s="47"/>
      <c r="J2005" s="47"/>
    </row>
    <row r="2006" spans="1:11" x14ac:dyDescent="0.25">
      <c r="A2006" s="16" t="s">
        <v>530</v>
      </c>
      <c r="B2006" s="46"/>
      <c r="C2006" s="46"/>
      <c r="D2006" s="46"/>
      <c r="E2006" s="46"/>
      <c r="F2006" s="46"/>
      <c r="G2006" s="46"/>
      <c r="H2006" s="46"/>
      <c r="I2006" s="46"/>
      <c r="J2006" s="47"/>
    </row>
    <row r="2007" spans="1:11" x14ac:dyDescent="0.25">
      <c r="A2007" s="39" t="s">
        <v>251</v>
      </c>
      <c r="J2007" s="64"/>
    </row>
    <row r="2008" spans="1:11" x14ac:dyDescent="0.25">
      <c r="A2008" s="694" t="s">
        <v>595</v>
      </c>
      <c r="B2008" s="695"/>
      <c r="C2008" s="695"/>
      <c r="D2008" s="695"/>
      <c r="E2008" s="695"/>
      <c r="F2008" s="695"/>
      <c r="G2008" s="695"/>
      <c r="J2008" s="64"/>
    </row>
    <row r="2009" spans="1:11" x14ac:dyDescent="0.25">
      <c r="A2009" s="159" t="s">
        <v>949</v>
      </c>
      <c r="B2009" s="32"/>
      <c r="C2009" s="32"/>
      <c r="D2009" s="32"/>
      <c r="E2009" s="32"/>
      <c r="F2009" s="32"/>
      <c r="G2009" s="32"/>
      <c r="J2009" s="64"/>
    </row>
    <row r="2010" spans="1:11" x14ac:dyDescent="0.25">
      <c r="A2010" s="159" t="s">
        <v>848</v>
      </c>
      <c r="B2010" s="32"/>
      <c r="C2010" s="32"/>
      <c r="D2010" s="32"/>
      <c r="E2010" s="32"/>
      <c r="F2010" s="32"/>
      <c r="G2010" s="32"/>
      <c r="J2010" s="64"/>
    </row>
    <row r="2011" spans="1:11" x14ac:dyDescent="0.25">
      <c r="A2011" s="121" t="s">
        <v>1065</v>
      </c>
      <c r="B2011" s="32"/>
      <c r="C2011" s="32"/>
      <c r="D2011" s="32"/>
      <c r="E2011" s="32"/>
      <c r="F2011" s="32"/>
      <c r="G2011" s="32"/>
    </row>
    <row r="2012" spans="1:11" s="43" customFormat="1" x14ac:dyDescent="0.25">
      <c r="A2012" s="169" t="s">
        <v>1137</v>
      </c>
      <c r="B2012" s="516"/>
      <c r="C2012" s="516"/>
      <c r="D2012" s="516"/>
      <c r="E2012" s="516"/>
      <c r="F2012" s="516"/>
      <c r="G2012" s="516"/>
    </row>
    <row r="2015" spans="1:11" x14ac:dyDescent="0.25">
      <c r="A2015" s="517" t="s">
        <v>12</v>
      </c>
      <c r="B2015" s="518" t="s">
        <v>861</v>
      </c>
      <c r="D2015" s="519"/>
      <c r="E2015" s="519"/>
      <c r="F2015" s="519"/>
      <c r="G2015" s="519"/>
      <c r="H2015" s="519"/>
    </row>
    <row r="2016" spans="1:11" x14ac:dyDescent="0.25">
      <c r="A2016" s="517" t="s">
        <v>14</v>
      </c>
      <c r="B2016" s="520" t="s">
        <v>642</v>
      </c>
      <c r="C2016" s="521" t="s">
        <v>15</v>
      </c>
      <c r="D2016" s="519"/>
      <c r="E2016" s="519"/>
      <c r="F2016" s="519"/>
      <c r="G2016" s="519"/>
      <c r="H2016" s="519"/>
    </row>
    <row r="2017" spans="1:8" x14ac:dyDescent="0.25">
      <c r="A2017" s="522" t="s">
        <v>16</v>
      </c>
      <c r="B2017" s="523"/>
      <c r="C2017" s="524">
        <v>2022</v>
      </c>
      <c r="D2017" s="525">
        <v>2023</v>
      </c>
      <c r="E2017" s="525">
        <v>2024</v>
      </c>
      <c r="F2017" s="525">
        <v>2025</v>
      </c>
    </row>
    <row r="2018" spans="1:8" x14ac:dyDescent="0.25">
      <c r="A2018" s="522" t="s">
        <v>17</v>
      </c>
      <c r="B2018" s="523"/>
      <c r="C2018" s="526">
        <v>2305</v>
      </c>
      <c r="D2018" s="526">
        <v>2600</v>
      </c>
      <c r="E2018" s="526">
        <v>2600</v>
      </c>
      <c r="F2018" s="526">
        <v>2600</v>
      </c>
    </row>
    <row r="2019" spans="1:8" x14ac:dyDescent="0.25">
      <c r="A2019" s="522" t="s">
        <v>18</v>
      </c>
      <c r="B2019" s="523"/>
      <c r="C2019" s="527"/>
      <c r="D2019" s="526">
        <f>D2018+C2022+440.79+67.08+128</f>
        <v>3246.0209999999997</v>
      </c>
      <c r="E2019" s="526">
        <f>E2018+D2022+128+507.87</f>
        <v>3200.74</v>
      </c>
      <c r="F2019" s="526">
        <f>F2018+128</f>
        <v>2728</v>
      </c>
    </row>
    <row r="2020" spans="1:8" x14ac:dyDescent="0.25">
      <c r="A2020" s="522" t="s">
        <v>19</v>
      </c>
      <c r="B2020" s="523"/>
      <c r="C2020" s="528"/>
      <c r="D2020" s="529" t="str">
        <f>"(1)"</f>
        <v>(1)</v>
      </c>
      <c r="E2020" s="529" t="str">
        <f>"(2)"</f>
        <v>(2)</v>
      </c>
      <c r="F2020" s="529" t="str">
        <f>"(3)"</f>
        <v>(3)</v>
      </c>
    </row>
    <row r="2021" spans="1:8" x14ac:dyDescent="0.25">
      <c r="A2021" s="522" t="s">
        <v>20</v>
      </c>
      <c r="B2021" s="523"/>
      <c r="C2021" s="526">
        <v>2294.8490000000002</v>
      </c>
      <c r="D2021" s="530">
        <f>D2019-D2022</f>
        <v>3281.1509999999998</v>
      </c>
      <c r="E2021" s="530">
        <v>3200.48</v>
      </c>
      <c r="F2021" s="530"/>
    </row>
    <row r="2022" spans="1:8" x14ac:dyDescent="0.25">
      <c r="A2022" s="522" t="s">
        <v>21</v>
      </c>
      <c r="B2022" s="523"/>
      <c r="C2022" s="526">
        <f>C2018-C2021</f>
        <v>10.15099999999984</v>
      </c>
      <c r="D2022" s="526">
        <v>-35.130000000000003</v>
      </c>
      <c r="E2022" s="526">
        <v>0.26</v>
      </c>
      <c r="F2022" s="526"/>
    </row>
    <row r="2023" spans="1:8" x14ac:dyDescent="0.25">
      <c r="A2023" s="531" t="s">
        <v>22</v>
      </c>
      <c r="B2023" s="532"/>
      <c r="C2023" s="533">
        <v>2023</v>
      </c>
      <c r="D2023" s="534">
        <v>2024</v>
      </c>
      <c r="E2023" s="534">
        <v>2025</v>
      </c>
      <c r="F2023" s="534">
        <v>2026</v>
      </c>
    </row>
    <row r="2024" spans="1:8" x14ac:dyDescent="0.25">
      <c r="A2024" s="542" t="s">
        <v>931</v>
      </c>
      <c r="B2024" s="552"/>
      <c r="C2024" s="553"/>
      <c r="D2024" s="553"/>
      <c r="E2024" s="553"/>
      <c r="F2024" s="63"/>
    </row>
    <row r="2025" spans="1:8" x14ac:dyDescent="0.25">
      <c r="A2025" s="544" t="s">
        <v>954</v>
      </c>
      <c r="B2025" s="519"/>
      <c r="C2025" s="554"/>
      <c r="D2025" s="554"/>
      <c r="E2025" s="554"/>
      <c r="F2025" s="64"/>
    </row>
    <row r="2026" spans="1:8" x14ac:dyDescent="0.25">
      <c r="A2026" s="42" t="s">
        <v>1231</v>
      </c>
      <c r="B2026" s="535"/>
      <c r="C2026" s="536"/>
      <c r="D2026" s="536"/>
      <c r="E2026" s="536"/>
      <c r="F2026" s="48"/>
    </row>
    <row r="2027" spans="1:8" x14ac:dyDescent="0.25">
      <c r="A2027" s="519"/>
      <c r="B2027" s="519"/>
      <c r="C2027" s="519"/>
      <c r="D2027" s="519"/>
      <c r="E2027" s="519"/>
    </row>
    <row r="2028" spans="1:8" x14ac:dyDescent="0.25">
      <c r="A2028" s="517" t="s">
        <v>14</v>
      </c>
      <c r="B2028" s="520" t="s">
        <v>862</v>
      </c>
      <c r="C2028" s="521" t="s">
        <v>15</v>
      </c>
      <c r="D2028" s="519"/>
      <c r="E2028" s="519"/>
      <c r="F2028" s="519"/>
      <c r="G2028" s="519"/>
      <c r="H2028" s="519"/>
    </row>
    <row r="2029" spans="1:8" x14ac:dyDescent="0.25">
      <c r="A2029" s="522" t="s">
        <v>16</v>
      </c>
      <c r="B2029" s="523"/>
      <c r="C2029" s="524">
        <v>2023</v>
      </c>
      <c r="D2029" s="525">
        <v>2024</v>
      </c>
      <c r="E2029" s="525">
        <v>2025</v>
      </c>
    </row>
    <row r="2030" spans="1:8" x14ac:dyDescent="0.25">
      <c r="A2030" s="522" t="s">
        <v>17</v>
      </c>
      <c r="B2030" s="523"/>
      <c r="C2030" s="526">
        <v>225</v>
      </c>
      <c r="D2030" s="526">
        <v>225</v>
      </c>
      <c r="E2030" s="526">
        <v>225</v>
      </c>
    </row>
    <row r="2031" spans="1:8" x14ac:dyDescent="0.25">
      <c r="A2031" s="522" t="s">
        <v>18</v>
      </c>
      <c r="B2031" s="523"/>
      <c r="C2031" s="526">
        <v>150</v>
      </c>
      <c r="D2031" s="526">
        <v>150</v>
      </c>
      <c r="E2031" s="526">
        <v>150</v>
      </c>
    </row>
    <row r="2032" spans="1:8" x14ac:dyDescent="0.25">
      <c r="A2032" s="522" t="s">
        <v>19</v>
      </c>
      <c r="B2032" s="523"/>
      <c r="C2032" s="537" t="s">
        <v>863</v>
      </c>
      <c r="D2032" s="537" t="s">
        <v>863</v>
      </c>
      <c r="E2032" s="537" t="s">
        <v>1200</v>
      </c>
    </row>
    <row r="2033" spans="1:8" x14ac:dyDescent="0.25">
      <c r="A2033" s="522" t="s">
        <v>20</v>
      </c>
      <c r="B2033" s="523"/>
      <c r="C2033" s="526">
        <v>149.94999999999999</v>
      </c>
      <c r="D2033" s="530">
        <v>150</v>
      </c>
      <c r="E2033" s="530">
        <v>150</v>
      </c>
    </row>
    <row r="2034" spans="1:8" x14ac:dyDescent="0.25">
      <c r="A2034" s="522" t="s">
        <v>21</v>
      </c>
      <c r="B2034" s="523"/>
      <c r="C2034" s="526">
        <f>C2031-C2033</f>
        <v>5.0000000000011369E-2</v>
      </c>
      <c r="D2034" s="526">
        <f>D2031-D2033</f>
        <v>0</v>
      </c>
      <c r="E2034" s="526">
        <f>E2031-E2033</f>
        <v>0</v>
      </c>
    </row>
    <row r="2035" spans="1:8" x14ac:dyDescent="0.25">
      <c r="A2035" s="531" t="s">
        <v>22</v>
      </c>
      <c r="B2035" s="532"/>
      <c r="C2035" s="533"/>
      <c r="D2035" s="534"/>
      <c r="E2035" s="534"/>
    </row>
    <row r="2036" spans="1:8" x14ac:dyDescent="0.25">
      <c r="A2036" s="564" t="s">
        <v>864</v>
      </c>
      <c r="B2036" s="565"/>
      <c r="C2036" s="579"/>
      <c r="D2036" s="579"/>
      <c r="E2036" s="88"/>
    </row>
    <row r="2037" spans="1:8" x14ac:dyDescent="0.25">
      <c r="A2037" s="635" t="s">
        <v>1244</v>
      </c>
      <c r="B2037" s="565"/>
      <c r="C2037" s="565"/>
      <c r="D2037" s="565"/>
      <c r="E2037" s="636"/>
    </row>
    <row r="2038" spans="1:8" x14ac:dyDescent="0.25">
      <c r="A2038" s="519"/>
      <c r="B2038" s="519"/>
      <c r="C2038" s="519"/>
      <c r="D2038" s="519"/>
      <c r="E2038" s="519"/>
    </row>
    <row r="2039" spans="1:8" x14ac:dyDescent="0.25">
      <c r="A2039" s="517" t="s">
        <v>12</v>
      </c>
      <c r="B2039" s="518" t="s">
        <v>584</v>
      </c>
      <c r="D2039" s="519"/>
      <c r="E2039" s="519"/>
      <c r="F2039" s="519"/>
      <c r="G2039" s="519"/>
      <c r="H2039" s="519"/>
    </row>
    <row r="2040" spans="1:8" x14ac:dyDescent="0.25">
      <c r="A2040" s="517" t="s">
        <v>14</v>
      </c>
      <c r="B2040" s="520" t="s">
        <v>624</v>
      </c>
      <c r="C2040" s="521" t="s">
        <v>15</v>
      </c>
      <c r="D2040" s="519"/>
      <c r="E2040" s="519"/>
      <c r="F2040" s="519"/>
      <c r="G2040" s="519"/>
      <c r="H2040" s="519"/>
    </row>
    <row r="2041" spans="1:8" x14ac:dyDescent="0.25">
      <c r="A2041" s="522" t="s">
        <v>16</v>
      </c>
      <c r="B2041" s="523"/>
      <c r="C2041" s="524">
        <v>2021</v>
      </c>
      <c r="D2041" s="525">
        <v>2022</v>
      </c>
      <c r="E2041" s="538">
        <v>2023</v>
      </c>
      <c r="F2041" s="538">
        <v>2024</v>
      </c>
      <c r="G2041" s="538">
        <v>2025</v>
      </c>
      <c r="H2041" s="538" t="s">
        <v>1202</v>
      </c>
    </row>
    <row r="2042" spans="1:8" x14ac:dyDescent="0.25">
      <c r="A2042" s="522" t="s">
        <v>17</v>
      </c>
      <c r="B2042" s="523"/>
      <c r="C2042" s="526">
        <f>434.04</f>
        <v>434.04</v>
      </c>
      <c r="D2042" s="526">
        <v>442.25</v>
      </c>
      <c r="E2042" s="526">
        <v>442.25</v>
      </c>
      <c r="F2042" s="526">
        <v>752.8</v>
      </c>
      <c r="G2042" s="526">
        <v>752.8</v>
      </c>
      <c r="H2042" s="539">
        <v>752.8</v>
      </c>
    </row>
    <row r="2043" spans="1:8" x14ac:dyDescent="0.25">
      <c r="A2043" s="522" t="s">
        <v>18</v>
      </c>
      <c r="B2043" s="523"/>
      <c r="C2043" s="526">
        <f>C2042+53.75</f>
        <v>487.79</v>
      </c>
      <c r="D2043" s="526">
        <f>D2042+53.75</f>
        <v>496</v>
      </c>
      <c r="E2043" s="528">
        <f>E2042+0.25*C2042</f>
        <v>550.76</v>
      </c>
      <c r="F2043" s="528">
        <f>F2042+0.25*D2042</f>
        <v>863.36249999999995</v>
      </c>
      <c r="G2043" s="528">
        <f>G2042+0.25*E2042</f>
        <v>863.36249999999995</v>
      </c>
      <c r="H2043" s="539">
        <v>941</v>
      </c>
    </row>
    <row r="2044" spans="1:8" x14ac:dyDescent="0.25">
      <c r="A2044" s="522" t="s">
        <v>19</v>
      </c>
      <c r="B2044" s="523"/>
      <c r="C2044" s="528" t="s">
        <v>684</v>
      </c>
      <c r="D2044" s="528" t="s">
        <v>686</v>
      </c>
      <c r="E2044" s="528" t="s">
        <v>685</v>
      </c>
      <c r="F2044" s="528" t="s">
        <v>851</v>
      </c>
      <c r="G2044" s="528" t="s">
        <v>1066</v>
      </c>
      <c r="H2044" s="540" t="s">
        <v>1203</v>
      </c>
    </row>
    <row r="2045" spans="1:8" x14ac:dyDescent="0.25">
      <c r="A2045" s="522" t="s">
        <v>20</v>
      </c>
      <c r="B2045" s="523"/>
      <c r="C2045" s="526">
        <v>169.39099999999999</v>
      </c>
      <c r="D2045" s="530">
        <v>125.35080000000001</v>
      </c>
      <c r="E2045" s="528">
        <v>112.47</v>
      </c>
      <c r="F2045" s="528">
        <v>8.23</v>
      </c>
      <c r="G2045" s="528"/>
      <c r="H2045" s="540"/>
    </row>
    <row r="2046" spans="1:8" x14ac:dyDescent="0.25">
      <c r="A2046" s="522" t="s">
        <v>21</v>
      </c>
      <c r="B2046" s="523"/>
      <c r="C2046" s="526">
        <f>C2043-C2045</f>
        <v>318.399</v>
      </c>
      <c r="D2046" s="526">
        <f>D2043-D2045</f>
        <v>370.64920000000001</v>
      </c>
      <c r="E2046" s="526">
        <f>E2043-E2045</f>
        <v>438.28999999999996</v>
      </c>
      <c r="F2046" s="526">
        <f>F2043-F2045</f>
        <v>855.13249999999994</v>
      </c>
      <c r="G2046" s="528"/>
      <c r="H2046" s="540"/>
    </row>
    <row r="2047" spans="1:8" x14ac:dyDescent="0.25">
      <c r="A2047" s="531" t="s">
        <v>22</v>
      </c>
      <c r="B2047" s="532"/>
      <c r="C2047" s="533">
        <v>2023</v>
      </c>
      <c r="D2047" s="534">
        <v>2024</v>
      </c>
      <c r="E2047" s="533">
        <v>2025</v>
      </c>
      <c r="F2047" s="533">
        <v>2026</v>
      </c>
      <c r="G2047" s="533">
        <v>2027</v>
      </c>
      <c r="H2047" s="541">
        <v>2028</v>
      </c>
    </row>
    <row r="2048" spans="1:8" x14ac:dyDescent="0.25">
      <c r="A2048" s="542" t="s">
        <v>691</v>
      </c>
      <c r="B2048" s="543"/>
      <c r="C2048" s="543"/>
      <c r="D2048" s="543"/>
      <c r="E2048" s="543"/>
      <c r="F2048" s="19"/>
      <c r="G2048" s="19"/>
      <c r="H2048" s="63"/>
    </row>
    <row r="2049" spans="1:8" ht="12.75" customHeight="1" x14ac:dyDescent="0.25">
      <c r="A2049" s="544" t="s">
        <v>699</v>
      </c>
      <c r="B2049" s="545"/>
      <c r="C2049" s="545"/>
      <c r="D2049" s="545"/>
      <c r="E2049" s="545"/>
      <c r="H2049" s="64"/>
    </row>
    <row r="2050" spans="1:8" x14ac:dyDescent="0.25">
      <c r="A2050" s="546" t="s">
        <v>700</v>
      </c>
      <c r="B2050" s="547"/>
      <c r="C2050" s="547"/>
      <c r="D2050" s="547"/>
      <c r="E2050" s="547"/>
      <c r="H2050" s="64"/>
    </row>
    <row r="2051" spans="1:8" x14ac:dyDescent="0.25">
      <c r="A2051" s="546" t="s">
        <v>937</v>
      </c>
      <c r="B2051" s="547"/>
      <c r="C2051" s="547"/>
      <c r="D2051" s="547"/>
      <c r="E2051" s="547"/>
      <c r="H2051" s="64"/>
    </row>
    <row r="2052" spans="1:8" x14ac:dyDescent="0.25">
      <c r="A2052" s="546" t="s">
        <v>1067</v>
      </c>
      <c r="B2052" s="547"/>
      <c r="C2052" s="547"/>
      <c r="D2052" s="547"/>
      <c r="E2052" s="547"/>
      <c r="H2052" s="64"/>
    </row>
    <row r="2053" spans="1:8" x14ac:dyDescent="0.25">
      <c r="A2053" s="548" t="s">
        <v>1201</v>
      </c>
      <c r="B2053" s="549"/>
      <c r="C2053" s="549"/>
      <c r="D2053" s="549"/>
      <c r="E2053" s="549"/>
      <c r="F2053" s="34"/>
      <c r="G2053" s="34"/>
      <c r="H2053" s="48"/>
    </row>
    <row r="2054" spans="1:8" x14ac:dyDescent="0.25">
      <c r="A2054" s="519"/>
      <c r="B2054" s="545"/>
      <c r="C2054" s="549"/>
      <c r="D2054" s="545"/>
      <c r="E2054" s="545"/>
    </row>
    <row r="2055" spans="1:8" x14ac:dyDescent="0.25">
      <c r="A2055" s="547"/>
      <c r="B2055" s="547"/>
      <c r="C2055" s="550"/>
      <c r="D2055" s="547"/>
      <c r="E2055" s="547"/>
    </row>
    <row r="2056" spans="1:8" x14ac:dyDescent="0.25">
      <c r="A2056" s="517" t="s">
        <v>14</v>
      </c>
      <c r="B2056" s="520" t="s">
        <v>638</v>
      </c>
      <c r="C2056" s="521" t="s">
        <v>15</v>
      </c>
      <c r="D2056" s="519"/>
      <c r="E2056" s="519"/>
      <c r="F2056" s="519"/>
      <c r="G2056" s="519"/>
      <c r="H2056" s="519"/>
    </row>
    <row r="2057" spans="1:8" x14ac:dyDescent="0.25">
      <c r="A2057" s="522" t="s">
        <v>16</v>
      </c>
      <c r="B2057" s="523"/>
      <c r="C2057" s="524">
        <v>2021</v>
      </c>
      <c r="D2057" s="525">
        <v>2022</v>
      </c>
      <c r="E2057" s="538">
        <v>2023</v>
      </c>
      <c r="F2057" s="538">
        <v>2024</v>
      </c>
      <c r="G2057" s="538">
        <v>2025</v>
      </c>
      <c r="H2057" s="538">
        <v>2026</v>
      </c>
    </row>
    <row r="2058" spans="1:8" x14ac:dyDescent="0.25">
      <c r="A2058" s="522" t="s">
        <v>17</v>
      </c>
      <c r="B2058" s="523"/>
      <c r="C2058" s="526">
        <v>100</v>
      </c>
      <c r="D2058" s="526">
        <v>100</v>
      </c>
      <c r="E2058" s="528">
        <v>120</v>
      </c>
      <c r="F2058" s="528">
        <v>120</v>
      </c>
      <c r="G2058" s="528">
        <v>120</v>
      </c>
      <c r="H2058" s="540">
        <v>120</v>
      </c>
    </row>
    <row r="2059" spans="1:8" x14ac:dyDescent="0.25">
      <c r="A2059" s="522" t="s">
        <v>18</v>
      </c>
      <c r="B2059" s="523"/>
      <c r="C2059" s="526"/>
      <c r="D2059" s="526">
        <v>125</v>
      </c>
      <c r="E2059" s="551">
        <f>E2058+0.25*C2058</f>
        <v>145</v>
      </c>
      <c r="F2059" s="551">
        <f>F2058+1.49</f>
        <v>121.49</v>
      </c>
      <c r="G2059" s="551">
        <f>G2058+0.25*E2058</f>
        <v>150</v>
      </c>
      <c r="H2059" s="540">
        <v>150</v>
      </c>
    </row>
    <row r="2060" spans="1:8" x14ac:dyDescent="0.25">
      <c r="A2060" s="522" t="s">
        <v>19</v>
      </c>
      <c r="B2060" s="523"/>
      <c r="C2060" s="551"/>
      <c r="D2060" s="551" t="s">
        <v>681</v>
      </c>
      <c r="E2060" s="551" t="s">
        <v>680</v>
      </c>
      <c r="F2060" s="551" t="s">
        <v>929</v>
      </c>
      <c r="G2060" s="551" t="s">
        <v>1069</v>
      </c>
      <c r="H2060" s="540" t="s">
        <v>1205</v>
      </c>
    </row>
    <row r="2061" spans="1:8" x14ac:dyDescent="0.25">
      <c r="A2061" s="522" t="s">
        <v>20</v>
      </c>
      <c r="B2061" s="523"/>
      <c r="C2061" s="526">
        <v>0</v>
      </c>
      <c r="D2061" s="530">
        <v>0</v>
      </c>
      <c r="E2061" s="528">
        <v>0</v>
      </c>
      <c r="F2061" s="528">
        <v>0</v>
      </c>
      <c r="G2061" s="528"/>
      <c r="H2061" s="540"/>
    </row>
    <row r="2062" spans="1:8" x14ac:dyDescent="0.25">
      <c r="A2062" s="522" t="s">
        <v>21</v>
      </c>
      <c r="B2062" s="523"/>
      <c r="C2062" s="526">
        <f>C2058-C2061</f>
        <v>100</v>
      </c>
      <c r="D2062" s="526">
        <f>D2059-D2061</f>
        <v>125</v>
      </c>
      <c r="E2062" s="526">
        <f>E2059-E2061</f>
        <v>145</v>
      </c>
      <c r="F2062" s="526">
        <f>F2059-F2061</f>
        <v>121.49</v>
      </c>
      <c r="G2062" s="528"/>
      <c r="H2062" s="540"/>
    </row>
    <row r="2063" spans="1:8" x14ac:dyDescent="0.25">
      <c r="A2063" s="531" t="s">
        <v>22</v>
      </c>
      <c r="B2063" s="532"/>
      <c r="C2063" s="533">
        <v>2023</v>
      </c>
      <c r="D2063" s="534">
        <v>2024</v>
      </c>
      <c r="E2063" s="533">
        <v>2025</v>
      </c>
      <c r="F2063" s="533">
        <v>2026</v>
      </c>
      <c r="G2063" s="533">
        <v>2027</v>
      </c>
      <c r="H2063" s="541">
        <v>2028</v>
      </c>
    </row>
    <row r="2064" spans="1:8" x14ac:dyDescent="0.25">
      <c r="A2064" s="542" t="s">
        <v>734</v>
      </c>
      <c r="B2064" s="552"/>
      <c r="C2064" s="553"/>
      <c r="D2064" s="553"/>
      <c r="E2064" s="553"/>
      <c r="F2064" s="553"/>
      <c r="G2064" s="553"/>
      <c r="H2064" s="63"/>
    </row>
    <row r="2065" spans="1:8" x14ac:dyDescent="0.25">
      <c r="A2065" s="544" t="s">
        <v>930</v>
      </c>
      <c r="B2065" s="519"/>
      <c r="C2065" s="554"/>
      <c r="D2065" s="554"/>
      <c r="E2065" s="554"/>
      <c r="F2065" s="554"/>
      <c r="G2065" s="554"/>
      <c r="H2065" s="64"/>
    </row>
    <row r="2066" spans="1:8" x14ac:dyDescent="0.25">
      <c r="A2066" s="544" t="s">
        <v>1068</v>
      </c>
      <c r="B2066" s="519"/>
      <c r="C2066" s="554"/>
      <c r="D2066" s="554"/>
      <c r="E2066" s="554"/>
      <c r="F2066" s="554"/>
      <c r="G2066" s="554"/>
      <c r="H2066" s="64"/>
    </row>
    <row r="2067" spans="1:8" x14ac:dyDescent="0.25">
      <c r="A2067" s="548" t="s">
        <v>1204</v>
      </c>
      <c r="B2067" s="535"/>
      <c r="C2067" s="535"/>
      <c r="D2067" s="535"/>
      <c r="E2067" s="535"/>
      <c r="F2067" s="34"/>
      <c r="G2067" s="34"/>
      <c r="H2067" s="48"/>
    </row>
    <row r="2068" spans="1:8" x14ac:dyDescent="0.25">
      <c r="A2068" s="519"/>
      <c r="B2068" s="519"/>
      <c r="C2068" s="519"/>
      <c r="D2068" s="519"/>
      <c r="E2068" s="519"/>
    </row>
    <row r="2069" spans="1:8" x14ac:dyDescent="0.25">
      <c r="A2069" s="517" t="s">
        <v>14</v>
      </c>
      <c r="B2069" s="520" t="s">
        <v>623</v>
      </c>
      <c r="C2069" s="521" t="s">
        <v>15</v>
      </c>
      <c r="D2069" s="519"/>
      <c r="E2069" s="519"/>
      <c r="F2069" s="519"/>
      <c r="G2069" s="519"/>
      <c r="H2069" s="519"/>
    </row>
    <row r="2070" spans="1:8" x14ac:dyDescent="0.25">
      <c r="A2070" s="522" t="s">
        <v>16</v>
      </c>
      <c r="B2070" s="523"/>
      <c r="C2070" s="524">
        <v>2021</v>
      </c>
      <c r="D2070" s="525">
        <v>2022</v>
      </c>
      <c r="E2070" s="538">
        <v>2023</v>
      </c>
      <c r="F2070" s="538">
        <v>2024</v>
      </c>
      <c r="G2070" s="538">
        <v>2025</v>
      </c>
      <c r="H2070" s="538">
        <v>2026</v>
      </c>
    </row>
    <row r="2071" spans="1:8" x14ac:dyDescent="0.25">
      <c r="A2071" s="522" t="s">
        <v>17</v>
      </c>
      <c r="B2071" s="523"/>
      <c r="C2071" s="526">
        <v>35</v>
      </c>
      <c r="D2071" s="526">
        <v>35</v>
      </c>
      <c r="E2071" s="526">
        <v>35.67</v>
      </c>
      <c r="F2071" s="526">
        <v>35.67</v>
      </c>
      <c r="G2071" s="526">
        <v>35.67</v>
      </c>
      <c r="H2071" s="540">
        <v>35.67</v>
      </c>
    </row>
    <row r="2072" spans="1:8" x14ac:dyDescent="0.25">
      <c r="A2072" s="522" t="s">
        <v>18</v>
      </c>
      <c r="B2072" s="523"/>
      <c r="C2072" s="526">
        <v>49.67</v>
      </c>
      <c r="D2072" s="526">
        <v>49.67</v>
      </c>
      <c r="E2072" s="528">
        <f>E2071+0.4*C2071</f>
        <v>49.67</v>
      </c>
      <c r="F2072" s="528">
        <f>F2071+0.4*D2071</f>
        <v>49.67</v>
      </c>
      <c r="G2072" s="528">
        <f>G2071+0.4*E2071</f>
        <v>49.938000000000002</v>
      </c>
      <c r="H2072" s="540">
        <v>49.94</v>
      </c>
    </row>
    <row r="2073" spans="1:8" ht="30.75" customHeight="1" x14ac:dyDescent="0.25">
      <c r="A2073" s="522" t="s">
        <v>19</v>
      </c>
      <c r="B2073" s="523"/>
      <c r="C2073" s="555" t="s">
        <v>702</v>
      </c>
      <c r="D2073" s="555" t="s">
        <v>703</v>
      </c>
      <c r="E2073" s="555" t="s">
        <v>687</v>
      </c>
      <c r="F2073" s="555" t="s">
        <v>852</v>
      </c>
      <c r="G2073" s="555" t="s">
        <v>1072</v>
      </c>
      <c r="H2073" s="540" t="s">
        <v>1206</v>
      </c>
    </row>
    <row r="2074" spans="1:8" x14ac:dyDescent="0.25">
      <c r="A2074" s="522" t="s">
        <v>20</v>
      </c>
      <c r="B2074" s="523"/>
      <c r="C2074" s="526">
        <v>5.9</v>
      </c>
      <c r="D2074" s="530">
        <v>3.351</v>
      </c>
      <c r="E2074" s="528">
        <v>3.54</v>
      </c>
      <c r="F2074" s="528">
        <v>4.3899999999999997</v>
      </c>
      <c r="G2074" s="528"/>
      <c r="H2074" s="540"/>
    </row>
    <row r="2075" spans="1:8" x14ac:dyDescent="0.25">
      <c r="A2075" s="522" t="s">
        <v>21</v>
      </c>
      <c r="B2075" s="523"/>
      <c r="C2075" s="526">
        <f>C2072-C2074</f>
        <v>43.77</v>
      </c>
      <c r="D2075" s="526">
        <f>D2072-D2074</f>
        <v>46.319000000000003</v>
      </c>
      <c r="E2075" s="526">
        <f>E2072-E2074</f>
        <v>46.13</v>
      </c>
      <c r="F2075" s="526">
        <f>F2072-F2074</f>
        <v>45.28</v>
      </c>
      <c r="G2075" s="528"/>
      <c r="H2075" s="540"/>
    </row>
    <row r="2076" spans="1:8" x14ac:dyDescent="0.25">
      <c r="A2076" s="531" t="s">
        <v>22</v>
      </c>
      <c r="B2076" s="532"/>
      <c r="C2076" s="533">
        <v>2023</v>
      </c>
      <c r="D2076" s="533">
        <v>2024</v>
      </c>
      <c r="E2076" s="533">
        <v>2025</v>
      </c>
      <c r="F2076" s="533">
        <v>2026</v>
      </c>
      <c r="G2076" s="533">
        <v>2027</v>
      </c>
      <c r="H2076" s="541">
        <v>2028</v>
      </c>
    </row>
    <row r="2077" spans="1:8" x14ac:dyDescent="0.25">
      <c r="A2077" s="542" t="s">
        <v>701</v>
      </c>
      <c r="B2077" s="552"/>
      <c r="C2077" s="552"/>
      <c r="D2077" s="552"/>
      <c r="E2077" s="552"/>
      <c r="F2077" s="19"/>
      <c r="G2077" s="19"/>
      <c r="H2077" s="63"/>
    </row>
    <row r="2078" spans="1:8" x14ac:dyDescent="0.25">
      <c r="A2078" s="544" t="s">
        <v>705</v>
      </c>
      <c r="B2078" s="519"/>
      <c r="C2078" s="519"/>
      <c r="D2078" s="519"/>
      <c r="E2078" s="519"/>
      <c r="H2078" s="64"/>
    </row>
    <row r="2079" spans="1:8" x14ac:dyDescent="0.25">
      <c r="A2079" s="544" t="s">
        <v>704</v>
      </c>
      <c r="B2079" s="519"/>
      <c r="C2079" s="519"/>
      <c r="D2079" s="519"/>
      <c r="E2079" s="519"/>
      <c r="H2079" s="64"/>
    </row>
    <row r="2080" spans="1:8" x14ac:dyDescent="0.25">
      <c r="A2080" s="544" t="s">
        <v>1070</v>
      </c>
      <c r="B2080" s="519"/>
      <c r="C2080" s="519"/>
      <c r="D2080" s="519"/>
      <c r="E2080" s="519"/>
      <c r="H2080" s="64"/>
    </row>
    <row r="2081" spans="1:8" x14ac:dyDescent="0.25">
      <c r="A2081" s="544" t="s">
        <v>1071</v>
      </c>
      <c r="B2081" s="519"/>
      <c r="C2081" s="519"/>
      <c r="D2081" s="519"/>
      <c r="E2081" s="519"/>
      <c r="H2081" s="64"/>
    </row>
    <row r="2082" spans="1:8" x14ac:dyDescent="0.25">
      <c r="A2082" s="548" t="s">
        <v>1207</v>
      </c>
      <c r="B2082" s="535"/>
      <c r="C2082" s="535"/>
      <c r="D2082" s="535"/>
      <c r="E2082" s="535"/>
      <c r="F2082" s="34"/>
      <c r="G2082" s="34"/>
      <c r="H2082" s="48"/>
    </row>
    <row r="2083" spans="1:8" x14ac:dyDescent="0.25">
      <c r="A2083" s="547"/>
      <c r="B2083" s="547"/>
      <c r="C2083" s="550"/>
      <c r="D2083" s="547"/>
      <c r="E2083" s="547"/>
    </row>
    <row r="2084" spans="1:8" x14ac:dyDescent="0.25">
      <c r="A2084" s="517" t="s">
        <v>14</v>
      </c>
      <c r="B2084" s="520" t="s">
        <v>641</v>
      </c>
      <c r="C2084" s="521" t="s">
        <v>15</v>
      </c>
      <c r="D2084" s="519"/>
      <c r="E2084" s="519"/>
      <c r="F2084" s="519"/>
      <c r="G2084" s="519"/>
      <c r="H2084" s="519"/>
    </row>
    <row r="2085" spans="1:8" x14ac:dyDescent="0.25">
      <c r="A2085" s="522" t="s">
        <v>16</v>
      </c>
      <c r="B2085" s="523"/>
      <c r="C2085" s="524">
        <v>2021</v>
      </c>
      <c r="D2085" s="525">
        <v>2022</v>
      </c>
      <c r="E2085" s="538">
        <v>2023</v>
      </c>
      <c r="F2085" s="538">
        <v>2024</v>
      </c>
      <c r="G2085" s="538">
        <v>2025</v>
      </c>
      <c r="H2085" s="538">
        <v>2026</v>
      </c>
    </row>
    <row r="2086" spans="1:8" x14ac:dyDescent="0.25">
      <c r="A2086" s="522" t="s">
        <v>17</v>
      </c>
      <c r="B2086" s="523"/>
      <c r="C2086" s="526">
        <v>25</v>
      </c>
      <c r="D2086" s="526">
        <v>25</v>
      </c>
      <c r="E2086" s="526">
        <v>25</v>
      </c>
      <c r="F2086" s="526">
        <v>25</v>
      </c>
      <c r="G2086" s="526">
        <v>25</v>
      </c>
      <c r="H2086" s="539">
        <v>25</v>
      </c>
    </row>
    <row r="2087" spans="1:8" x14ac:dyDescent="0.25">
      <c r="A2087" s="522" t="s">
        <v>18</v>
      </c>
      <c r="B2087" s="523"/>
      <c r="C2087" s="526">
        <v>30</v>
      </c>
      <c r="D2087" s="526">
        <v>30</v>
      </c>
      <c r="E2087" s="551">
        <f>E2086+0.1*C2086</f>
        <v>27.5</v>
      </c>
      <c r="F2087" s="551">
        <f>F2086+0.1*D2086</f>
        <v>27.5</v>
      </c>
      <c r="G2087" s="551">
        <f>G2086+0.1*E2086</f>
        <v>27.5</v>
      </c>
      <c r="H2087" s="539">
        <v>27.5</v>
      </c>
    </row>
    <row r="2088" spans="1:8" x14ac:dyDescent="0.25">
      <c r="A2088" s="522" t="s">
        <v>19</v>
      </c>
      <c r="B2088" s="523"/>
      <c r="C2088" s="551" t="s">
        <v>682</v>
      </c>
      <c r="D2088" s="551" t="s">
        <v>683</v>
      </c>
      <c r="E2088" s="551" t="s">
        <v>1073</v>
      </c>
      <c r="F2088" s="551" t="s">
        <v>1074</v>
      </c>
      <c r="G2088" s="551" t="s">
        <v>1075</v>
      </c>
      <c r="H2088" s="540" t="s">
        <v>1210</v>
      </c>
    </row>
    <row r="2089" spans="1:8" x14ac:dyDescent="0.25">
      <c r="A2089" s="522" t="s">
        <v>20</v>
      </c>
      <c r="B2089" s="523"/>
      <c r="C2089" s="526">
        <v>0</v>
      </c>
      <c r="D2089" s="530">
        <v>0</v>
      </c>
      <c r="E2089" s="528">
        <v>0</v>
      </c>
      <c r="F2089" s="528">
        <v>0</v>
      </c>
      <c r="G2089" s="528"/>
      <c r="H2089" s="540"/>
    </row>
    <row r="2090" spans="1:8" x14ac:dyDescent="0.25">
      <c r="A2090" s="522" t="s">
        <v>21</v>
      </c>
      <c r="B2090" s="523"/>
      <c r="C2090" s="526">
        <v>30</v>
      </c>
      <c r="D2090" s="530">
        <f>D2087-D2089</f>
        <v>30</v>
      </c>
      <c r="E2090" s="530">
        <f>E2087-E2089</f>
        <v>27.5</v>
      </c>
      <c r="F2090" s="530">
        <f>F2087-F2089</f>
        <v>27.5</v>
      </c>
      <c r="G2090" s="528"/>
      <c r="H2090" s="540"/>
    </row>
    <row r="2091" spans="1:8" x14ac:dyDescent="0.25">
      <c r="A2091" s="531" t="s">
        <v>22</v>
      </c>
      <c r="B2091" s="532"/>
      <c r="C2091" s="533">
        <v>2023</v>
      </c>
      <c r="D2091" s="534">
        <v>2024</v>
      </c>
      <c r="E2091" s="533">
        <v>2025</v>
      </c>
      <c r="F2091" s="533">
        <v>2026</v>
      </c>
      <c r="G2091" s="533">
        <v>2027</v>
      </c>
      <c r="H2091" s="541">
        <v>2028</v>
      </c>
    </row>
    <row r="2092" spans="1:8" x14ac:dyDescent="0.25">
      <c r="A2092" s="542" t="s">
        <v>688</v>
      </c>
      <c r="B2092" s="552"/>
      <c r="C2092" s="553"/>
      <c r="D2092" s="553"/>
      <c r="E2092" s="553"/>
      <c r="F2092" s="553"/>
      <c r="G2092" s="19"/>
      <c r="H2092" s="63"/>
    </row>
    <row r="2093" spans="1:8" x14ac:dyDescent="0.25">
      <c r="A2093" s="544" t="s">
        <v>1076</v>
      </c>
      <c r="B2093" s="519"/>
      <c r="C2093" s="519"/>
      <c r="D2093" s="519"/>
      <c r="E2093" s="519"/>
      <c r="H2093" s="64"/>
    </row>
    <row r="2094" spans="1:8" x14ac:dyDescent="0.25">
      <c r="A2094" s="544" t="s">
        <v>1077</v>
      </c>
      <c r="B2094" s="519"/>
      <c r="C2094" s="519"/>
      <c r="D2094" s="519"/>
      <c r="E2094" s="519"/>
      <c r="H2094" s="64"/>
    </row>
    <row r="2095" spans="1:8" x14ac:dyDescent="0.25">
      <c r="A2095" s="548" t="s">
        <v>1208</v>
      </c>
      <c r="B2095" s="535"/>
      <c r="C2095" s="535"/>
      <c r="D2095" s="535"/>
      <c r="E2095" s="535"/>
      <c r="F2095" s="34"/>
      <c r="G2095" s="34"/>
      <c r="H2095" s="48"/>
    </row>
    <row r="2096" spans="1:8" x14ac:dyDescent="0.25">
      <c r="A2096" s="519"/>
      <c r="B2096" s="519"/>
      <c r="C2096" s="519"/>
      <c r="D2096" s="519"/>
      <c r="E2096" s="519"/>
    </row>
    <row r="2097" spans="1:8" x14ac:dyDescent="0.25">
      <c r="A2097" s="517" t="s">
        <v>14</v>
      </c>
      <c r="B2097" s="520" t="s">
        <v>642</v>
      </c>
      <c r="C2097" s="521" t="s">
        <v>15</v>
      </c>
      <c r="D2097" s="519"/>
      <c r="E2097" s="519"/>
      <c r="F2097" s="519"/>
      <c r="G2097" s="519"/>
      <c r="H2097" s="519"/>
    </row>
    <row r="2098" spans="1:8" x14ac:dyDescent="0.25">
      <c r="A2098" s="522" t="s">
        <v>16</v>
      </c>
      <c r="B2098" s="523"/>
      <c r="C2098" s="524">
        <v>2021</v>
      </c>
      <c r="D2098" s="525">
        <v>2022</v>
      </c>
      <c r="E2098" s="538">
        <v>2023</v>
      </c>
      <c r="F2098" s="538">
        <v>2024</v>
      </c>
      <c r="G2098" s="538">
        <v>2025</v>
      </c>
      <c r="H2098" s="538">
        <v>2026</v>
      </c>
    </row>
    <row r="2099" spans="1:8" x14ac:dyDescent="0.25">
      <c r="A2099" s="522" t="s">
        <v>17</v>
      </c>
      <c r="B2099" s="523"/>
      <c r="C2099" s="526">
        <v>48.4</v>
      </c>
      <c r="D2099" s="526">
        <v>48.4</v>
      </c>
      <c r="E2099" s="526">
        <v>63</v>
      </c>
      <c r="F2099" s="526">
        <v>63</v>
      </c>
      <c r="G2099" s="526">
        <v>63</v>
      </c>
      <c r="H2099" s="526">
        <v>63</v>
      </c>
    </row>
    <row r="2100" spans="1:8" x14ac:dyDescent="0.25">
      <c r="A2100" s="522" t="s">
        <v>18</v>
      </c>
      <c r="B2100" s="523"/>
      <c r="C2100" s="526"/>
      <c r="D2100" s="526">
        <f>D2099+0.05*C2099</f>
        <v>50.82</v>
      </c>
      <c r="E2100" s="528">
        <f>E2099+0.05*D2099</f>
        <v>65.42</v>
      </c>
      <c r="F2100" s="528">
        <f>F2099+0.05*E2099</f>
        <v>66.150000000000006</v>
      </c>
      <c r="G2100" s="528">
        <v>66.150000000000006</v>
      </c>
      <c r="H2100" s="540"/>
    </row>
    <row r="2101" spans="1:8" x14ac:dyDescent="0.25">
      <c r="A2101" s="522" t="s">
        <v>19</v>
      </c>
      <c r="B2101" s="523"/>
      <c r="C2101" s="528"/>
      <c r="D2101" s="530" t="s">
        <v>853</v>
      </c>
      <c r="E2101" s="528" t="s">
        <v>854</v>
      </c>
      <c r="F2101" s="528" t="s">
        <v>855</v>
      </c>
      <c r="G2101" s="528" t="s">
        <v>1078</v>
      </c>
      <c r="H2101" s="540" t="s">
        <v>1211</v>
      </c>
    </row>
    <row r="2102" spans="1:8" x14ac:dyDescent="0.25">
      <c r="A2102" s="522" t="s">
        <v>20</v>
      </c>
      <c r="B2102" s="523"/>
      <c r="C2102" s="526">
        <v>2.92</v>
      </c>
      <c r="D2102" s="530">
        <v>4.609</v>
      </c>
      <c r="E2102" s="528">
        <v>22.1</v>
      </c>
      <c r="F2102" s="528">
        <v>39.75</v>
      </c>
      <c r="G2102" s="528"/>
      <c r="H2102" s="540"/>
    </row>
    <row r="2103" spans="1:8" x14ac:dyDescent="0.25">
      <c r="A2103" s="522" t="s">
        <v>21</v>
      </c>
      <c r="B2103" s="523"/>
      <c r="C2103" s="526">
        <f>C2099-C2102</f>
        <v>45.48</v>
      </c>
      <c r="D2103" s="526">
        <f>D2100-D2102</f>
        <v>46.210999999999999</v>
      </c>
      <c r="E2103" s="526">
        <f>E2100-E2102</f>
        <v>43.32</v>
      </c>
      <c r="F2103" s="526">
        <f>F2100-F2102</f>
        <v>26.400000000000006</v>
      </c>
      <c r="G2103" s="528"/>
      <c r="H2103" s="540"/>
    </row>
    <row r="2104" spans="1:8" x14ac:dyDescent="0.25">
      <c r="A2104" s="531" t="s">
        <v>22</v>
      </c>
      <c r="B2104" s="532"/>
      <c r="C2104" s="533">
        <v>2022</v>
      </c>
      <c r="D2104" s="534">
        <v>2023</v>
      </c>
      <c r="E2104" s="533">
        <v>2024</v>
      </c>
      <c r="F2104" s="533">
        <v>2025</v>
      </c>
      <c r="G2104" s="533">
        <v>2026</v>
      </c>
      <c r="H2104" s="541">
        <v>2027</v>
      </c>
    </row>
    <row r="2105" spans="1:8" x14ac:dyDescent="0.25">
      <c r="A2105" s="542" t="s">
        <v>689</v>
      </c>
      <c r="B2105" s="552"/>
      <c r="C2105" s="553"/>
      <c r="D2105" s="553"/>
      <c r="E2105" s="553"/>
      <c r="F2105" s="553"/>
      <c r="G2105" s="553"/>
      <c r="H2105" s="63"/>
    </row>
    <row r="2106" spans="1:8" x14ac:dyDescent="0.25">
      <c r="A2106" s="544" t="s">
        <v>856</v>
      </c>
      <c r="B2106" s="519"/>
      <c r="C2106" s="554"/>
      <c r="D2106" s="554"/>
      <c r="E2106" s="554"/>
      <c r="F2106" s="554"/>
      <c r="G2106" s="554"/>
      <c r="H2106" s="64"/>
    </row>
    <row r="2107" spans="1:8" x14ac:dyDescent="0.25">
      <c r="A2107" s="544" t="s">
        <v>1079</v>
      </c>
      <c r="B2107" s="519"/>
      <c r="C2107" s="554"/>
      <c r="D2107" s="554"/>
      <c r="E2107" s="554"/>
      <c r="F2107" s="554"/>
      <c r="G2107" s="554"/>
      <c r="H2107" s="64"/>
    </row>
    <row r="2108" spans="1:8" x14ac:dyDescent="0.25">
      <c r="A2108" s="548" t="s">
        <v>1209</v>
      </c>
      <c r="B2108" s="535"/>
      <c r="C2108" s="535"/>
      <c r="D2108" s="535"/>
      <c r="E2108" s="535"/>
      <c r="F2108" s="34"/>
      <c r="G2108" s="34"/>
      <c r="H2108" s="48"/>
    </row>
    <row r="2109" spans="1:8" x14ac:dyDescent="0.25">
      <c r="A2109" s="519"/>
      <c r="B2109" s="519"/>
      <c r="C2109" s="519"/>
      <c r="D2109" s="519"/>
      <c r="E2109" s="519"/>
    </row>
    <row r="2110" spans="1:8" x14ac:dyDescent="0.25">
      <c r="A2110" s="517" t="s">
        <v>14</v>
      </c>
      <c r="B2110" s="520" t="s">
        <v>645</v>
      </c>
      <c r="C2110" s="521" t="s">
        <v>15</v>
      </c>
      <c r="D2110" s="519"/>
      <c r="E2110" s="519"/>
      <c r="F2110" s="519"/>
      <c r="G2110" s="519"/>
      <c r="H2110" s="519"/>
    </row>
    <row r="2111" spans="1:8" x14ac:dyDescent="0.25">
      <c r="A2111" s="522" t="s">
        <v>16</v>
      </c>
      <c r="B2111" s="523"/>
      <c r="C2111" s="524">
        <v>2021</v>
      </c>
      <c r="D2111" s="525">
        <v>2022</v>
      </c>
      <c r="E2111" s="538">
        <v>2023</v>
      </c>
      <c r="F2111" s="538">
        <v>2024</v>
      </c>
      <c r="G2111" s="538">
        <v>2025</v>
      </c>
      <c r="H2111" s="538">
        <v>2026</v>
      </c>
    </row>
    <row r="2112" spans="1:8" x14ac:dyDescent="0.25">
      <c r="A2112" s="522" t="s">
        <v>17</v>
      </c>
      <c r="B2112" s="523"/>
      <c r="C2112" s="526">
        <v>5.31</v>
      </c>
      <c r="D2112" s="526">
        <v>6.18</v>
      </c>
      <c r="E2112" s="526">
        <v>6.18</v>
      </c>
      <c r="F2112" s="526">
        <v>6.18</v>
      </c>
      <c r="G2112" s="526">
        <v>6.18</v>
      </c>
      <c r="H2112" s="540">
        <v>6.18</v>
      </c>
    </row>
    <row r="2113" spans="1:8" x14ac:dyDescent="0.25">
      <c r="A2113" s="522" t="s">
        <v>18</v>
      </c>
      <c r="B2113" s="523"/>
      <c r="C2113" s="526">
        <v>10.62</v>
      </c>
      <c r="D2113" s="526">
        <f>D2112+C2112</f>
        <v>11.489999999999998</v>
      </c>
      <c r="E2113" s="528">
        <f>E2112+D2112</f>
        <v>12.36</v>
      </c>
      <c r="F2113" s="528">
        <f>F2112*2</f>
        <v>12.36</v>
      </c>
      <c r="G2113" s="528">
        <f>G2112*2</f>
        <v>12.36</v>
      </c>
      <c r="H2113" s="540">
        <v>12.36</v>
      </c>
    </row>
    <row r="2114" spans="1:8" x14ac:dyDescent="0.25">
      <c r="A2114" s="522" t="s">
        <v>19</v>
      </c>
      <c r="B2114" s="523"/>
      <c r="C2114" s="528"/>
      <c r="D2114" s="530" t="s">
        <v>857</v>
      </c>
      <c r="E2114" s="528" t="s">
        <v>858</v>
      </c>
      <c r="F2114" s="528" t="s">
        <v>859</v>
      </c>
      <c r="G2114" s="528" t="s">
        <v>1080</v>
      </c>
      <c r="H2114" s="540" t="s">
        <v>1212</v>
      </c>
    </row>
    <row r="2115" spans="1:8" x14ac:dyDescent="0.25">
      <c r="A2115" s="522" t="s">
        <v>20</v>
      </c>
      <c r="B2115" s="523"/>
      <c r="C2115" s="526">
        <v>0.71</v>
      </c>
      <c r="D2115" s="530">
        <v>0</v>
      </c>
      <c r="E2115" s="528">
        <v>0.55000000000000004</v>
      </c>
      <c r="F2115" s="528">
        <v>0</v>
      </c>
      <c r="G2115" s="528"/>
      <c r="H2115" s="540"/>
    </row>
    <row r="2116" spans="1:8" x14ac:dyDescent="0.25">
      <c r="A2116" s="522" t="s">
        <v>21</v>
      </c>
      <c r="B2116" s="523"/>
      <c r="C2116" s="526">
        <f>C2113-C2115</f>
        <v>9.91</v>
      </c>
      <c r="D2116" s="526">
        <f>D2113-D2115</f>
        <v>11.489999999999998</v>
      </c>
      <c r="E2116" s="526">
        <f>E2113-E2115</f>
        <v>11.809999999999999</v>
      </c>
      <c r="F2116" s="526">
        <f>F2113-F2115</f>
        <v>12.36</v>
      </c>
      <c r="G2116" s="528"/>
      <c r="H2116" s="540"/>
    </row>
    <row r="2117" spans="1:8" x14ac:dyDescent="0.25">
      <c r="A2117" s="531" t="s">
        <v>22</v>
      </c>
      <c r="B2117" s="532"/>
      <c r="C2117" s="533">
        <v>2022</v>
      </c>
      <c r="D2117" s="534">
        <v>2023</v>
      </c>
      <c r="E2117" s="533">
        <v>2024</v>
      </c>
      <c r="F2117" s="533">
        <v>2025</v>
      </c>
      <c r="G2117" s="533">
        <v>2026</v>
      </c>
      <c r="H2117" s="541">
        <v>2027</v>
      </c>
    </row>
    <row r="2118" spans="1:8" x14ac:dyDescent="0.25">
      <c r="A2118" s="542" t="s">
        <v>690</v>
      </c>
      <c r="B2118" s="552"/>
      <c r="C2118" s="553"/>
      <c r="D2118" s="553"/>
      <c r="E2118" s="553"/>
      <c r="F2118" s="553"/>
      <c r="G2118" s="553"/>
      <c r="H2118" s="63"/>
    </row>
    <row r="2119" spans="1:8" x14ac:dyDescent="0.25">
      <c r="A2119" s="544" t="s">
        <v>860</v>
      </c>
      <c r="B2119" s="519"/>
      <c r="C2119" s="519"/>
      <c r="D2119" s="519"/>
      <c r="E2119" s="519"/>
      <c r="F2119" s="519"/>
      <c r="G2119" s="519"/>
      <c r="H2119" s="64"/>
    </row>
    <row r="2120" spans="1:8" x14ac:dyDescent="0.25">
      <c r="A2120" s="544" t="s">
        <v>1081</v>
      </c>
      <c r="B2120" s="519"/>
      <c r="C2120" s="519"/>
      <c r="D2120" s="519"/>
      <c r="E2120" s="519"/>
      <c r="F2120" s="519"/>
      <c r="G2120" s="519"/>
      <c r="H2120" s="64"/>
    </row>
    <row r="2121" spans="1:8" x14ac:dyDescent="0.25">
      <c r="A2121" s="548" t="s">
        <v>1213</v>
      </c>
      <c r="B2121" s="535"/>
      <c r="C2121" s="535"/>
      <c r="D2121" s="535"/>
      <c r="E2121" s="535"/>
      <c r="F2121" s="34"/>
      <c r="G2121" s="34"/>
      <c r="H2121" s="48"/>
    </row>
    <row r="2122" spans="1:8" x14ac:dyDescent="0.25">
      <c r="A2122" s="519"/>
      <c r="B2122" s="519"/>
      <c r="C2122" s="519"/>
      <c r="D2122" s="519"/>
      <c r="E2122" s="519"/>
    </row>
    <row r="2123" spans="1:8" x14ac:dyDescent="0.25">
      <c r="A2123" s="6" t="s">
        <v>204</v>
      </c>
      <c r="B2123" s="7" t="s">
        <v>818</v>
      </c>
    </row>
    <row r="2124" spans="1:8" x14ac:dyDescent="0.25">
      <c r="A2124" s="6" t="s">
        <v>203</v>
      </c>
      <c r="B2124" s="7" t="s">
        <v>638</v>
      </c>
      <c r="C2124" s="9" t="s">
        <v>15</v>
      </c>
    </row>
    <row r="2125" spans="1:8" x14ac:dyDescent="0.25">
      <c r="A2125" s="11" t="s">
        <v>16</v>
      </c>
      <c r="B2125" s="11"/>
      <c r="C2125" s="11"/>
      <c r="D2125" s="152">
        <v>2022</v>
      </c>
      <c r="E2125" s="152">
        <v>2023</v>
      </c>
      <c r="F2125" s="152">
        <v>2024</v>
      </c>
      <c r="G2125" s="152">
        <v>2025</v>
      </c>
      <c r="H2125" s="491">
        <v>2026</v>
      </c>
    </row>
    <row r="2126" spans="1:8" x14ac:dyDescent="0.25">
      <c r="A2126" s="11" t="s">
        <v>17</v>
      </c>
      <c r="B2126" s="12"/>
      <c r="C2126" s="12"/>
      <c r="D2126" s="12">
        <v>440</v>
      </c>
      <c r="E2126" s="12">
        <v>530</v>
      </c>
      <c r="F2126" s="12">
        <v>530</v>
      </c>
      <c r="G2126" s="12">
        <v>530</v>
      </c>
      <c r="H2126" s="129">
        <v>530</v>
      </c>
    </row>
    <row r="2127" spans="1:8" x14ac:dyDescent="0.25">
      <c r="A2127" s="11" t="s">
        <v>18</v>
      </c>
      <c r="B2127" s="12"/>
      <c r="C2127" s="12"/>
      <c r="D2127" s="12">
        <f>D2126+0.25*440-52.95</f>
        <v>497.05</v>
      </c>
      <c r="E2127" s="12">
        <f>E2126+0.25*440-100</f>
        <v>540</v>
      </c>
      <c r="F2127" s="12">
        <f>F2126-100</f>
        <v>430</v>
      </c>
      <c r="G2127" s="12">
        <f>G2126+0.25*E2126-100</f>
        <v>562.5</v>
      </c>
      <c r="H2127" s="129">
        <f>H2126+0.25*F2126-100</f>
        <v>562.5</v>
      </c>
    </row>
    <row r="2128" spans="1:8" x14ac:dyDescent="0.25">
      <c r="A2128" s="10" t="s">
        <v>19</v>
      </c>
      <c r="B2128" s="282"/>
      <c r="C2128" s="12"/>
      <c r="D2128" s="12"/>
      <c r="E2128" s="12"/>
      <c r="F2128" s="12"/>
      <c r="G2128" s="12"/>
      <c r="H2128" s="129"/>
    </row>
    <row r="2129" spans="1:12" x14ac:dyDescent="0.25">
      <c r="A2129" s="10" t="s">
        <v>20</v>
      </c>
      <c r="B2129" s="12"/>
      <c r="C2129" s="12"/>
      <c r="D2129" s="12">
        <v>0</v>
      </c>
      <c r="E2129" s="12">
        <v>0</v>
      </c>
      <c r="F2129" s="12">
        <v>0</v>
      </c>
      <c r="G2129" s="12"/>
      <c r="H2129" s="129"/>
    </row>
    <row r="2130" spans="1:12" x14ac:dyDescent="0.25">
      <c r="A2130" s="10" t="s">
        <v>21</v>
      </c>
      <c r="B2130" s="12"/>
      <c r="C2130" s="12"/>
      <c r="D2130" s="12">
        <f>D2127-D2129</f>
        <v>497.05</v>
      </c>
      <c r="E2130" s="12">
        <f>E2127-E2129</f>
        <v>540</v>
      </c>
      <c r="F2130" s="12">
        <f>F2127-F2129</f>
        <v>430</v>
      </c>
      <c r="G2130" s="12"/>
      <c r="H2130" s="129"/>
    </row>
    <row r="2131" spans="1:12" x14ac:dyDescent="0.25">
      <c r="A2131" s="18" t="s">
        <v>22</v>
      </c>
      <c r="B2131" s="62"/>
      <c r="C2131" s="62"/>
      <c r="D2131" s="641">
        <v>2024</v>
      </c>
      <c r="E2131" s="641">
        <v>2025</v>
      </c>
      <c r="F2131" s="641">
        <v>2026</v>
      </c>
      <c r="G2131" s="641">
        <v>2027</v>
      </c>
      <c r="H2131" s="641">
        <v>2028</v>
      </c>
    </row>
    <row r="2132" spans="1:12" x14ac:dyDescent="0.25">
      <c r="A2132" s="18" t="s">
        <v>23</v>
      </c>
      <c r="B2132" s="19"/>
      <c r="C2132" s="19"/>
      <c r="D2132" s="437"/>
      <c r="E2132" s="437"/>
      <c r="F2132" s="437"/>
      <c r="G2132" s="437"/>
      <c r="H2132" s="63"/>
    </row>
    <row r="2133" spans="1:12" x14ac:dyDescent="0.25">
      <c r="A2133" s="39" t="s">
        <v>906</v>
      </c>
      <c r="D2133" s="444"/>
      <c r="E2133" s="444"/>
      <c r="F2133" s="444"/>
      <c r="G2133" s="444"/>
      <c r="H2133" s="64"/>
    </row>
    <row r="2134" spans="1:12" x14ac:dyDescent="0.25">
      <c r="A2134" s="39" t="s">
        <v>819</v>
      </c>
      <c r="H2134" s="64"/>
    </row>
    <row r="2135" spans="1:12" x14ac:dyDescent="0.25">
      <c r="A2135" s="39" t="s">
        <v>1094</v>
      </c>
      <c r="H2135" s="64"/>
    </row>
    <row r="2136" spans="1:12" x14ac:dyDescent="0.25">
      <c r="A2136" s="39" t="s">
        <v>1095</v>
      </c>
      <c r="H2136" s="64"/>
    </row>
    <row r="2137" spans="1:12" x14ac:dyDescent="0.25">
      <c r="A2137" s="42" t="s">
        <v>1260</v>
      </c>
      <c r="B2137" s="34"/>
      <c r="C2137" s="34"/>
      <c r="D2137" s="34"/>
      <c r="E2137" s="34"/>
      <c r="F2137" s="34"/>
      <c r="G2137" s="34"/>
      <c r="H2137" s="48"/>
    </row>
    <row r="2140" spans="1:12" x14ac:dyDescent="0.25">
      <c r="A2140" s="517" t="s">
        <v>12</v>
      </c>
      <c r="B2140" s="518" t="s">
        <v>114</v>
      </c>
      <c r="D2140" s="519"/>
      <c r="E2140" s="519"/>
      <c r="F2140" s="519"/>
      <c r="G2140" s="519"/>
      <c r="H2140" s="519"/>
    </row>
    <row r="2141" spans="1:12" x14ac:dyDescent="0.25">
      <c r="A2141" s="517" t="s">
        <v>14</v>
      </c>
      <c r="B2141" s="520" t="s">
        <v>624</v>
      </c>
      <c r="C2141" s="521" t="s">
        <v>15</v>
      </c>
      <c r="D2141" s="519"/>
      <c r="E2141" s="519"/>
      <c r="F2141" s="519"/>
      <c r="G2141" s="519"/>
      <c r="H2141" s="519"/>
    </row>
    <row r="2142" spans="1:12" x14ac:dyDescent="0.25">
      <c r="A2142" s="522" t="s">
        <v>16</v>
      </c>
      <c r="B2142" s="523"/>
      <c r="C2142" s="524">
        <v>2016</v>
      </c>
      <c r="D2142" s="525">
        <v>2017</v>
      </c>
      <c r="E2142" s="538">
        <v>2018</v>
      </c>
      <c r="F2142" s="556">
        <v>2019</v>
      </c>
      <c r="G2142" s="557">
        <v>2020</v>
      </c>
      <c r="H2142" s="557">
        <v>2021</v>
      </c>
      <c r="I2142" s="557">
        <v>2022</v>
      </c>
      <c r="J2142" s="557">
        <v>2023</v>
      </c>
      <c r="K2142" s="557">
        <v>2024</v>
      </c>
      <c r="L2142" s="557">
        <v>2025</v>
      </c>
    </row>
    <row r="2143" spans="1:12" x14ac:dyDescent="0.25">
      <c r="A2143" s="522" t="s">
        <v>17</v>
      </c>
      <c r="B2143" s="523"/>
      <c r="C2143" s="526">
        <v>527</v>
      </c>
      <c r="D2143" s="526">
        <v>527</v>
      </c>
      <c r="E2143" s="528">
        <v>632.4</v>
      </c>
      <c r="F2143" s="558">
        <v>632.4</v>
      </c>
      <c r="G2143" s="559">
        <v>632.4</v>
      </c>
      <c r="H2143" s="559">
        <v>711.5</v>
      </c>
      <c r="I2143" s="559">
        <v>711.5</v>
      </c>
      <c r="J2143" s="559">
        <v>711.5</v>
      </c>
      <c r="K2143" s="559">
        <v>889.4</v>
      </c>
      <c r="L2143" s="559">
        <v>889.4</v>
      </c>
    </row>
    <row r="2144" spans="1:12" x14ac:dyDescent="0.25">
      <c r="A2144" s="522" t="s">
        <v>18</v>
      </c>
      <c r="B2144" s="523"/>
      <c r="C2144" s="526">
        <v>658.75</v>
      </c>
      <c r="D2144" s="526">
        <v>658.75</v>
      </c>
      <c r="E2144" s="528">
        <v>764.15</v>
      </c>
      <c r="F2144" s="558">
        <v>790.5</v>
      </c>
      <c r="G2144" s="559">
        <v>790.5</v>
      </c>
      <c r="H2144" s="559">
        <f>H2143+0.25*G2143</f>
        <v>869.6</v>
      </c>
      <c r="I2144" s="559">
        <f>I2143+0.25*H2143</f>
        <v>889.375</v>
      </c>
      <c r="J2144" s="559">
        <f>J2143+0.25*I2143</f>
        <v>889.375</v>
      </c>
      <c r="K2144" s="559">
        <f>K2143+0.25*J2143</f>
        <v>1067.2750000000001</v>
      </c>
      <c r="L2144" s="559">
        <f>L2143+0.25*K2143</f>
        <v>1111.75</v>
      </c>
    </row>
    <row r="2145" spans="1:26" x14ac:dyDescent="0.25">
      <c r="A2145" s="522" t="s">
        <v>19</v>
      </c>
      <c r="B2145" s="523"/>
      <c r="C2145" s="528"/>
      <c r="D2145" s="530"/>
      <c r="E2145" s="528"/>
      <c r="F2145" s="558"/>
      <c r="G2145" s="559"/>
      <c r="H2145" s="559"/>
      <c r="I2145" s="559"/>
      <c r="J2145" s="559"/>
      <c r="K2145" s="559"/>
      <c r="L2145" s="559"/>
    </row>
    <row r="2146" spans="1:26" x14ac:dyDescent="0.25">
      <c r="A2146" s="522" t="s">
        <v>20</v>
      </c>
      <c r="B2146" s="523"/>
      <c r="C2146" s="526">
        <v>250.22</v>
      </c>
      <c r="D2146" s="530">
        <v>238.35</v>
      </c>
      <c r="E2146" s="528">
        <v>102.57</v>
      </c>
      <c r="F2146" s="558">
        <v>221.13</v>
      </c>
      <c r="G2146" s="559">
        <v>328.36</v>
      </c>
      <c r="H2146" s="559">
        <v>295.93</v>
      </c>
      <c r="I2146" s="559">
        <v>310.56</v>
      </c>
      <c r="J2146" s="560">
        <v>180.1</v>
      </c>
      <c r="K2146" s="560">
        <v>228.4</v>
      </c>
      <c r="L2146" s="559"/>
    </row>
    <row r="2147" spans="1:26" x14ac:dyDescent="0.25">
      <c r="A2147" s="522" t="s">
        <v>21</v>
      </c>
      <c r="B2147" s="523"/>
      <c r="C2147" s="526">
        <v>408.53</v>
      </c>
      <c r="D2147" s="530">
        <v>420.4</v>
      </c>
      <c r="E2147" s="528">
        <f t="shared" ref="E2147:K2147" si="85">E2144-E2146</f>
        <v>661.57999999999993</v>
      </c>
      <c r="F2147" s="558">
        <f t="shared" si="85"/>
        <v>569.37</v>
      </c>
      <c r="G2147" s="559">
        <f t="shared" si="85"/>
        <v>462.14</v>
      </c>
      <c r="H2147" s="559">
        <f t="shared" si="85"/>
        <v>573.67000000000007</v>
      </c>
      <c r="I2147" s="559">
        <f t="shared" si="85"/>
        <v>578.81500000000005</v>
      </c>
      <c r="J2147" s="560">
        <f t="shared" si="85"/>
        <v>709.27499999999998</v>
      </c>
      <c r="K2147" s="560">
        <f t="shared" si="85"/>
        <v>838.87500000000011</v>
      </c>
      <c r="L2147" s="559"/>
    </row>
    <row r="2148" spans="1:26" x14ac:dyDescent="0.25">
      <c r="A2148" s="531" t="s">
        <v>22</v>
      </c>
      <c r="B2148" s="532"/>
      <c r="C2148" s="533">
        <v>2017</v>
      </c>
      <c r="D2148" s="534">
        <v>2018</v>
      </c>
      <c r="E2148" s="533">
        <v>2019</v>
      </c>
      <c r="F2148" s="561">
        <v>2020</v>
      </c>
      <c r="G2148" s="562">
        <v>2021</v>
      </c>
      <c r="H2148" s="562">
        <v>2022</v>
      </c>
      <c r="I2148" s="562">
        <v>2023</v>
      </c>
      <c r="J2148" s="562">
        <v>2024</v>
      </c>
      <c r="K2148" s="562">
        <v>2025</v>
      </c>
      <c r="L2148" s="563">
        <v>2026</v>
      </c>
    </row>
    <row r="2149" spans="1:26" x14ac:dyDescent="0.25">
      <c r="A2149" s="564" t="s">
        <v>115</v>
      </c>
      <c r="B2149" s="565"/>
      <c r="C2149" s="565"/>
      <c r="D2149" s="565"/>
      <c r="E2149" s="565"/>
      <c r="F2149" s="565"/>
      <c r="G2149" s="565"/>
      <c r="H2149" s="565"/>
      <c r="I2149" s="565"/>
      <c r="J2149" s="565"/>
      <c r="K2149" s="565"/>
      <c r="L2149" s="88"/>
    </row>
    <row r="2150" spans="1:26" x14ac:dyDescent="0.25">
      <c r="A2150" s="542" t="s">
        <v>116</v>
      </c>
      <c r="B2150" s="552"/>
      <c r="C2150" s="552"/>
      <c r="D2150" s="487"/>
      <c r="E2150" s="487"/>
      <c r="F2150" s="487"/>
      <c r="G2150" s="487"/>
      <c r="H2150" s="487"/>
      <c r="I2150" s="487"/>
      <c r="J2150" s="552"/>
      <c r="K2150" s="552"/>
      <c r="L2150" s="63"/>
    </row>
    <row r="2151" spans="1:26" x14ac:dyDescent="0.25">
      <c r="A2151" s="544" t="s">
        <v>117</v>
      </c>
      <c r="B2151" s="519"/>
      <c r="C2151" s="519"/>
      <c r="D2151" s="519"/>
      <c r="E2151" s="519"/>
      <c r="F2151" s="519"/>
      <c r="G2151" s="519"/>
      <c r="H2151" s="519"/>
      <c r="I2151" s="519"/>
      <c r="J2151" s="519"/>
      <c r="K2151" s="519"/>
      <c r="L2151" s="64"/>
    </row>
    <row r="2152" spans="1:26" x14ac:dyDescent="0.25">
      <c r="A2152" s="544" t="s">
        <v>118</v>
      </c>
      <c r="B2152" s="519"/>
      <c r="C2152" s="519"/>
      <c r="D2152" s="519"/>
      <c r="E2152" s="519"/>
      <c r="F2152" s="519"/>
      <c r="G2152" s="519"/>
      <c r="H2152" s="519"/>
      <c r="I2152" s="519"/>
      <c r="J2152" s="519"/>
      <c r="K2152" s="519"/>
      <c r="L2152" s="64"/>
    </row>
    <row r="2153" spans="1:26" x14ac:dyDescent="0.25">
      <c r="A2153" s="544" t="s">
        <v>119</v>
      </c>
      <c r="B2153" s="519"/>
      <c r="C2153" s="519"/>
      <c r="D2153" s="519"/>
      <c r="E2153" s="519"/>
      <c r="F2153" s="519"/>
      <c r="G2153" s="519"/>
      <c r="H2153" s="519"/>
      <c r="I2153" s="519"/>
      <c r="J2153" s="519"/>
      <c r="K2153" s="519"/>
      <c r="L2153" s="64"/>
    </row>
    <row r="2154" spans="1:26" x14ac:dyDescent="0.25">
      <c r="A2154" s="544" t="s">
        <v>301</v>
      </c>
      <c r="B2154" s="519"/>
      <c r="C2154" s="519"/>
      <c r="D2154" s="519"/>
      <c r="E2154" s="519"/>
      <c r="F2154" s="519"/>
      <c r="G2154" s="519"/>
      <c r="H2154" s="519"/>
      <c r="I2154" s="519"/>
      <c r="J2154" s="519"/>
      <c r="K2154" s="519"/>
      <c r="L2154" s="64"/>
    </row>
    <row r="2155" spans="1:26" x14ac:dyDescent="0.25">
      <c r="A2155" s="544" t="s">
        <v>532</v>
      </c>
      <c r="B2155" s="519"/>
      <c r="C2155" s="519"/>
      <c r="D2155" s="519"/>
      <c r="E2155" s="519"/>
      <c r="F2155" s="519"/>
      <c r="G2155" s="519"/>
      <c r="H2155" s="519"/>
      <c r="I2155" s="519"/>
      <c r="J2155" s="519"/>
      <c r="K2155" s="519"/>
      <c r="L2155" s="64"/>
    </row>
    <row r="2156" spans="1:26" x14ac:dyDescent="0.25">
      <c r="A2156" s="544" t="s">
        <v>666</v>
      </c>
      <c r="B2156" s="519"/>
      <c r="C2156" s="519"/>
      <c r="D2156" s="519"/>
      <c r="E2156" s="519"/>
      <c r="F2156" s="519"/>
      <c r="G2156" s="519"/>
      <c r="H2156" s="519"/>
      <c r="I2156" s="519"/>
      <c r="J2156" s="519"/>
      <c r="K2156" s="519"/>
      <c r="L2156" s="64"/>
    </row>
    <row r="2157" spans="1:26" x14ac:dyDescent="0.25">
      <c r="A2157" s="544" t="s">
        <v>865</v>
      </c>
      <c r="B2157" s="519"/>
      <c r="C2157" s="519"/>
      <c r="D2157" s="519"/>
      <c r="E2157" s="519"/>
      <c r="F2157" s="519"/>
      <c r="G2157" s="519"/>
      <c r="H2157" s="519"/>
      <c r="I2157" s="519"/>
      <c r="J2157" s="519"/>
      <c r="K2157" s="519"/>
      <c r="L2157" s="64"/>
    </row>
    <row r="2158" spans="1:26" s="50" customFormat="1" ht="14.4" x14ac:dyDescent="0.3">
      <c r="A2158" s="39" t="s">
        <v>1017</v>
      </c>
      <c r="B2158" s="3"/>
      <c r="C2158" s="3"/>
      <c r="D2158" s="3"/>
      <c r="E2158" s="3"/>
      <c r="F2158" s="3"/>
      <c r="G2158" s="3"/>
      <c r="H2158" s="3"/>
      <c r="I2158" s="3"/>
      <c r="J2158" s="3"/>
      <c r="K2158" s="3"/>
      <c r="L2158" s="64"/>
      <c r="M2158" s="3"/>
      <c r="N2158" s="3"/>
      <c r="O2158" s="3"/>
      <c r="P2158" s="3"/>
      <c r="Q2158" s="3"/>
      <c r="R2158" s="3"/>
      <c r="S2158" s="3"/>
      <c r="T2158" s="3"/>
      <c r="U2158" s="3"/>
      <c r="V2158" s="3"/>
      <c r="W2158" s="3"/>
      <c r="X2158" s="3"/>
      <c r="Y2158" s="3"/>
      <c r="Z2158" s="3"/>
    </row>
    <row r="2159" spans="1:26" s="50" customFormat="1" ht="14.4" x14ac:dyDescent="0.3">
      <c r="A2159" s="148" t="s">
        <v>1119</v>
      </c>
      <c r="B2159" s="3"/>
      <c r="C2159" s="3"/>
      <c r="D2159" s="3"/>
      <c r="E2159" s="3"/>
      <c r="F2159" s="3"/>
      <c r="G2159" s="3"/>
      <c r="H2159" s="3"/>
      <c r="I2159" s="3"/>
      <c r="J2159" s="3"/>
      <c r="K2159" s="3"/>
      <c r="L2159" s="64"/>
      <c r="M2159" s="3"/>
      <c r="N2159" s="3"/>
      <c r="O2159" s="3"/>
      <c r="P2159" s="3"/>
      <c r="Q2159" s="3"/>
      <c r="R2159" s="3"/>
      <c r="S2159" s="3"/>
      <c r="T2159" s="3"/>
      <c r="U2159" s="3"/>
      <c r="V2159" s="3"/>
      <c r="W2159" s="3"/>
      <c r="X2159" s="3"/>
      <c r="Y2159" s="3"/>
      <c r="Z2159" s="3"/>
    </row>
    <row r="2160" spans="1:26" x14ac:dyDescent="0.25">
      <c r="A2160" s="544" t="s">
        <v>533</v>
      </c>
      <c r="B2160" s="519"/>
      <c r="C2160" s="519"/>
      <c r="D2160" s="519"/>
      <c r="E2160" s="519"/>
      <c r="F2160" s="519"/>
      <c r="G2160" s="519"/>
      <c r="H2160" s="519"/>
      <c r="I2160" s="519"/>
      <c r="J2160" s="519"/>
      <c r="K2160" s="519"/>
      <c r="L2160" s="64"/>
    </row>
    <row r="2161" spans="1:26" x14ac:dyDescent="0.25">
      <c r="A2161" s="544" t="s">
        <v>534</v>
      </c>
      <c r="B2161" s="519"/>
      <c r="C2161" s="519"/>
      <c r="D2161" s="519"/>
      <c r="E2161" s="519"/>
      <c r="F2161" s="519"/>
      <c r="G2161" s="519"/>
      <c r="H2161" s="519"/>
      <c r="I2161" s="519"/>
      <c r="J2161" s="519"/>
      <c r="K2161" s="519"/>
      <c r="L2161" s="64"/>
    </row>
    <row r="2162" spans="1:26" s="50" customFormat="1" ht="12.75" customHeight="1" x14ac:dyDescent="0.3">
      <c r="A2162" s="39" t="s">
        <v>1018</v>
      </c>
      <c r="B2162" s="3"/>
      <c r="C2162" s="3"/>
      <c r="D2162" s="3"/>
      <c r="E2162" s="3"/>
      <c r="F2162" s="3"/>
      <c r="G2162" s="3"/>
      <c r="H2162" s="3"/>
      <c r="I2162" s="3"/>
      <c r="J2162" s="3"/>
      <c r="K2162" s="3"/>
      <c r="L2162" s="64"/>
      <c r="M2162" s="3"/>
      <c r="N2162" s="3"/>
      <c r="O2162" s="3"/>
      <c r="P2162" s="3"/>
      <c r="Q2162" s="3"/>
      <c r="R2162" s="3"/>
      <c r="S2162" s="3"/>
      <c r="T2162" s="3"/>
      <c r="U2162" s="3"/>
      <c r="V2162" s="3"/>
      <c r="W2162" s="3"/>
      <c r="X2162" s="3"/>
      <c r="Y2162" s="3"/>
      <c r="Z2162" s="3"/>
    </row>
    <row r="2163" spans="1:26" s="59" customFormat="1" ht="12.75" customHeight="1" x14ac:dyDescent="0.3">
      <c r="A2163" s="42" t="s">
        <v>1120</v>
      </c>
      <c r="B2163" s="34"/>
      <c r="C2163" s="34"/>
      <c r="D2163" s="34"/>
      <c r="E2163" s="34"/>
      <c r="F2163" s="34"/>
      <c r="G2163" s="34"/>
      <c r="H2163" s="34"/>
      <c r="I2163" s="34"/>
      <c r="J2163" s="34"/>
      <c r="K2163" s="34"/>
      <c r="L2163" s="48"/>
      <c r="M2163" s="34"/>
      <c r="N2163" s="34"/>
      <c r="O2163" s="34"/>
      <c r="P2163" s="34"/>
      <c r="Q2163" s="34"/>
      <c r="R2163" s="34"/>
      <c r="S2163" s="34"/>
      <c r="T2163" s="34"/>
      <c r="U2163" s="34"/>
      <c r="V2163" s="34"/>
      <c r="W2163" s="34"/>
      <c r="X2163" s="34"/>
      <c r="Y2163" s="34"/>
      <c r="Z2163" s="34"/>
    </row>
    <row r="2165" spans="1:26" x14ac:dyDescent="0.25">
      <c r="A2165" s="517" t="s">
        <v>14</v>
      </c>
      <c r="B2165" s="520" t="s">
        <v>623</v>
      </c>
      <c r="C2165" s="521" t="s">
        <v>15</v>
      </c>
      <c r="D2165" s="519"/>
      <c r="E2165" s="519"/>
      <c r="F2165" s="519"/>
      <c r="G2165" s="519"/>
      <c r="H2165" s="519"/>
    </row>
    <row r="2166" spans="1:26" x14ac:dyDescent="0.25">
      <c r="A2166" s="522" t="s">
        <v>16</v>
      </c>
      <c r="B2166" s="523"/>
      <c r="C2166" s="566">
        <v>2017</v>
      </c>
      <c r="D2166" s="538">
        <v>2018</v>
      </c>
      <c r="E2166" s="538">
        <v>2019</v>
      </c>
      <c r="F2166" s="556">
        <v>2020</v>
      </c>
      <c r="G2166" s="557">
        <v>2021</v>
      </c>
      <c r="H2166" s="557">
        <v>2022</v>
      </c>
      <c r="I2166" s="557">
        <v>2023</v>
      </c>
      <c r="J2166" s="557">
        <v>2024</v>
      </c>
      <c r="K2166" s="567">
        <v>2025</v>
      </c>
    </row>
    <row r="2167" spans="1:26" x14ac:dyDescent="0.25">
      <c r="A2167" s="522" t="s">
        <v>17</v>
      </c>
      <c r="B2167" s="523"/>
      <c r="C2167" s="526">
        <v>3907</v>
      </c>
      <c r="D2167" s="526">
        <v>3907</v>
      </c>
      <c r="E2167" s="528">
        <v>3907</v>
      </c>
      <c r="F2167" s="558">
        <v>3907</v>
      </c>
      <c r="G2167" s="559">
        <v>3907</v>
      </c>
      <c r="H2167" s="559">
        <v>3907</v>
      </c>
      <c r="I2167" s="559">
        <v>3907</v>
      </c>
      <c r="J2167" s="559">
        <v>3907</v>
      </c>
      <c r="K2167" s="560">
        <v>3907</v>
      </c>
    </row>
    <row r="2168" spans="1:26" x14ac:dyDescent="0.25">
      <c r="A2168" s="522" t="s">
        <v>18</v>
      </c>
      <c r="B2168" s="523"/>
      <c r="C2168" s="526">
        <v>4468.05</v>
      </c>
      <c r="D2168" s="526">
        <v>4493.05</v>
      </c>
      <c r="E2168" s="528">
        <v>4493.05</v>
      </c>
      <c r="F2168" s="558">
        <v>4493.05</v>
      </c>
      <c r="G2168" s="559">
        <v>4493.05</v>
      </c>
      <c r="H2168" s="559">
        <v>4493.05</v>
      </c>
      <c r="I2168" s="559">
        <v>4493.05</v>
      </c>
      <c r="J2168" s="559">
        <f>J2167+I2167*0.15-200</f>
        <v>4293.05</v>
      </c>
      <c r="K2168" s="560">
        <f>K2167+(K2167*0.15)-300</f>
        <v>4193.05</v>
      </c>
    </row>
    <row r="2169" spans="1:26" x14ac:dyDescent="0.25">
      <c r="A2169" s="522" t="s">
        <v>19</v>
      </c>
      <c r="B2169" s="523"/>
      <c r="C2169" s="568"/>
      <c r="D2169" s="528"/>
      <c r="E2169" s="528"/>
      <c r="F2169" s="558"/>
      <c r="G2169" s="559"/>
      <c r="H2169" s="559"/>
      <c r="I2169" s="559"/>
      <c r="J2169" s="559"/>
      <c r="K2169" s="560"/>
    </row>
    <row r="2170" spans="1:26" x14ac:dyDescent="0.25">
      <c r="A2170" s="522" t="s">
        <v>20</v>
      </c>
      <c r="B2170" s="523"/>
      <c r="C2170" s="569">
        <v>1404.81</v>
      </c>
      <c r="D2170" s="528">
        <v>1274.78</v>
      </c>
      <c r="E2170" s="528">
        <v>1736.49</v>
      </c>
      <c r="F2170" s="558">
        <v>1441.75</v>
      </c>
      <c r="G2170" s="559">
        <v>1231.69</v>
      </c>
      <c r="H2170" s="559">
        <v>1339.32</v>
      </c>
      <c r="I2170" s="559">
        <v>1008.8</v>
      </c>
      <c r="J2170" s="559">
        <v>890.44</v>
      </c>
      <c r="K2170" s="560"/>
    </row>
    <row r="2171" spans="1:26" x14ac:dyDescent="0.25">
      <c r="A2171" s="522" t="s">
        <v>21</v>
      </c>
      <c r="B2171" s="523"/>
      <c r="C2171" s="526">
        <v>3063.24</v>
      </c>
      <c r="D2171" s="528">
        <f t="shared" ref="D2171:H2171" si="86">D2168-D2170</f>
        <v>3218.2700000000004</v>
      </c>
      <c r="E2171" s="528">
        <f t="shared" si="86"/>
        <v>2756.5600000000004</v>
      </c>
      <c r="F2171" s="528">
        <f t="shared" si="86"/>
        <v>3051.3</v>
      </c>
      <c r="G2171" s="559">
        <f t="shared" si="86"/>
        <v>3261.36</v>
      </c>
      <c r="H2171" s="559">
        <f t="shared" si="86"/>
        <v>3153.7300000000005</v>
      </c>
      <c r="I2171" s="559">
        <v>3484.25</v>
      </c>
      <c r="J2171" s="559">
        <v>3402.61</v>
      </c>
      <c r="K2171" s="560"/>
    </row>
    <row r="2172" spans="1:26" x14ac:dyDescent="0.25">
      <c r="A2172" s="531" t="s">
        <v>22</v>
      </c>
      <c r="B2172" s="532"/>
      <c r="C2172" s="554">
        <v>2018</v>
      </c>
      <c r="D2172" s="533">
        <v>2019</v>
      </c>
      <c r="E2172" s="533">
        <v>2020</v>
      </c>
      <c r="F2172" s="561">
        <v>2021</v>
      </c>
      <c r="G2172" s="562">
        <v>2022</v>
      </c>
      <c r="H2172" s="562">
        <v>2023</v>
      </c>
      <c r="I2172" s="562">
        <v>2024</v>
      </c>
      <c r="J2172" s="562">
        <v>2025</v>
      </c>
      <c r="K2172" s="570">
        <v>2026</v>
      </c>
    </row>
    <row r="2173" spans="1:26" x14ac:dyDescent="0.25">
      <c r="A2173" s="564" t="s">
        <v>120</v>
      </c>
      <c r="B2173" s="565"/>
      <c r="C2173" s="565"/>
      <c r="D2173" s="565"/>
      <c r="E2173" s="565"/>
      <c r="F2173" s="565"/>
      <c r="G2173" s="565"/>
      <c r="H2173" s="565"/>
      <c r="I2173" s="565"/>
      <c r="J2173" s="565"/>
      <c r="K2173" s="88"/>
    </row>
    <row r="2174" spans="1:26" x14ac:dyDescent="0.25">
      <c r="A2174" s="542" t="s">
        <v>121</v>
      </c>
      <c r="B2174" s="552"/>
      <c r="C2174" s="552"/>
      <c r="D2174" s="552"/>
      <c r="E2174" s="552"/>
      <c r="F2174" s="552"/>
      <c r="G2174" s="552"/>
      <c r="H2174" s="552"/>
      <c r="I2174" s="552"/>
      <c r="J2174" s="552"/>
      <c r="K2174" s="63"/>
    </row>
    <row r="2175" spans="1:26" x14ac:dyDescent="0.25">
      <c r="A2175" s="544" t="s">
        <v>122</v>
      </c>
      <c r="B2175" s="519"/>
      <c r="C2175" s="519"/>
      <c r="D2175" s="519"/>
      <c r="E2175" s="519"/>
      <c r="F2175" s="519"/>
      <c r="G2175" s="519"/>
      <c r="H2175" s="519"/>
      <c r="I2175" s="519"/>
      <c r="J2175" s="519"/>
      <c r="K2175" s="64"/>
    </row>
    <row r="2176" spans="1:26" x14ac:dyDescent="0.25">
      <c r="A2176" s="544" t="s">
        <v>123</v>
      </c>
      <c r="B2176" s="519"/>
      <c r="C2176" s="519"/>
      <c r="D2176" s="519"/>
      <c r="E2176" s="519"/>
      <c r="F2176" s="519"/>
      <c r="G2176" s="519"/>
      <c r="H2176" s="519"/>
      <c r="I2176" s="519"/>
      <c r="J2176" s="519"/>
      <c r="K2176" s="64"/>
    </row>
    <row r="2177" spans="1:11" x14ac:dyDescent="0.25">
      <c r="A2177" s="39" t="s">
        <v>302</v>
      </c>
      <c r="B2177" s="519"/>
      <c r="C2177" s="519"/>
      <c r="D2177" s="519"/>
      <c r="E2177" s="519"/>
      <c r="F2177" s="519"/>
      <c r="G2177" s="519"/>
      <c r="H2177" s="519"/>
      <c r="I2177" s="519"/>
      <c r="J2177" s="519"/>
      <c r="K2177" s="64"/>
    </row>
    <row r="2178" spans="1:11" x14ac:dyDescent="0.25">
      <c r="A2178" s="544" t="s">
        <v>535</v>
      </c>
      <c r="B2178" s="519"/>
      <c r="C2178" s="519"/>
      <c r="D2178" s="519"/>
      <c r="E2178" s="519"/>
      <c r="F2178" s="519"/>
      <c r="G2178" s="519"/>
      <c r="H2178" s="519"/>
      <c r="I2178" s="519"/>
      <c r="J2178" s="519"/>
      <c r="K2178" s="64"/>
    </row>
    <row r="2179" spans="1:11" x14ac:dyDescent="0.25">
      <c r="A2179" s="544" t="s">
        <v>667</v>
      </c>
      <c r="B2179" s="519"/>
      <c r="C2179" s="519"/>
      <c r="D2179" s="519"/>
      <c r="E2179" s="519"/>
      <c r="F2179" s="519"/>
      <c r="G2179" s="519"/>
      <c r="H2179" s="519"/>
      <c r="I2179" s="519"/>
      <c r="J2179" s="519"/>
      <c r="K2179" s="64"/>
    </row>
    <row r="2180" spans="1:11" x14ac:dyDescent="0.25">
      <c r="A2180" s="544" t="s">
        <v>866</v>
      </c>
      <c r="B2180" s="519"/>
      <c r="C2180" s="519"/>
      <c r="D2180" s="519"/>
      <c r="E2180" s="519"/>
      <c r="F2180" s="519"/>
      <c r="G2180" s="519"/>
      <c r="H2180" s="519"/>
      <c r="I2180" s="519"/>
      <c r="J2180" s="519"/>
      <c r="K2180" s="64"/>
    </row>
    <row r="2181" spans="1:11" x14ac:dyDescent="0.25">
      <c r="A2181" s="544" t="s">
        <v>1019</v>
      </c>
      <c r="B2181" s="519"/>
      <c r="C2181" s="519"/>
      <c r="D2181" s="519"/>
      <c r="E2181" s="519"/>
      <c r="F2181" s="519"/>
      <c r="G2181" s="519"/>
      <c r="H2181" s="519"/>
      <c r="I2181" s="519"/>
      <c r="J2181" s="519"/>
      <c r="K2181" s="64"/>
    </row>
    <row r="2182" spans="1:11" x14ac:dyDescent="0.25">
      <c r="A2182" s="548" t="s">
        <v>1214</v>
      </c>
      <c r="B2182" s="535"/>
      <c r="C2182" s="535"/>
      <c r="D2182" s="535"/>
      <c r="E2182" s="535"/>
      <c r="F2182" s="535"/>
      <c r="G2182" s="535"/>
      <c r="H2182" s="535"/>
      <c r="I2182" s="535"/>
      <c r="J2182" s="535"/>
      <c r="K2182" s="48"/>
    </row>
    <row r="2184" spans="1:11" x14ac:dyDescent="0.25">
      <c r="A2184" s="517" t="s">
        <v>14</v>
      </c>
      <c r="B2184" s="520" t="s">
        <v>641</v>
      </c>
      <c r="C2184" s="521" t="s">
        <v>15</v>
      </c>
      <c r="D2184" s="519"/>
      <c r="E2184" s="519"/>
      <c r="F2184" s="519"/>
      <c r="G2184" s="519"/>
      <c r="H2184" s="519"/>
    </row>
    <row r="2185" spans="1:11" x14ac:dyDescent="0.25">
      <c r="A2185" s="522" t="s">
        <v>16</v>
      </c>
      <c r="B2185" s="523"/>
      <c r="C2185" s="571">
        <v>2017</v>
      </c>
      <c r="D2185" s="572">
        <v>2018</v>
      </c>
      <c r="E2185" s="572">
        <v>2019</v>
      </c>
      <c r="F2185" s="573">
        <v>2020</v>
      </c>
      <c r="G2185" s="557">
        <v>2021</v>
      </c>
      <c r="H2185" s="557">
        <v>2022</v>
      </c>
      <c r="I2185" s="557">
        <v>2023</v>
      </c>
      <c r="J2185" s="557">
        <v>2024</v>
      </c>
      <c r="K2185" s="567">
        <v>2025</v>
      </c>
    </row>
    <row r="2186" spans="1:11" x14ac:dyDescent="0.25">
      <c r="A2186" s="522" t="s">
        <v>17</v>
      </c>
      <c r="B2186" s="522"/>
      <c r="C2186" s="574">
        <v>100</v>
      </c>
      <c r="D2186" s="574">
        <v>100</v>
      </c>
      <c r="E2186" s="559">
        <v>100</v>
      </c>
      <c r="F2186" s="559">
        <v>100</v>
      </c>
      <c r="G2186" s="559">
        <v>100</v>
      </c>
      <c r="H2186" s="559">
        <v>100</v>
      </c>
      <c r="I2186" s="559">
        <v>100</v>
      </c>
      <c r="J2186" s="559">
        <v>100</v>
      </c>
      <c r="K2186" s="560">
        <v>100</v>
      </c>
    </row>
    <row r="2187" spans="1:11" x14ac:dyDescent="0.25">
      <c r="A2187" s="522" t="s">
        <v>18</v>
      </c>
      <c r="B2187" s="522"/>
      <c r="C2187" s="574">
        <v>99.94</v>
      </c>
      <c r="D2187" s="574">
        <v>99.94</v>
      </c>
      <c r="E2187" s="559">
        <v>99.94</v>
      </c>
      <c r="F2187" s="559">
        <v>99.94</v>
      </c>
      <c r="G2187" s="559">
        <v>99.94</v>
      </c>
      <c r="H2187" s="559">
        <f>H2186-50-25-24.94+G2190</f>
        <v>100</v>
      </c>
      <c r="I2187" s="559">
        <f>I2186-50-25-25+H2190</f>
        <v>100</v>
      </c>
      <c r="J2187" s="559">
        <f>J2186-50-25-25+I2190</f>
        <v>100</v>
      </c>
      <c r="K2187" s="560">
        <f t="shared" ref="K2187" si="87">K2186-50-25-25+I2190</f>
        <v>100</v>
      </c>
    </row>
    <row r="2188" spans="1:11" x14ac:dyDescent="0.25">
      <c r="A2188" s="522" t="s">
        <v>19</v>
      </c>
      <c r="B2188" s="522"/>
      <c r="C2188" s="559"/>
      <c r="D2188" s="559"/>
      <c r="E2188" s="559"/>
      <c r="F2188" s="559"/>
      <c r="G2188" s="559"/>
      <c r="H2188" s="559"/>
      <c r="I2188" s="559"/>
      <c r="J2188" s="559"/>
      <c r="K2188" s="560"/>
    </row>
    <row r="2189" spans="1:11" x14ac:dyDescent="0.25">
      <c r="A2189" s="522" t="s">
        <v>20</v>
      </c>
      <c r="B2189" s="522"/>
      <c r="C2189" s="574">
        <v>0</v>
      </c>
      <c r="D2189" s="574">
        <v>0</v>
      </c>
      <c r="E2189" s="574">
        <v>0</v>
      </c>
      <c r="F2189" s="559">
        <v>0</v>
      </c>
      <c r="G2189" s="559">
        <v>0</v>
      </c>
      <c r="H2189" s="559">
        <v>0</v>
      </c>
      <c r="I2189" s="559">
        <v>0</v>
      </c>
      <c r="J2189" s="560">
        <v>0</v>
      </c>
      <c r="K2189" s="560"/>
    </row>
    <row r="2190" spans="1:11" x14ac:dyDescent="0.25">
      <c r="A2190" s="522" t="s">
        <v>21</v>
      </c>
      <c r="B2190" s="523"/>
      <c r="C2190" s="575">
        <v>99.94</v>
      </c>
      <c r="D2190" s="575">
        <v>99.94</v>
      </c>
      <c r="E2190" s="575">
        <v>99.94</v>
      </c>
      <c r="F2190" s="568">
        <v>99.94</v>
      </c>
      <c r="G2190" s="559">
        <v>99.94</v>
      </c>
      <c r="H2190" s="559">
        <f>H2186-H2189</f>
        <v>100</v>
      </c>
      <c r="I2190" s="559">
        <v>100</v>
      </c>
      <c r="J2190" s="560">
        <v>100</v>
      </c>
      <c r="K2190" s="560"/>
    </row>
    <row r="2191" spans="1:11" x14ac:dyDescent="0.25">
      <c r="A2191" s="531" t="s">
        <v>22</v>
      </c>
      <c r="B2191" s="532"/>
      <c r="C2191" s="554">
        <v>2018</v>
      </c>
      <c r="D2191" s="533">
        <v>2019</v>
      </c>
      <c r="E2191" s="533">
        <v>2020</v>
      </c>
      <c r="F2191" s="561">
        <v>2021</v>
      </c>
      <c r="G2191" s="562">
        <v>2022</v>
      </c>
      <c r="H2191" s="562">
        <v>2023</v>
      </c>
      <c r="I2191" s="562">
        <v>2024</v>
      </c>
      <c r="J2191" s="562">
        <v>2025</v>
      </c>
      <c r="K2191" s="570">
        <v>2026</v>
      </c>
    </row>
    <row r="2192" spans="1:11" x14ac:dyDescent="0.25">
      <c r="A2192" s="542" t="s">
        <v>124</v>
      </c>
      <c r="B2192" s="552"/>
      <c r="C2192" s="552"/>
      <c r="D2192" s="552"/>
      <c r="E2192" s="552"/>
      <c r="F2192" s="552"/>
      <c r="G2192" s="552"/>
      <c r="H2192" s="552"/>
      <c r="I2192" s="552"/>
      <c r="J2192" s="552"/>
      <c r="K2192" s="63"/>
    </row>
    <row r="2193" spans="1:12" x14ac:dyDescent="0.25">
      <c r="A2193" s="544" t="s">
        <v>125</v>
      </c>
      <c r="B2193" s="519"/>
      <c r="C2193" s="519"/>
      <c r="D2193" s="519"/>
      <c r="E2193" s="519"/>
      <c r="F2193" s="519"/>
      <c r="G2193" s="519"/>
      <c r="H2193" s="519"/>
      <c r="I2193" s="519"/>
      <c r="J2193" s="519"/>
      <c r="K2193" s="64"/>
    </row>
    <row r="2194" spans="1:12" x14ac:dyDescent="0.25">
      <c r="A2194" s="544" t="s">
        <v>126</v>
      </c>
      <c r="B2194" s="519"/>
      <c r="C2194" s="519"/>
      <c r="D2194" s="519"/>
      <c r="E2194" s="519"/>
      <c r="F2194" s="519"/>
      <c r="G2194" s="519"/>
      <c r="H2194" s="519"/>
      <c r="I2194" s="519"/>
      <c r="J2194" s="519"/>
      <c r="K2194" s="64"/>
    </row>
    <row r="2195" spans="1:12" x14ac:dyDescent="0.25">
      <c r="A2195" s="544" t="s">
        <v>127</v>
      </c>
      <c r="B2195" s="519"/>
      <c r="C2195" s="519"/>
      <c r="D2195" s="519"/>
      <c r="E2195" s="519"/>
      <c r="F2195" s="519"/>
      <c r="G2195" s="519"/>
      <c r="H2195" s="519"/>
      <c r="I2195" s="519"/>
      <c r="J2195" s="519"/>
      <c r="K2195" s="64"/>
    </row>
    <row r="2196" spans="1:12" x14ac:dyDescent="0.25">
      <c r="A2196" s="544" t="s">
        <v>303</v>
      </c>
      <c r="B2196" s="519"/>
      <c r="C2196" s="519"/>
      <c r="D2196" s="519"/>
      <c r="E2196" s="519"/>
      <c r="F2196" s="519"/>
      <c r="G2196" s="519"/>
      <c r="H2196" s="519"/>
      <c r="I2196" s="519"/>
      <c r="J2196" s="519"/>
      <c r="K2196" s="64"/>
    </row>
    <row r="2197" spans="1:12" x14ac:dyDescent="0.25">
      <c r="A2197" s="544" t="s">
        <v>536</v>
      </c>
      <c r="B2197" s="519"/>
      <c r="C2197" s="519"/>
      <c r="D2197" s="519"/>
      <c r="E2197" s="519"/>
      <c r="F2197" s="519"/>
      <c r="G2197" s="519"/>
      <c r="H2197" s="519"/>
      <c r="I2197" s="519"/>
      <c r="J2197" s="519"/>
      <c r="K2197" s="64"/>
    </row>
    <row r="2198" spans="1:12" x14ac:dyDescent="0.25">
      <c r="A2198" s="544" t="s">
        <v>577</v>
      </c>
      <c r="B2198" s="519"/>
      <c r="C2198" s="519"/>
      <c r="D2198" s="519"/>
      <c r="E2198" s="519"/>
      <c r="F2198" s="519"/>
      <c r="G2198" s="519"/>
      <c r="H2198" s="519"/>
      <c r="I2198" s="519"/>
      <c r="J2198" s="519"/>
      <c r="K2198" s="64"/>
    </row>
    <row r="2199" spans="1:12" x14ac:dyDescent="0.25">
      <c r="A2199" s="544" t="s">
        <v>867</v>
      </c>
      <c r="B2199" s="519"/>
      <c r="C2199" s="519"/>
      <c r="D2199" s="519"/>
      <c r="E2199" s="519"/>
      <c r="F2199" s="519"/>
      <c r="G2199" s="519"/>
      <c r="H2199" s="519"/>
      <c r="I2199" s="519"/>
      <c r="J2199" s="519"/>
      <c r="K2199" s="64"/>
    </row>
    <row r="2200" spans="1:12" x14ac:dyDescent="0.25">
      <c r="A2200" s="544" t="s">
        <v>1020</v>
      </c>
      <c r="B2200" s="519"/>
      <c r="C2200" s="519"/>
      <c r="D2200" s="519"/>
      <c r="E2200" s="519"/>
      <c r="F2200" s="519"/>
      <c r="G2200" s="519"/>
      <c r="H2200" s="519"/>
      <c r="I2200" s="519"/>
      <c r="J2200" s="519"/>
      <c r="K2200" s="64"/>
    </row>
    <row r="2201" spans="1:12" x14ac:dyDescent="0.25">
      <c r="A2201" s="42" t="s">
        <v>1215</v>
      </c>
      <c r="B2201" s="535"/>
      <c r="C2201" s="535"/>
      <c r="D2201" s="535"/>
      <c r="E2201" s="535"/>
      <c r="F2201" s="535"/>
      <c r="G2201" s="535"/>
      <c r="H2201" s="535"/>
      <c r="I2201" s="535"/>
      <c r="J2201" s="535"/>
      <c r="K2201" s="48"/>
    </row>
    <row r="2203" spans="1:12" x14ac:dyDescent="0.25">
      <c r="A2203" s="517" t="s">
        <v>14</v>
      </c>
      <c r="B2203" s="520" t="s">
        <v>645</v>
      </c>
      <c r="C2203" s="521" t="s">
        <v>15</v>
      </c>
      <c r="D2203" s="519"/>
      <c r="E2203" s="519"/>
      <c r="F2203" s="519"/>
    </row>
    <row r="2204" spans="1:12" x14ac:dyDescent="0.25">
      <c r="A2204" s="522" t="s">
        <v>16</v>
      </c>
      <c r="B2204" s="523"/>
      <c r="C2204" s="524">
        <v>2016</v>
      </c>
      <c r="D2204" s="556">
        <v>2017</v>
      </c>
      <c r="E2204" s="538">
        <v>2018</v>
      </c>
      <c r="F2204" s="556">
        <v>2019</v>
      </c>
      <c r="G2204" s="152">
        <v>2020</v>
      </c>
      <c r="H2204" s="152">
        <v>2021</v>
      </c>
      <c r="I2204" s="152">
        <v>2022</v>
      </c>
      <c r="J2204" s="152">
        <v>2023</v>
      </c>
      <c r="K2204" s="152">
        <v>2024</v>
      </c>
      <c r="L2204" s="567">
        <v>2025</v>
      </c>
    </row>
    <row r="2205" spans="1:12" x14ac:dyDescent="0.25">
      <c r="A2205" s="522" t="s">
        <v>17</v>
      </c>
      <c r="B2205" s="523"/>
      <c r="C2205" s="576">
        <v>1083.79</v>
      </c>
      <c r="D2205" s="576">
        <v>1083.79</v>
      </c>
      <c r="E2205" s="523">
        <v>1272.8599999999999</v>
      </c>
      <c r="F2205" s="577">
        <v>1272.8599999999999</v>
      </c>
      <c r="G2205" s="11">
        <v>1272.8599999999999</v>
      </c>
      <c r="H2205" s="11">
        <v>1272.8599999999999</v>
      </c>
      <c r="I2205" s="12">
        <v>1341.14</v>
      </c>
      <c r="J2205" s="11">
        <v>1341.14</v>
      </c>
      <c r="K2205" s="11">
        <v>1341.14</v>
      </c>
      <c r="L2205" s="578">
        <v>1341.14</v>
      </c>
    </row>
    <row r="2206" spans="1:12" x14ac:dyDescent="0.25">
      <c r="A2206" s="522" t="s">
        <v>18</v>
      </c>
      <c r="B2206" s="523"/>
      <c r="C2206" s="576">
        <v>1192.17</v>
      </c>
      <c r="D2206" s="576">
        <v>1192.17</v>
      </c>
      <c r="E2206" s="523">
        <v>1381.24</v>
      </c>
      <c r="F2206" s="577">
        <v>1400.15</v>
      </c>
      <c r="G2206" s="11">
        <v>1400.15</v>
      </c>
      <c r="H2206" s="11">
        <v>1400.15</v>
      </c>
      <c r="I2206" s="12">
        <f>I2205+0.1*H2205</f>
        <v>1468.4260000000002</v>
      </c>
      <c r="J2206" s="12">
        <f>J2205+I2209</f>
        <v>1447.6760000000002</v>
      </c>
      <c r="K2206" s="12">
        <f>K2205+0.1*J2205</f>
        <v>1475.2540000000001</v>
      </c>
      <c r="L2206" s="560">
        <v>1199.96</v>
      </c>
    </row>
    <row r="2207" spans="1:12" x14ac:dyDescent="0.25">
      <c r="A2207" s="522" t="s">
        <v>19</v>
      </c>
      <c r="B2207" s="523"/>
      <c r="C2207" s="523"/>
      <c r="D2207" s="577"/>
      <c r="E2207" s="523"/>
      <c r="F2207" s="577"/>
      <c r="G2207" s="11"/>
      <c r="H2207" s="11"/>
      <c r="I2207" s="12"/>
      <c r="J2207" s="11"/>
      <c r="K2207" s="11"/>
      <c r="L2207" s="578"/>
    </row>
    <row r="2208" spans="1:12" x14ac:dyDescent="0.25">
      <c r="A2208" s="522" t="s">
        <v>20</v>
      </c>
      <c r="B2208" s="523"/>
      <c r="C2208" s="576">
        <v>1025.0999999999999</v>
      </c>
      <c r="D2208" s="577">
        <v>996.8</v>
      </c>
      <c r="E2208" s="523">
        <v>1028.26</v>
      </c>
      <c r="F2208" s="577">
        <v>1190.78</v>
      </c>
      <c r="G2208" s="11">
        <v>1184.99</v>
      </c>
      <c r="H2208" s="11">
        <v>1205.69</v>
      </c>
      <c r="I2208" s="12">
        <v>1361.89</v>
      </c>
      <c r="J2208" s="11">
        <v>1311.3</v>
      </c>
      <c r="K2208" s="11">
        <v>1616.43</v>
      </c>
      <c r="L2208" s="578"/>
    </row>
    <row r="2209" spans="1:26 2515:2515" x14ac:dyDescent="0.25">
      <c r="A2209" s="522" t="s">
        <v>21</v>
      </c>
      <c r="B2209" s="523"/>
      <c r="C2209" s="576">
        <f t="shared" ref="C2209:I2209" si="88">C2206-C2208</f>
        <v>167.07000000000016</v>
      </c>
      <c r="D2209" s="576">
        <f t="shared" si="88"/>
        <v>195.37000000000012</v>
      </c>
      <c r="E2209" s="576">
        <f t="shared" si="88"/>
        <v>352.98</v>
      </c>
      <c r="F2209" s="576">
        <f t="shared" si="88"/>
        <v>209.37000000000012</v>
      </c>
      <c r="G2209" s="576">
        <f t="shared" si="88"/>
        <v>215.16000000000008</v>
      </c>
      <c r="H2209" s="11">
        <f t="shared" si="88"/>
        <v>194.46000000000004</v>
      </c>
      <c r="I2209" s="12">
        <f t="shared" si="88"/>
        <v>106.53600000000006</v>
      </c>
      <c r="J2209" s="12">
        <v>136.3760000000002</v>
      </c>
      <c r="K2209" s="25">
        <v>-141.18</v>
      </c>
      <c r="L2209" s="578"/>
    </row>
    <row r="2210" spans="1:26 2515:2515" x14ac:dyDescent="0.25">
      <c r="A2210" s="531" t="s">
        <v>22</v>
      </c>
      <c r="B2210" s="532"/>
      <c r="C2210" s="533">
        <v>2017</v>
      </c>
      <c r="D2210" s="561">
        <v>2018</v>
      </c>
      <c r="E2210" s="533">
        <v>2019</v>
      </c>
      <c r="F2210" s="561">
        <v>2020</v>
      </c>
      <c r="G2210" s="157">
        <v>2021</v>
      </c>
      <c r="H2210" s="157">
        <v>2022</v>
      </c>
      <c r="I2210" s="157">
        <v>2023</v>
      </c>
      <c r="J2210" s="157">
        <v>2024</v>
      </c>
      <c r="K2210" s="157">
        <v>2025</v>
      </c>
      <c r="L2210" s="570">
        <v>2026</v>
      </c>
    </row>
    <row r="2211" spans="1:26 2515:2515" x14ac:dyDescent="0.25">
      <c r="A2211" s="564" t="s">
        <v>538</v>
      </c>
      <c r="B2211" s="565"/>
      <c r="C2211" s="579"/>
      <c r="D2211" s="579"/>
      <c r="E2211" s="579"/>
      <c r="F2211" s="579"/>
      <c r="G2211" s="184"/>
      <c r="H2211" s="184"/>
      <c r="I2211" s="184"/>
      <c r="J2211" s="184"/>
      <c r="K2211" s="184"/>
      <c r="L2211" s="88"/>
    </row>
    <row r="2212" spans="1:26 2515:2515" x14ac:dyDescent="0.25">
      <c r="A2212" s="542" t="s">
        <v>128</v>
      </c>
      <c r="B2212" s="552"/>
      <c r="C2212" s="552"/>
      <c r="D2212" s="552"/>
      <c r="E2212" s="552"/>
      <c r="F2212" s="552"/>
      <c r="G2212" s="19"/>
      <c r="H2212" s="19"/>
      <c r="I2212" s="19"/>
      <c r="J2212" s="19"/>
      <c r="K2212" s="19"/>
      <c r="L2212" s="63"/>
    </row>
    <row r="2213" spans="1:26 2515:2515" x14ac:dyDescent="0.25">
      <c r="A2213" s="544" t="s">
        <v>129</v>
      </c>
      <c r="B2213" s="519"/>
      <c r="C2213" s="519"/>
      <c r="D2213" s="519"/>
      <c r="E2213" s="519"/>
      <c r="F2213" s="519"/>
      <c r="L2213" s="64"/>
    </row>
    <row r="2214" spans="1:26 2515:2515" x14ac:dyDescent="0.25">
      <c r="A2214" s="544" t="s">
        <v>130</v>
      </c>
      <c r="B2214" s="519"/>
      <c r="C2214" s="519"/>
      <c r="D2214" s="519"/>
      <c r="E2214" s="519"/>
      <c r="F2214" s="519"/>
      <c r="L2214" s="64"/>
    </row>
    <row r="2215" spans="1:26 2515:2515" x14ac:dyDescent="0.25">
      <c r="A2215" s="544" t="s">
        <v>131</v>
      </c>
      <c r="B2215" s="519"/>
      <c r="C2215" s="519"/>
      <c r="D2215" s="519"/>
      <c r="E2215" s="519"/>
      <c r="F2215" s="519"/>
      <c r="L2215" s="64"/>
    </row>
    <row r="2216" spans="1:26 2515:2515" x14ac:dyDescent="0.25">
      <c r="A2216" s="544" t="s">
        <v>304</v>
      </c>
      <c r="B2216" s="519"/>
      <c r="C2216" s="519"/>
      <c r="D2216" s="519"/>
      <c r="E2216" s="519"/>
      <c r="F2216" s="519"/>
      <c r="L2216" s="64"/>
    </row>
    <row r="2217" spans="1:26 2515:2515" x14ac:dyDescent="0.25">
      <c r="A2217" s="544" t="s">
        <v>537</v>
      </c>
      <c r="B2217" s="519"/>
      <c r="C2217" s="519"/>
      <c r="D2217" s="519"/>
      <c r="E2217" s="519"/>
      <c r="F2217" s="519"/>
      <c r="L2217" s="64"/>
    </row>
    <row r="2218" spans="1:26 2515:2515" x14ac:dyDescent="0.25">
      <c r="A2218" s="544" t="s">
        <v>668</v>
      </c>
      <c r="B2218" s="519"/>
      <c r="C2218" s="519"/>
      <c r="D2218" s="519"/>
      <c r="E2218" s="519"/>
      <c r="F2218" s="519"/>
      <c r="L2218" s="64"/>
      <c r="CRS2218" s="148"/>
    </row>
    <row r="2219" spans="1:26 2515:2515" x14ac:dyDescent="0.25">
      <c r="A2219" s="544" t="s">
        <v>868</v>
      </c>
      <c r="B2219" s="519"/>
      <c r="C2219" s="519"/>
      <c r="D2219" s="519"/>
      <c r="E2219" s="519"/>
      <c r="F2219" s="519"/>
      <c r="L2219" s="64"/>
    </row>
    <row r="2220" spans="1:26 2515:2515" s="50" customFormat="1" ht="12.75" customHeight="1" x14ac:dyDescent="0.3">
      <c r="A2220" s="39" t="s">
        <v>1021</v>
      </c>
      <c r="B2220" s="3"/>
      <c r="C2220" s="3"/>
      <c r="D2220" s="3"/>
      <c r="E2220" s="3"/>
      <c r="F2220" s="3"/>
      <c r="G2220" s="3"/>
      <c r="H2220" s="3"/>
      <c r="I2220" s="3"/>
      <c r="J2220" s="3"/>
      <c r="K2220" s="3"/>
      <c r="L2220" s="64"/>
      <c r="M2220" s="3"/>
      <c r="N2220" s="3"/>
      <c r="O2220" s="3"/>
      <c r="P2220" s="3"/>
      <c r="Q2220" s="3"/>
      <c r="R2220" s="3"/>
      <c r="S2220" s="3"/>
      <c r="T2220" s="3"/>
      <c r="U2220" s="3"/>
      <c r="V2220" s="3"/>
      <c r="W2220" s="3"/>
      <c r="X2220" s="3"/>
      <c r="Y2220" s="3"/>
      <c r="Z2220" s="3"/>
    </row>
    <row r="2221" spans="1:26 2515:2515" s="580" customFormat="1" ht="12.75" customHeight="1" x14ac:dyDescent="0.3">
      <c r="A2221" s="148" t="s">
        <v>1216</v>
      </c>
      <c r="B2221" s="45"/>
      <c r="C2221" s="45"/>
      <c r="D2221" s="45"/>
      <c r="E2221" s="45"/>
      <c r="F2221" s="45"/>
      <c r="G2221" s="45"/>
      <c r="H2221" s="45"/>
      <c r="I2221" s="45"/>
      <c r="J2221" s="45"/>
      <c r="K2221" s="45"/>
      <c r="L2221" s="40"/>
      <c r="M2221" s="45"/>
      <c r="N2221" s="45"/>
      <c r="O2221" s="45"/>
      <c r="P2221" s="45"/>
      <c r="Q2221" s="45"/>
      <c r="R2221" s="45"/>
      <c r="S2221" s="45"/>
      <c r="T2221" s="45"/>
      <c r="U2221" s="45"/>
      <c r="V2221" s="45"/>
      <c r="W2221" s="45"/>
      <c r="X2221" s="45"/>
      <c r="Y2221" s="45"/>
      <c r="Z2221" s="45"/>
    </row>
    <row r="2222" spans="1:26 2515:2515" x14ac:dyDescent="0.25">
      <c r="A2222" s="39" t="s">
        <v>539</v>
      </c>
      <c r="L2222" s="64"/>
    </row>
    <row r="2223" spans="1:26 2515:2515" x14ac:dyDescent="0.25">
      <c r="A2223" s="39" t="s">
        <v>669</v>
      </c>
      <c r="L2223" s="64"/>
    </row>
    <row r="2224" spans="1:26 2515:2515" s="50" customFormat="1" ht="12.75" customHeight="1" x14ac:dyDescent="0.3">
      <c r="A2224" s="39" t="s">
        <v>1022</v>
      </c>
      <c r="B2224" s="3"/>
      <c r="C2224" s="3"/>
      <c r="D2224" s="3"/>
      <c r="E2224" s="3"/>
      <c r="F2224" s="3"/>
      <c r="G2224" s="3"/>
      <c r="H2224" s="3"/>
      <c r="I2224" s="3"/>
      <c r="J2224" s="3"/>
      <c r="K2224" s="3"/>
      <c r="L2224" s="64"/>
      <c r="M2224" s="3"/>
      <c r="N2224" s="3"/>
      <c r="O2224" s="3"/>
      <c r="P2224" s="3"/>
      <c r="Q2224" s="3"/>
      <c r="R2224" s="3"/>
      <c r="S2224" s="3"/>
      <c r="T2224" s="3"/>
      <c r="U2224" s="3"/>
      <c r="V2224" s="3"/>
      <c r="W2224" s="3"/>
      <c r="X2224" s="3"/>
      <c r="Y2224" s="3"/>
      <c r="Z2224" s="3"/>
    </row>
    <row r="2225" spans="1:12" x14ac:dyDescent="0.25">
      <c r="A2225" s="41" t="s">
        <v>869</v>
      </c>
      <c r="B2225" s="34"/>
      <c r="C2225" s="34"/>
      <c r="D2225" s="34"/>
      <c r="E2225" s="34"/>
      <c r="F2225" s="34"/>
      <c r="G2225" s="34"/>
      <c r="H2225" s="34"/>
      <c r="I2225" s="34"/>
      <c r="J2225" s="34"/>
      <c r="K2225" s="34"/>
      <c r="L2225" s="48"/>
    </row>
    <row r="2228" spans="1:12" x14ac:dyDescent="0.25">
      <c r="A2228" s="6" t="s">
        <v>24</v>
      </c>
      <c r="B2228" s="7" t="s">
        <v>540</v>
      </c>
    </row>
    <row r="2229" spans="1:12" x14ac:dyDescent="0.25">
      <c r="A2229" s="149" t="s">
        <v>14</v>
      </c>
      <c r="B2229" s="24" t="s">
        <v>624</v>
      </c>
      <c r="C2229" s="471" t="s">
        <v>26</v>
      </c>
    </row>
    <row r="2230" spans="1:12" x14ac:dyDescent="0.25">
      <c r="A2230" s="168" t="s">
        <v>27</v>
      </c>
      <c r="B2230" s="272">
        <v>2016</v>
      </c>
      <c r="C2230" s="152">
        <v>2017</v>
      </c>
      <c r="D2230" s="472">
        <v>2018</v>
      </c>
      <c r="E2230" s="152">
        <v>2019</v>
      </c>
      <c r="F2230" s="152">
        <v>2020</v>
      </c>
      <c r="G2230" s="152">
        <v>2021</v>
      </c>
      <c r="H2230" s="152">
        <v>2022</v>
      </c>
      <c r="I2230" s="152">
        <v>2023</v>
      </c>
      <c r="J2230" s="152">
        <v>2024</v>
      </c>
      <c r="K2230" s="152">
        <v>2025</v>
      </c>
    </row>
    <row r="2231" spans="1:12" x14ac:dyDescent="0.25">
      <c r="A2231" s="11" t="s">
        <v>28</v>
      </c>
      <c r="B2231" s="72">
        <v>250</v>
      </c>
      <c r="C2231" s="72">
        <v>250</v>
      </c>
      <c r="D2231" s="72">
        <v>300</v>
      </c>
      <c r="E2231" s="72">
        <v>300</v>
      </c>
      <c r="F2231" s="12">
        <v>300</v>
      </c>
      <c r="G2231" s="12">
        <v>337.5</v>
      </c>
      <c r="H2231" s="12">
        <v>337.5</v>
      </c>
      <c r="I2231" s="12">
        <v>337.5</v>
      </c>
      <c r="J2231" s="12">
        <v>421.9</v>
      </c>
      <c r="K2231" s="12">
        <v>421.9</v>
      </c>
    </row>
    <row r="2232" spans="1:12" x14ac:dyDescent="0.25">
      <c r="A2232" s="11" t="s">
        <v>29</v>
      </c>
      <c r="B2232" s="72">
        <v>-415.21000000000004</v>
      </c>
      <c r="C2232" s="72">
        <f>B2235+C2231+60+150+114</f>
        <v>-128.19000000000005</v>
      </c>
      <c r="D2232" s="72">
        <f>C2235+D2231</f>
        <v>-129.54000000000008</v>
      </c>
      <c r="E2232" s="72">
        <f>E2231+D2235</f>
        <v>5.0099999999999341</v>
      </c>
      <c r="F2232" s="72">
        <f>E2235+F2231</f>
        <v>84.089999999999947</v>
      </c>
      <c r="G2232" s="72">
        <f>G2231+F2235</f>
        <v>175.66999999999996</v>
      </c>
      <c r="H2232" s="72">
        <f>H2231+G2235</f>
        <v>214.65699999999998</v>
      </c>
      <c r="I2232" s="72">
        <f>I2231+H2235</f>
        <v>234.81599999999997</v>
      </c>
      <c r="J2232" s="72">
        <f>J2231+I2235</f>
        <v>443.82599999999996</v>
      </c>
      <c r="K2232" s="72">
        <f>K2231+0.25*J2231</f>
        <v>527.375</v>
      </c>
    </row>
    <row r="2233" spans="1:12" x14ac:dyDescent="0.25">
      <c r="A2233" s="11" t="s">
        <v>30</v>
      </c>
      <c r="B2233" s="484"/>
      <c r="C2233" s="581" t="s">
        <v>543</v>
      </c>
      <c r="D2233" s="484" t="s">
        <v>544</v>
      </c>
      <c r="E2233" s="484" t="s">
        <v>545</v>
      </c>
      <c r="F2233" s="484" t="s">
        <v>548</v>
      </c>
      <c r="G2233" s="484" t="s">
        <v>550</v>
      </c>
      <c r="H2233" s="484" t="s">
        <v>692</v>
      </c>
      <c r="I2233" s="484" t="s">
        <v>849</v>
      </c>
      <c r="J2233" s="484" t="s">
        <v>1014</v>
      </c>
      <c r="K2233" s="484" t="s">
        <v>1118</v>
      </c>
    </row>
    <row r="2234" spans="1:12" x14ac:dyDescent="0.25">
      <c r="A2234" s="11" t="s">
        <v>31</v>
      </c>
      <c r="B2234" s="72">
        <v>286.98</v>
      </c>
      <c r="C2234" s="72">
        <v>301.35000000000002</v>
      </c>
      <c r="D2234" s="72">
        <v>165.45</v>
      </c>
      <c r="E2234" s="72">
        <v>220.92</v>
      </c>
      <c r="F2234" s="12">
        <v>245.92</v>
      </c>
      <c r="G2234" s="12">
        <v>298.51299999999998</v>
      </c>
      <c r="H2234" s="12">
        <v>317.34100000000001</v>
      </c>
      <c r="I2234" s="12">
        <v>212.89</v>
      </c>
      <c r="J2234" s="11">
        <v>179.49600000000001</v>
      </c>
      <c r="K2234" s="11"/>
    </row>
    <row r="2235" spans="1:12" x14ac:dyDescent="0.25">
      <c r="A2235" s="11" t="s">
        <v>32</v>
      </c>
      <c r="B2235" s="72">
        <f t="shared" ref="B2235:J2235" si="89">B2232-B2234</f>
        <v>-702.19</v>
      </c>
      <c r="C2235" s="72">
        <f t="shared" si="89"/>
        <v>-429.54000000000008</v>
      </c>
      <c r="D2235" s="72">
        <f t="shared" si="89"/>
        <v>-294.99000000000007</v>
      </c>
      <c r="E2235" s="72">
        <f t="shared" si="89"/>
        <v>-215.91000000000005</v>
      </c>
      <c r="F2235" s="72">
        <f t="shared" si="89"/>
        <v>-161.83000000000004</v>
      </c>
      <c r="G2235" s="12">
        <f t="shared" si="89"/>
        <v>-122.84300000000002</v>
      </c>
      <c r="H2235" s="12">
        <f t="shared" si="89"/>
        <v>-102.68400000000003</v>
      </c>
      <c r="I2235" s="12">
        <f t="shared" si="89"/>
        <v>21.925999999999988</v>
      </c>
      <c r="J2235" s="12">
        <f t="shared" si="89"/>
        <v>264.32999999999993</v>
      </c>
      <c r="K2235" s="11"/>
    </row>
    <row r="2236" spans="1:12" x14ac:dyDescent="0.25">
      <c r="A2236" s="16" t="s">
        <v>33</v>
      </c>
      <c r="B2236" s="157">
        <v>2018</v>
      </c>
      <c r="C2236" s="157">
        <v>2018</v>
      </c>
      <c r="D2236" s="157">
        <v>2019</v>
      </c>
      <c r="E2236" s="157">
        <v>2020</v>
      </c>
      <c r="F2236" s="157">
        <v>2021</v>
      </c>
      <c r="G2236" s="157">
        <v>2022</v>
      </c>
      <c r="H2236" s="157">
        <v>2023</v>
      </c>
      <c r="I2236" s="157">
        <v>2024</v>
      </c>
      <c r="J2236" s="157">
        <v>2025</v>
      </c>
      <c r="K2236" s="195">
        <v>2026</v>
      </c>
    </row>
    <row r="2237" spans="1:12" x14ac:dyDescent="0.25">
      <c r="A2237" s="18" t="s">
        <v>542</v>
      </c>
      <c r="B2237" s="437"/>
      <c r="C2237" s="437"/>
      <c r="D2237" s="437"/>
      <c r="E2237" s="437"/>
      <c r="F2237" s="437"/>
      <c r="G2237" s="19"/>
      <c r="H2237" s="19"/>
      <c r="I2237" s="19"/>
      <c r="J2237" s="19"/>
      <c r="K2237" s="63"/>
    </row>
    <row r="2238" spans="1:12" x14ac:dyDescent="0.25">
      <c r="A2238" s="39" t="s">
        <v>546</v>
      </c>
      <c r="B2238" s="444"/>
      <c r="C2238" s="444"/>
      <c r="D2238" s="444"/>
      <c r="E2238" s="444"/>
      <c r="F2238" s="444"/>
      <c r="K2238" s="64"/>
    </row>
    <row r="2239" spans="1:12" x14ac:dyDescent="0.25">
      <c r="A2239" s="39" t="s">
        <v>547</v>
      </c>
      <c r="B2239" s="444"/>
      <c r="C2239" s="444"/>
      <c r="D2239" s="444"/>
      <c r="E2239" s="444"/>
      <c r="F2239" s="444"/>
      <c r="K2239" s="64"/>
    </row>
    <row r="2240" spans="1:12" x14ac:dyDescent="0.25">
      <c r="A2240" s="39" t="s">
        <v>549</v>
      </c>
      <c r="B2240" s="444"/>
      <c r="C2240" s="444"/>
      <c r="D2240" s="444"/>
      <c r="E2240" s="444"/>
      <c r="F2240" s="444"/>
      <c r="K2240" s="64"/>
    </row>
    <row r="2241" spans="1:11" x14ac:dyDescent="0.25">
      <c r="A2241" s="39" t="s">
        <v>551</v>
      </c>
      <c r="B2241" s="444"/>
      <c r="C2241" s="444"/>
      <c r="D2241" s="444"/>
      <c r="E2241" s="444"/>
      <c r="F2241" s="444"/>
      <c r="K2241" s="64"/>
    </row>
    <row r="2242" spans="1:11" x14ac:dyDescent="0.25">
      <c r="A2242" s="39" t="s">
        <v>693</v>
      </c>
      <c r="B2242" s="444"/>
      <c r="C2242" s="444"/>
      <c r="D2242" s="444"/>
      <c r="E2242" s="444"/>
      <c r="F2242" s="444"/>
      <c r="K2242" s="64"/>
    </row>
    <row r="2243" spans="1:11" x14ac:dyDescent="0.25">
      <c r="A2243" s="39" t="s">
        <v>850</v>
      </c>
      <c r="B2243" s="444"/>
      <c r="C2243" s="444"/>
      <c r="D2243" s="444"/>
      <c r="E2243" s="444"/>
      <c r="F2243" s="444"/>
      <c r="K2243" s="64"/>
    </row>
    <row r="2244" spans="1:11" x14ac:dyDescent="0.25">
      <c r="A2244" s="39" t="s">
        <v>1015</v>
      </c>
      <c r="B2244" s="444"/>
      <c r="C2244" s="444"/>
      <c r="D2244" s="444"/>
      <c r="E2244" s="444"/>
      <c r="F2244" s="444"/>
      <c r="K2244" s="64"/>
    </row>
    <row r="2245" spans="1:11" x14ac:dyDescent="0.25">
      <c r="A2245" s="39" t="s">
        <v>1121</v>
      </c>
      <c r="B2245" s="444"/>
      <c r="C2245" s="444"/>
      <c r="D2245" s="444"/>
      <c r="E2245" s="444"/>
      <c r="F2245" s="444"/>
      <c r="K2245" s="64"/>
    </row>
    <row r="2246" spans="1:11" x14ac:dyDescent="0.25">
      <c r="A2246" s="41" t="s">
        <v>541</v>
      </c>
      <c r="B2246" s="485"/>
      <c r="C2246" s="485"/>
      <c r="D2246" s="485"/>
      <c r="E2246" s="485"/>
      <c r="F2246" s="485"/>
      <c r="G2246" s="34"/>
      <c r="H2246" s="34"/>
      <c r="I2246" s="34"/>
      <c r="J2246" s="34"/>
      <c r="K2246" s="48"/>
    </row>
    <row r="2247" spans="1:11" x14ac:dyDescent="0.25">
      <c r="A2247" s="2"/>
      <c r="B2247" s="2"/>
    </row>
    <row r="2248" spans="1:11" x14ac:dyDescent="0.25">
      <c r="A2248" s="6" t="s">
        <v>14</v>
      </c>
      <c r="B2248" s="7" t="s">
        <v>623</v>
      </c>
      <c r="C2248" s="471" t="s">
        <v>26</v>
      </c>
    </row>
    <row r="2249" spans="1:11" x14ac:dyDescent="0.25">
      <c r="A2249" s="168" t="s">
        <v>27</v>
      </c>
      <c r="B2249" s="152">
        <v>2016</v>
      </c>
      <c r="C2249" s="152">
        <v>2017</v>
      </c>
      <c r="D2249" s="472">
        <v>2018</v>
      </c>
      <c r="E2249" s="152">
        <v>2019</v>
      </c>
      <c r="F2249" s="152">
        <v>2020</v>
      </c>
      <c r="G2249" s="152">
        <v>2021</v>
      </c>
      <c r="H2249" s="152">
        <v>2022</v>
      </c>
      <c r="I2249" s="152">
        <v>2023</v>
      </c>
      <c r="J2249" s="152">
        <v>2024</v>
      </c>
      <c r="K2249" s="152">
        <v>2025</v>
      </c>
    </row>
    <row r="2250" spans="1:11" x14ac:dyDescent="0.25">
      <c r="A2250" s="11" t="s">
        <v>28</v>
      </c>
      <c r="B2250" s="72">
        <v>85</v>
      </c>
      <c r="C2250" s="72">
        <v>85</v>
      </c>
      <c r="D2250" s="72">
        <v>85</v>
      </c>
      <c r="E2250" s="72">
        <v>85</v>
      </c>
      <c r="F2250" s="12">
        <v>85</v>
      </c>
      <c r="G2250" s="12">
        <v>85</v>
      </c>
      <c r="H2250" s="12">
        <v>85</v>
      </c>
      <c r="I2250" s="12">
        <v>85</v>
      </c>
      <c r="J2250" s="12">
        <v>85</v>
      </c>
      <c r="K2250" s="12">
        <v>85</v>
      </c>
    </row>
    <row r="2251" spans="1:11" x14ac:dyDescent="0.25">
      <c r="A2251" s="11" t="s">
        <v>29</v>
      </c>
      <c r="B2251" s="72">
        <f>B2250*1.5</f>
        <v>127.5</v>
      </c>
      <c r="C2251" s="72">
        <f>C2250+0.5*B2250-12.75</f>
        <v>114.75</v>
      </c>
      <c r="D2251" s="72">
        <f>D2250+0.4*B2250-12.75</f>
        <v>106.25</v>
      </c>
      <c r="E2251" s="72">
        <f t="shared" ref="E2251:K2251" si="90">E2250+0.4*C2250</f>
        <v>119</v>
      </c>
      <c r="F2251" s="72">
        <f t="shared" si="90"/>
        <v>119</v>
      </c>
      <c r="G2251" s="72">
        <f t="shared" si="90"/>
        <v>119</v>
      </c>
      <c r="H2251" s="72">
        <f t="shared" si="90"/>
        <v>119</v>
      </c>
      <c r="I2251" s="72">
        <f t="shared" si="90"/>
        <v>119</v>
      </c>
      <c r="J2251" s="72">
        <f t="shared" si="90"/>
        <v>119</v>
      </c>
      <c r="K2251" s="72">
        <f t="shared" si="90"/>
        <v>119</v>
      </c>
    </row>
    <row r="2252" spans="1:11" x14ac:dyDescent="0.25">
      <c r="A2252" s="11" t="s">
        <v>30</v>
      </c>
      <c r="B2252" s="250" t="s">
        <v>552</v>
      </c>
      <c r="C2252" s="250" t="s">
        <v>555</v>
      </c>
      <c r="D2252" s="250" t="s">
        <v>556</v>
      </c>
      <c r="E2252" s="250" t="s">
        <v>557</v>
      </c>
      <c r="F2252" s="250" t="s">
        <v>557</v>
      </c>
      <c r="G2252" s="250" t="s">
        <v>557</v>
      </c>
      <c r="H2252" s="250" t="s">
        <v>557</v>
      </c>
      <c r="I2252" s="250" t="s">
        <v>557</v>
      </c>
      <c r="J2252" s="250" t="s">
        <v>557</v>
      </c>
      <c r="K2252" s="250" t="s">
        <v>557</v>
      </c>
    </row>
    <row r="2253" spans="1:11" x14ac:dyDescent="0.25">
      <c r="A2253" s="11" t="s">
        <v>31</v>
      </c>
      <c r="B2253" s="72">
        <v>52.75</v>
      </c>
      <c r="C2253" s="72">
        <v>52.26</v>
      </c>
      <c r="D2253" s="72">
        <v>30.79</v>
      </c>
      <c r="E2253" s="72">
        <v>31.39</v>
      </c>
      <c r="F2253" s="12">
        <v>14.36</v>
      </c>
      <c r="G2253" s="12">
        <v>13.391</v>
      </c>
      <c r="H2253" s="12">
        <v>16.809999999999999</v>
      </c>
      <c r="I2253" s="12">
        <v>31.181000000000001</v>
      </c>
      <c r="J2253" s="12">
        <v>38.901000000000003</v>
      </c>
      <c r="K2253" s="112"/>
    </row>
    <row r="2254" spans="1:11" x14ac:dyDescent="0.25">
      <c r="A2254" s="11" t="s">
        <v>32</v>
      </c>
      <c r="B2254" s="72">
        <f t="shared" ref="B2254:J2254" si="91">B2251-B2253</f>
        <v>74.75</v>
      </c>
      <c r="C2254" s="72">
        <f t="shared" si="91"/>
        <v>62.49</v>
      </c>
      <c r="D2254" s="72">
        <f t="shared" si="91"/>
        <v>75.460000000000008</v>
      </c>
      <c r="E2254" s="72">
        <f t="shared" si="91"/>
        <v>87.61</v>
      </c>
      <c r="F2254" s="72">
        <f t="shared" si="91"/>
        <v>104.64</v>
      </c>
      <c r="G2254" s="12">
        <f t="shared" si="91"/>
        <v>105.60899999999999</v>
      </c>
      <c r="H2254" s="12">
        <f t="shared" si="91"/>
        <v>102.19</v>
      </c>
      <c r="I2254" s="12">
        <f t="shared" si="91"/>
        <v>87.819000000000003</v>
      </c>
      <c r="J2254" s="12">
        <f t="shared" si="91"/>
        <v>80.09899999999999</v>
      </c>
      <c r="K2254" s="113"/>
    </row>
    <row r="2255" spans="1:11" x14ac:dyDescent="0.25">
      <c r="A2255" s="16" t="s">
        <v>33</v>
      </c>
      <c r="B2255" s="157">
        <v>2018</v>
      </c>
      <c r="C2255" s="157">
        <v>2019</v>
      </c>
      <c r="D2255" s="473">
        <v>2020</v>
      </c>
      <c r="E2255" s="157">
        <v>2021</v>
      </c>
      <c r="F2255" s="157">
        <v>2022</v>
      </c>
      <c r="G2255" s="157">
        <v>2023</v>
      </c>
      <c r="H2255" s="157">
        <v>2024</v>
      </c>
      <c r="I2255" s="157">
        <v>2025</v>
      </c>
      <c r="J2255" s="157">
        <v>2025</v>
      </c>
      <c r="K2255" s="582">
        <v>2027</v>
      </c>
    </row>
    <row r="2256" spans="1:11" ht="13.2" customHeight="1" x14ac:dyDescent="0.25">
      <c r="A2256" s="18" t="s">
        <v>502</v>
      </c>
      <c r="B2256" s="583"/>
      <c r="C2256" s="583"/>
      <c r="D2256" s="583"/>
      <c r="E2256" s="583"/>
      <c r="F2256" s="583"/>
      <c r="G2256" s="583"/>
      <c r="H2256" s="583"/>
      <c r="I2256" s="583"/>
      <c r="J2256" s="583"/>
      <c r="K2256" s="63"/>
    </row>
    <row r="2257" spans="1:11" x14ac:dyDescent="0.25">
      <c r="A2257" s="159" t="s">
        <v>503</v>
      </c>
      <c r="B2257" s="32"/>
      <c r="C2257" s="32"/>
      <c r="D2257" s="32"/>
      <c r="E2257" s="32"/>
      <c r="F2257" s="32"/>
      <c r="G2257" s="32"/>
      <c r="H2257" s="32"/>
      <c r="I2257" s="32"/>
      <c r="J2257" s="32"/>
      <c r="K2257" s="64"/>
    </row>
    <row r="2258" spans="1:11" x14ac:dyDescent="0.25">
      <c r="A2258" s="39" t="s">
        <v>553</v>
      </c>
      <c r="K2258" s="64"/>
    </row>
    <row r="2259" spans="1:11" x14ac:dyDescent="0.25">
      <c r="A2259" s="41" t="s">
        <v>554</v>
      </c>
      <c r="B2259" s="34"/>
      <c r="C2259" s="34"/>
      <c r="D2259" s="34"/>
      <c r="E2259" s="34"/>
      <c r="F2259" s="34"/>
      <c r="G2259" s="34"/>
      <c r="H2259" s="34"/>
      <c r="I2259" s="34"/>
      <c r="J2259" s="34"/>
      <c r="K2259" s="48"/>
    </row>
    <row r="2261" spans="1:11" x14ac:dyDescent="0.25">
      <c r="A2261" s="6" t="s">
        <v>14</v>
      </c>
      <c r="B2261" s="7" t="s">
        <v>74</v>
      </c>
      <c r="C2261" s="471" t="s">
        <v>26</v>
      </c>
    </row>
    <row r="2262" spans="1:11" x14ac:dyDescent="0.25">
      <c r="A2262" s="168" t="s">
        <v>27</v>
      </c>
      <c r="B2262" s="152">
        <v>2016</v>
      </c>
      <c r="C2262" s="152">
        <v>2017</v>
      </c>
      <c r="D2262" s="472">
        <v>2018</v>
      </c>
      <c r="E2262" s="152">
        <v>2019</v>
      </c>
      <c r="F2262" s="152">
        <v>2020</v>
      </c>
      <c r="G2262" s="152">
        <v>2021</v>
      </c>
      <c r="H2262" s="152">
        <v>2022</v>
      </c>
      <c r="I2262" s="152">
        <v>2023</v>
      </c>
      <c r="J2262" s="152">
        <v>2024</v>
      </c>
      <c r="K2262" s="152">
        <v>2025</v>
      </c>
    </row>
    <row r="2263" spans="1:11" x14ac:dyDescent="0.25">
      <c r="A2263" s="11" t="s">
        <v>28</v>
      </c>
      <c r="B2263" s="72">
        <v>100</v>
      </c>
      <c r="C2263" s="72">
        <v>100</v>
      </c>
      <c r="D2263" s="72">
        <v>100</v>
      </c>
      <c r="E2263" s="72">
        <v>100</v>
      </c>
      <c r="F2263" s="12">
        <v>84.1</v>
      </c>
      <c r="G2263" s="12">
        <v>84.1</v>
      </c>
      <c r="H2263" s="12">
        <v>84.1</v>
      </c>
      <c r="I2263" s="12">
        <v>84.1</v>
      </c>
      <c r="J2263" s="12">
        <v>84.1</v>
      </c>
      <c r="K2263" s="12">
        <v>84.1</v>
      </c>
    </row>
    <row r="2264" spans="1:11" x14ac:dyDescent="0.25">
      <c r="A2264" s="11" t="s">
        <v>29</v>
      </c>
      <c r="B2264" s="72">
        <f>B2263*1.1</f>
        <v>110.00000000000001</v>
      </c>
      <c r="C2264" s="72">
        <f>C2263*1.1-30</f>
        <v>80.000000000000014</v>
      </c>
      <c r="D2264" s="72">
        <f>D2263+C2267+0.1*B2263</f>
        <v>92.590000000000018</v>
      </c>
      <c r="E2264" s="72">
        <v>100</v>
      </c>
      <c r="F2264" s="72">
        <f>F2263+0.1*D2263</f>
        <v>94.1</v>
      </c>
      <c r="G2264" s="72">
        <f>G2263+0.1*E2263</f>
        <v>94.1</v>
      </c>
      <c r="H2264" s="72"/>
      <c r="I2264" s="72"/>
      <c r="J2264" s="72">
        <f>J2263+I2267</f>
        <v>82.440999999999988</v>
      </c>
      <c r="K2264" s="72">
        <f>K2263+1.25*J2267</f>
        <v>60.978749999999977</v>
      </c>
    </row>
    <row r="2265" spans="1:11" x14ac:dyDescent="0.25">
      <c r="A2265" s="11" t="s">
        <v>30</v>
      </c>
      <c r="B2265" s="250" t="s">
        <v>559</v>
      </c>
      <c r="C2265" s="250" t="s">
        <v>560</v>
      </c>
      <c r="D2265" s="584" t="s">
        <v>543</v>
      </c>
      <c r="E2265" s="250"/>
      <c r="F2265" s="250" t="s">
        <v>562</v>
      </c>
      <c r="G2265" s="250" t="s">
        <v>562</v>
      </c>
      <c r="H2265" s="250"/>
      <c r="I2265" s="250"/>
      <c r="J2265" s="250"/>
      <c r="K2265" s="250" t="s">
        <v>400</v>
      </c>
    </row>
    <row r="2266" spans="1:11" x14ac:dyDescent="0.25">
      <c r="A2266" s="11" t="s">
        <v>31</v>
      </c>
      <c r="B2266" s="72">
        <v>82.51</v>
      </c>
      <c r="C2266" s="72">
        <v>97.41</v>
      </c>
      <c r="D2266" s="72">
        <v>61.54</v>
      </c>
      <c r="E2266" s="72">
        <v>60.49</v>
      </c>
      <c r="F2266" s="12">
        <v>42.46</v>
      </c>
      <c r="G2266" s="12">
        <v>42.97</v>
      </c>
      <c r="H2266" s="12">
        <v>71.760000000000005</v>
      </c>
      <c r="I2266" s="12">
        <v>85.759</v>
      </c>
      <c r="J2266" s="12">
        <v>100.938</v>
      </c>
      <c r="K2266" s="12"/>
    </row>
    <row r="2267" spans="1:11" x14ac:dyDescent="0.25">
      <c r="A2267" s="11" t="s">
        <v>32</v>
      </c>
      <c r="B2267" s="72">
        <f t="shared" ref="B2267:G2267" si="92">B2264-B2266</f>
        <v>27.490000000000009</v>
      </c>
      <c r="C2267" s="72">
        <f t="shared" si="92"/>
        <v>-17.409999999999982</v>
      </c>
      <c r="D2267" s="72">
        <f t="shared" si="92"/>
        <v>31.050000000000018</v>
      </c>
      <c r="E2267" s="72">
        <f t="shared" si="92"/>
        <v>39.51</v>
      </c>
      <c r="F2267" s="72">
        <f t="shared" si="92"/>
        <v>51.639999999999993</v>
      </c>
      <c r="G2267" s="12">
        <f t="shared" si="92"/>
        <v>51.129999999999995</v>
      </c>
      <c r="H2267" s="12">
        <f>H2263-H2266</f>
        <v>12.339999999999989</v>
      </c>
      <c r="I2267" s="12">
        <f>I2263-I2266</f>
        <v>-1.659000000000006</v>
      </c>
      <c r="J2267" s="12">
        <f>J2264-J2266</f>
        <v>-18.497000000000014</v>
      </c>
      <c r="K2267" s="12"/>
    </row>
    <row r="2268" spans="1:11" x14ac:dyDescent="0.25">
      <c r="A2268" s="16" t="s">
        <v>33</v>
      </c>
      <c r="B2268" s="157">
        <v>2018</v>
      </c>
      <c r="C2268" s="157">
        <v>2018</v>
      </c>
      <c r="D2268" s="473">
        <v>2020</v>
      </c>
      <c r="E2268" s="157">
        <v>2021</v>
      </c>
      <c r="F2268" s="157"/>
      <c r="G2268" s="157"/>
      <c r="H2268" s="157"/>
      <c r="I2268" s="157">
        <v>2024</v>
      </c>
      <c r="J2268" s="157">
        <v>2025</v>
      </c>
      <c r="K2268" s="157">
        <v>2026</v>
      </c>
    </row>
    <row r="2269" spans="1:11" x14ac:dyDescent="0.25">
      <c r="A2269" s="18" t="s">
        <v>558</v>
      </c>
      <c r="B2269" s="583"/>
      <c r="C2269" s="583"/>
      <c r="D2269" s="583"/>
      <c r="E2269" s="583"/>
      <c r="F2269" s="583"/>
      <c r="G2269" s="583"/>
      <c r="H2269" s="583"/>
      <c r="I2269" s="583"/>
      <c r="J2269" s="583"/>
      <c r="K2269" s="63"/>
    </row>
    <row r="2270" spans="1:11" x14ac:dyDescent="0.25">
      <c r="A2270" s="39" t="s">
        <v>563</v>
      </c>
      <c r="B2270" s="4"/>
      <c r="C2270" s="4"/>
      <c r="D2270" s="4"/>
      <c r="E2270" s="4"/>
      <c r="F2270" s="4"/>
      <c r="G2270" s="4"/>
      <c r="H2270" s="4"/>
      <c r="I2270" s="4"/>
      <c r="J2270" s="4"/>
      <c r="K2270" s="64"/>
    </row>
    <row r="2271" spans="1:11" x14ac:dyDescent="0.25">
      <c r="A2271" s="39" t="s">
        <v>561</v>
      </c>
      <c r="B2271" s="4"/>
      <c r="C2271" s="4"/>
      <c r="D2271" s="4"/>
      <c r="E2271" s="4"/>
      <c r="F2271" s="4"/>
      <c r="G2271" s="4"/>
      <c r="H2271" s="4"/>
      <c r="I2271" s="4"/>
      <c r="J2271" s="4"/>
      <c r="K2271" s="64"/>
    </row>
    <row r="2272" spans="1:11" x14ac:dyDescent="0.25">
      <c r="A2272" s="41" t="s">
        <v>1221</v>
      </c>
      <c r="B2272" s="34"/>
      <c r="C2272" s="34"/>
      <c r="D2272" s="34"/>
      <c r="E2272" s="34"/>
      <c r="F2272" s="34"/>
      <c r="G2272" s="34"/>
      <c r="H2272" s="34"/>
      <c r="I2272" s="34"/>
      <c r="J2272" s="34"/>
      <c r="K2272" s="48"/>
    </row>
    <row r="2274" spans="1:11" x14ac:dyDescent="0.25">
      <c r="A2274" s="6" t="s">
        <v>14</v>
      </c>
      <c r="B2274" s="7" t="s">
        <v>79</v>
      </c>
      <c r="C2274" s="471" t="s">
        <v>26</v>
      </c>
    </row>
    <row r="2275" spans="1:11" x14ac:dyDescent="0.25">
      <c r="A2275" s="168" t="s">
        <v>27</v>
      </c>
      <c r="B2275" s="152">
        <v>2016</v>
      </c>
      <c r="C2275" s="152">
        <v>2017</v>
      </c>
      <c r="D2275" s="472">
        <v>2018</v>
      </c>
      <c r="E2275" s="152">
        <v>2019</v>
      </c>
      <c r="F2275" s="152">
        <v>2020</v>
      </c>
      <c r="G2275" s="152">
        <v>2021</v>
      </c>
      <c r="H2275" s="152">
        <v>2022</v>
      </c>
      <c r="I2275" s="152">
        <v>2023</v>
      </c>
      <c r="J2275" s="152">
        <v>2024</v>
      </c>
      <c r="K2275" s="152">
        <v>2025</v>
      </c>
    </row>
    <row r="2276" spans="1:11" x14ac:dyDescent="0.25">
      <c r="A2276" s="11" t="s">
        <v>28</v>
      </c>
      <c r="B2276" s="72">
        <v>50</v>
      </c>
      <c r="C2276" s="72">
        <v>50</v>
      </c>
      <c r="D2276" s="72">
        <v>50</v>
      </c>
      <c r="E2276" s="72">
        <v>50</v>
      </c>
      <c r="F2276" s="72">
        <v>50</v>
      </c>
      <c r="G2276" s="72">
        <v>50</v>
      </c>
      <c r="H2276" s="72">
        <v>50</v>
      </c>
      <c r="I2276" s="72">
        <v>50</v>
      </c>
      <c r="J2276" s="72">
        <v>50</v>
      </c>
      <c r="K2276" s="12">
        <v>50</v>
      </c>
    </row>
    <row r="2277" spans="1:11" x14ac:dyDescent="0.25">
      <c r="A2277" s="11" t="s">
        <v>29</v>
      </c>
      <c r="B2277" s="72"/>
      <c r="C2277" s="72">
        <f>C2276+B2280</f>
        <v>-57.97999999999999</v>
      </c>
      <c r="D2277" s="72">
        <f>D2276+C2280</f>
        <v>-158.07</v>
      </c>
      <c r="E2277" s="72">
        <f>D2280+E2276</f>
        <v>-175.964</v>
      </c>
      <c r="F2277" s="72">
        <f>E2280+F2276</f>
        <v>-177.393</v>
      </c>
      <c r="G2277" s="72">
        <f>F2280+G2276</f>
        <v>-162.78800000000001</v>
      </c>
      <c r="H2277" s="72">
        <f>G2280*1.25+H2276</f>
        <v>-193.19875000000002</v>
      </c>
      <c r="I2277" s="72">
        <f>H2280*1.25+I2276</f>
        <v>-245.52468750000003</v>
      </c>
      <c r="J2277" s="72">
        <f>I2280*1.25+J2276</f>
        <v>-318.318359375</v>
      </c>
      <c r="K2277" s="72">
        <f>K2276+1.25*J2280</f>
        <v>-400.58919921875003</v>
      </c>
    </row>
    <row r="2278" spans="1:11" x14ac:dyDescent="0.25">
      <c r="A2278" s="11" t="s">
        <v>30</v>
      </c>
      <c r="B2278" s="250"/>
      <c r="C2278" s="484" t="s">
        <v>543</v>
      </c>
      <c r="D2278" s="484" t="s">
        <v>544</v>
      </c>
      <c r="E2278" s="484" t="s">
        <v>545</v>
      </c>
      <c r="F2278" s="484" t="s">
        <v>548</v>
      </c>
      <c r="G2278" s="484" t="s">
        <v>550</v>
      </c>
      <c r="H2278" s="484" t="s">
        <v>692</v>
      </c>
      <c r="I2278" s="484" t="s">
        <v>849</v>
      </c>
      <c r="J2278" s="484" t="s">
        <v>1014</v>
      </c>
      <c r="K2278" s="484" t="s">
        <v>1118</v>
      </c>
    </row>
    <row r="2279" spans="1:11" x14ac:dyDescent="0.25">
      <c r="A2279" s="11" t="s">
        <v>31</v>
      </c>
      <c r="B2279" s="72">
        <v>157.97999999999999</v>
      </c>
      <c r="C2279" s="72">
        <v>150.09</v>
      </c>
      <c r="D2279" s="72">
        <v>67.894000000000005</v>
      </c>
      <c r="E2279" s="72">
        <v>51.429000000000002</v>
      </c>
      <c r="F2279" s="12">
        <v>35.395000000000003</v>
      </c>
      <c r="G2279" s="12">
        <v>31.771000000000001</v>
      </c>
      <c r="H2279" s="12">
        <v>43.220999999999997</v>
      </c>
      <c r="I2279" s="12">
        <v>49.13</v>
      </c>
      <c r="J2279" s="12">
        <v>42.152999999999999</v>
      </c>
      <c r="K2279" s="12"/>
    </row>
    <row r="2280" spans="1:11" x14ac:dyDescent="0.25">
      <c r="A2280" s="11" t="s">
        <v>32</v>
      </c>
      <c r="B2280" s="72">
        <f>B2276-B2279</f>
        <v>-107.97999999999999</v>
      </c>
      <c r="C2280" s="72">
        <f t="shared" ref="C2280:J2280" si="93">C2277-C2279</f>
        <v>-208.07</v>
      </c>
      <c r="D2280" s="72">
        <f t="shared" si="93"/>
        <v>-225.964</v>
      </c>
      <c r="E2280" s="72">
        <f t="shared" si="93"/>
        <v>-227.393</v>
      </c>
      <c r="F2280" s="72">
        <f t="shared" si="93"/>
        <v>-212.78800000000001</v>
      </c>
      <c r="G2280" s="72">
        <f t="shared" si="93"/>
        <v>-194.55900000000003</v>
      </c>
      <c r="H2280" s="72">
        <f t="shared" si="93"/>
        <v>-236.41975000000002</v>
      </c>
      <c r="I2280" s="72">
        <f t="shared" si="93"/>
        <v>-294.65468750000002</v>
      </c>
      <c r="J2280" s="72">
        <f t="shared" si="93"/>
        <v>-360.47135937500002</v>
      </c>
      <c r="K2280" s="12"/>
    </row>
    <row r="2281" spans="1:11" x14ac:dyDescent="0.25">
      <c r="A2281" s="16" t="s">
        <v>33</v>
      </c>
      <c r="B2281" s="157">
        <v>2017</v>
      </c>
      <c r="C2281" s="157">
        <v>2018</v>
      </c>
      <c r="D2281" s="157">
        <v>2019</v>
      </c>
      <c r="E2281" s="157">
        <v>2020</v>
      </c>
      <c r="F2281" s="157">
        <v>2021</v>
      </c>
      <c r="G2281" s="157">
        <v>2022</v>
      </c>
      <c r="H2281" s="157">
        <v>2023</v>
      </c>
      <c r="I2281" s="157">
        <v>2024</v>
      </c>
      <c r="J2281" s="157">
        <v>2025</v>
      </c>
      <c r="K2281" s="157">
        <v>2026</v>
      </c>
    </row>
    <row r="2282" spans="1:11" x14ac:dyDescent="0.25">
      <c r="A2282" s="18" t="s">
        <v>694</v>
      </c>
      <c r="B2282" s="583"/>
      <c r="C2282" s="583"/>
      <c r="D2282" s="583"/>
      <c r="E2282" s="583"/>
      <c r="F2282" s="583"/>
      <c r="G2282" s="583"/>
      <c r="H2282" s="583"/>
      <c r="I2282" s="583"/>
      <c r="J2282" s="583"/>
      <c r="K2282" s="63"/>
    </row>
    <row r="2283" spans="1:11" x14ac:dyDescent="0.25">
      <c r="A2283" s="39" t="s">
        <v>546</v>
      </c>
      <c r="B2283" s="4"/>
      <c r="C2283" s="4"/>
      <c r="D2283" s="4"/>
      <c r="E2283" s="4"/>
      <c r="F2283" s="4"/>
      <c r="G2283" s="4"/>
      <c r="H2283" s="4"/>
      <c r="I2283" s="4"/>
      <c r="J2283" s="4"/>
      <c r="K2283" s="64"/>
    </row>
    <row r="2284" spans="1:11" x14ac:dyDescent="0.25">
      <c r="A2284" s="39" t="s">
        <v>547</v>
      </c>
      <c r="K2284" s="64"/>
    </row>
    <row r="2285" spans="1:11" x14ac:dyDescent="0.25">
      <c r="A2285" s="39" t="s">
        <v>549</v>
      </c>
      <c r="K2285" s="64"/>
    </row>
    <row r="2286" spans="1:11" x14ac:dyDescent="0.25">
      <c r="A2286" s="39" t="s">
        <v>551</v>
      </c>
      <c r="K2286" s="64"/>
    </row>
    <row r="2287" spans="1:11" x14ac:dyDescent="0.25">
      <c r="A2287" s="39" t="s">
        <v>903</v>
      </c>
      <c r="K2287" s="64"/>
    </row>
    <row r="2288" spans="1:11" x14ac:dyDescent="0.25">
      <c r="A2288" s="39" t="s">
        <v>904</v>
      </c>
      <c r="K2288" s="64"/>
    </row>
    <row r="2289" spans="1:11" x14ac:dyDescent="0.25">
      <c r="A2289" s="39" t="s">
        <v>1016</v>
      </c>
      <c r="K2289" s="64"/>
    </row>
    <row r="2290" spans="1:11" s="34" customFormat="1" x14ac:dyDescent="0.25">
      <c r="A2290" s="41" t="s">
        <v>1128</v>
      </c>
      <c r="K2290" s="48"/>
    </row>
  </sheetData>
  <mergeCells count="55">
    <mergeCell ref="A283:L283"/>
    <mergeCell ref="B503:M503"/>
    <mergeCell ref="A1703:H1703"/>
    <mergeCell ref="A357:O357"/>
    <mergeCell ref="A777:E777"/>
    <mergeCell ref="A936:F936"/>
    <mergeCell ref="A843:J843"/>
    <mergeCell ref="A727:H727"/>
    <mergeCell ref="A396:M396"/>
    <mergeCell ref="A485:G485"/>
    <mergeCell ref="A611:F611"/>
    <mergeCell ref="A542:F542"/>
    <mergeCell ref="A596:F596"/>
    <mergeCell ref="A1640:E1640"/>
    <mergeCell ref="A1651:E1651"/>
    <mergeCell ref="A1485:G1485"/>
    <mergeCell ref="A26:E26"/>
    <mergeCell ref="A282:F282"/>
    <mergeCell ref="A212:G212"/>
    <mergeCell ref="A39:D39"/>
    <mergeCell ref="E121:K121"/>
    <mergeCell ref="C142:K142"/>
    <mergeCell ref="C159:K159"/>
    <mergeCell ref="A125:F125"/>
    <mergeCell ref="A126:F126"/>
    <mergeCell ref="A230:G230"/>
    <mergeCell ref="A243:G243"/>
    <mergeCell ref="A232:G232"/>
    <mergeCell ref="A40:D40"/>
    <mergeCell ref="A272:L272"/>
    <mergeCell ref="A2008:G2008"/>
    <mergeCell ref="A939:G939"/>
    <mergeCell ref="A1757:G1757"/>
    <mergeCell ref="A1486:G1486"/>
    <mergeCell ref="A1487:G1487"/>
    <mergeCell ref="A1728:D1728"/>
    <mergeCell ref="A1702:H1702"/>
    <mergeCell ref="A1700:H1700"/>
    <mergeCell ref="A1701:H1701"/>
    <mergeCell ref="A940:G940"/>
    <mergeCell ref="A1093:N1093"/>
    <mergeCell ref="C1436:J1436"/>
    <mergeCell ref="A1705:H1705"/>
    <mergeCell ref="A1488:G1488"/>
    <mergeCell ref="A945:G945"/>
    <mergeCell ref="A941:G941"/>
    <mergeCell ref="A1704:H1704"/>
    <mergeCell ref="A491:G491"/>
    <mergeCell ref="A504:F504"/>
    <mergeCell ref="A521:F521"/>
    <mergeCell ref="A938:G938"/>
    <mergeCell ref="A933:F933"/>
    <mergeCell ref="A828:L828"/>
    <mergeCell ref="A935:F935"/>
    <mergeCell ref="A937:G937"/>
  </mergeCells>
  <phoneticPr fontId="10" type="noConversion"/>
  <pageMargins left="0.7" right="0.7" top="0.75" bottom="0.75" header="0.3" footer="0.3"/>
  <pageSetup paperSize="9" scale="10" orientation="landscape" r:id="rId1"/>
  <ignoredErrors>
    <ignoredError sqref="F1616 K1104 E2232:F2232 H175 I498 J1897" formula="1"/>
    <ignoredError sqref="H1982 I800:K800 I835:J835 H867 H816 H1963 C849 I816:J816 E849" unlockedFormula="1"/>
    <ignoredError sqref="C1722 H2278 E73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Valerie Samedy</cp:lastModifiedBy>
  <cp:lastPrinted>2021-10-08T09:47:24Z</cp:lastPrinted>
  <dcterms:created xsi:type="dcterms:W3CDTF">2018-06-01T11:58:01Z</dcterms:created>
  <dcterms:modified xsi:type="dcterms:W3CDTF">2025-11-23T09:25:21Z</dcterms:modified>
</cp:coreProperties>
</file>