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tunadata\Compliance\2025_SharedDocs\Commission\COC\COC-304\"/>
    </mc:Choice>
  </mc:AlternateContent>
  <xr:revisionPtr revIDLastSave="0" documentId="13_ncr:1_{11843D52-D6C7-4081-B006-938BED86E6C0}" xr6:coauthVersionLast="47" xr6:coauthVersionMax="47" xr10:uidLastSave="{00000000-0000-0000-0000-000000000000}"/>
  <bookViews>
    <workbookView xWindow="19090" yWindow="-110" windowWidth="19420" windowHeight="10420" xr2:uid="{00000000-000D-0000-FFFF-FFFF00000000}"/>
  </bookViews>
  <sheets>
    <sheet name="Adjustement data" sheetId="1" r:id="rId1"/>
  </sheets>
  <definedNames>
    <definedName name="_xlnm.Print_Area" localSheetId="0">'Adjustement data'!$A$1:$R$1991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836" i="1" l="1"/>
  <c r="H836" i="1"/>
  <c r="Q1558" i="1" l="1"/>
  <c r="Q1557" i="1" l="1"/>
  <c r="L937" i="1"/>
  <c r="H2114" i="1" l="1"/>
  <c r="G2114" i="1"/>
  <c r="N787" i="1" l="1"/>
  <c r="N207" i="1"/>
  <c r="H1633" i="1" l="1"/>
  <c r="I1633" i="1"/>
  <c r="M1634" i="1"/>
  <c r="J196" i="1" l="1"/>
  <c r="N335" i="1"/>
  <c r="N339" i="1"/>
  <c r="I1584" i="1" l="1"/>
  <c r="M1586" i="1"/>
  <c r="M1950" i="1"/>
  <c r="L697" i="1" l="1"/>
  <c r="K697" i="1"/>
  <c r="M697" i="1"/>
  <c r="L893" i="1"/>
  <c r="K893" i="1"/>
  <c r="K896" i="1" s="1"/>
  <c r="L915" i="1" l="1"/>
  <c r="L918" i="1" s="1"/>
  <c r="M686" i="1"/>
  <c r="L686" i="1"/>
  <c r="K686" i="1"/>
  <c r="J686" i="1"/>
  <c r="I12" i="1"/>
  <c r="J9" i="1"/>
  <c r="J12" i="1" s="1"/>
  <c r="S1122" i="1" l="1"/>
  <c r="E747" i="1"/>
  <c r="F747" i="1"/>
  <c r="D747" i="1"/>
  <c r="C289" i="1" l="1"/>
  <c r="K239" i="1"/>
  <c r="M239" i="1"/>
  <c r="M207" i="1"/>
  <c r="E724" i="1"/>
  <c r="F721" i="1" s="1"/>
  <c r="I1684" i="1" l="1"/>
  <c r="F2006" i="1" l="1"/>
  <c r="K1972" i="1" l="1"/>
  <c r="L1969" i="1" s="1"/>
  <c r="L1972" i="1" s="1"/>
  <c r="L1937" i="1" l="1"/>
  <c r="E2021" i="1"/>
  <c r="B1293" i="1"/>
  <c r="S1091" i="1" l="1"/>
  <c r="E1701" i="1" l="1"/>
  <c r="D1701" i="1"/>
  <c r="C1701" i="1"/>
  <c r="B1701" i="1"/>
  <c r="H1698" i="1"/>
  <c r="M1326" i="1" l="1"/>
  <c r="L1326" i="1"/>
  <c r="L1329" i="1" s="1"/>
  <c r="M854" i="1"/>
  <c r="L854" i="1"/>
  <c r="Q1196" i="1"/>
  <c r="O1196" i="1"/>
  <c r="Q1199" i="1" l="1"/>
  <c r="S1196" i="1" s="1"/>
  <c r="F733" i="1" l="1"/>
  <c r="F736" i="1" s="1"/>
  <c r="G733" i="1" s="1"/>
  <c r="K2238" i="1" l="1"/>
  <c r="K2219" i="1"/>
  <c r="K2174" i="1" l="1"/>
  <c r="K2155" i="1"/>
  <c r="G2100" i="1"/>
  <c r="D2021" i="1" l="1"/>
  <c r="K1922" i="1" l="1"/>
  <c r="K1903" i="1" l="1"/>
  <c r="K1906" i="1" s="1"/>
  <c r="B1874" i="1" l="1"/>
  <c r="C1871" i="1" s="1"/>
  <c r="I1822" i="1"/>
  <c r="L1737" i="1" l="1"/>
  <c r="B1672" i="1" l="1"/>
  <c r="M1606" i="1"/>
  <c r="L1586" i="1"/>
  <c r="N1546" i="1"/>
  <c r="M1549" i="1"/>
  <c r="K1483" i="1" l="1"/>
  <c r="K1466" i="1"/>
  <c r="L1400" i="1"/>
  <c r="N1349" i="1"/>
  <c r="M1349" i="1"/>
  <c r="M1352" i="1" s="1"/>
  <c r="M1337" i="1"/>
  <c r="L1340" i="1"/>
  <c r="N1326" i="1"/>
  <c r="M1316" i="1"/>
  <c r="C1304" i="1" l="1"/>
  <c r="Q1251" i="1"/>
  <c r="R1251" i="1"/>
  <c r="K962" i="1" l="1"/>
  <c r="L871" i="1" l="1"/>
  <c r="L857" i="1"/>
  <c r="L790" i="1"/>
  <c r="G762" i="1"/>
  <c r="H762" i="1"/>
  <c r="I762" i="1"/>
  <c r="K595" i="1" l="1"/>
  <c r="K580" i="1"/>
  <c r="K545" i="1"/>
  <c r="J545" i="1"/>
  <c r="J505" i="1"/>
  <c r="P451" i="1" l="1"/>
  <c r="P435" i="1"/>
  <c r="Q396" i="1"/>
  <c r="K268" i="1" l="1"/>
  <c r="L268" i="1"/>
  <c r="J268" i="1"/>
  <c r="G250" i="1"/>
  <c r="K250" i="1"/>
  <c r="J250" i="1"/>
  <c r="N225" i="1"/>
  <c r="M225" i="1"/>
  <c r="M196" i="1"/>
  <c r="J120" i="1" l="1"/>
  <c r="J123" i="1" s="1"/>
  <c r="I120" i="1" l="1"/>
  <c r="I123" i="1" s="1"/>
  <c r="H68" i="1" l="1"/>
  <c r="H47" i="1"/>
  <c r="H50" i="1" s="1"/>
  <c r="F2007" i="1" l="1"/>
  <c r="J1990" i="1"/>
  <c r="L1316" i="1" l="1"/>
  <c r="L1319" i="1" s="1"/>
  <c r="C36" i="1" l="1"/>
  <c r="F23" i="1" l="1"/>
  <c r="K1536" i="1"/>
  <c r="K649" i="1" l="1"/>
  <c r="H577" i="1" l="1"/>
  <c r="J580" i="1"/>
  <c r="O435" i="1"/>
  <c r="E670" i="1"/>
  <c r="Q357" i="1"/>
  <c r="R357" i="1"/>
  <c r="L141" i="1"/>
  <c r="K141" i="1"/>
  <c r="L2131" i="1" l="1"/>
  <c r="K2131" i="1"/>
  <c r="K2134" i="1" s="1"/>
  <c r="I47" i="1" l="1"/>
  <c r="L465" i="1" l="1"/>
  <c r="L468" i="1" s="1"/>
  <c r="N239" i="1" l="1"/>
  <c r="L239" i="1"/>
  <c r="L242" i="1" s="1"/>
  <c r="L225" i="1"/>
  <c r="L228" i="1" s="1"/>
  <c r="K225" i="1"/>
  <c r="K228" i="1" s="1"/>
  <c r="M787" i="1" l="1"/>
  <c r="D670" i="1"/>
  <c r="F2114" i="1"/>
  <c r="F2117" i="1" s="1"/>
  <c r="B1764" i="1" l="1"/>
  <c r="C1761" i="1" s="1"/>
  <c r="C1764" i="1" s="1"/>
  <c r="D1761" i="1" s="1"/>
  <c r="D1764" i="1" s="1"/>
  <c r="E1761" i="1" s="1"/>
  <c r="E1764" i="1" s="1"/>
  <c r="B1304" i="1"/>
  <c r="G1271" i="1"/>
  <c r="R1122" i="1"/>
  <c r="F2100" i="1"/>
  <c r="F2103" i="1" s="1"/>
  <c r="F2087" i="1"/>
  <c r="F2090" i="1" s="1"/>
  <c r="F2074" i="1"/>
  <c r="F2077" i="1" s="1"/>
  <c r="G2074" i="1"/>
  <c r="E2074" i="1"/>
  <c r="E2077" i="1" s="1"/>
  <c r="G2059" i="1"/>
  <c r="G2046" i="1"/>
  <c r="G2030" i="1"/>
  <c r="F1761" i="1" l="1"/>
  <c r="F1764" i="1" s="1"/>
  <c r="G1761" i="1" s="1"/>
  <c r="G1764" i="1" s="1"/>
  <c r="H1761" i="1" s="1"/>
  <c r="H1764" i="1" s="1"/>
  <c r="C2021" i="1"/>
  <c r="I1990" i="1"/>
  <c r="I1761" i="1" l="1"/>
  <c r="I1764" i="1" s="1"/>
  <c r="J1761" i="1" s="1"/>
  <c r="J1764" i="1" s="1"/>
  <c r="K1761" i="1" s="1"/>
  <c r="L1935" i="1"/>
  <c r="K1937" i="1"/>
  <c r="L1950" i="1"/>
  <c r="L1953" i="1" s="1"/>
  <c r="E1749" i="1" l="1"/>
  <c r="K1737" i="1" l="1"/>
  <c r="K1740" i="1" s="1"/>
  <c r="I1903" i="1" l="1"/>
  <c r="H1903" i="1"/>
  <c r="J1903" i="1"/>
  <c r="J1906" i="1" s="1"/>
  <c r="K1884" i="1"/>
  <c r="J1884" i="1"/>
  <c r="J1887" i="1" s="1"/>
  <c r="J207" i="1"/>
  <c r="I1841" i="1" l="1"/>
  <c r="I1840" i="1" s="1"/>
  <c r="I1843" i="1" s="1"/>
  <c r="I1821" i="1"/>
  <c r="I1824" i="1" s="1"/>
  <c r="C1669" i="1" l="1"/>
  <c r="C1672" i="1" s="1"/>
  <c r="K1636" i="1" l="1"/>
  <c r="D1625" i="1"/>
  <c r="L1622" i="1"/>
  <c r="J1622" i="1"/>
  <c r="J1625" i="1" s="1"/>
  <c r="I1622" i="1"/>
  <c r="I1625" i="1" s="1"/>
  <c r="K1622" i="1" s="1"/>
  <c r="K1625" i="1" s="1"/>
  <c r="H1622" i="1"/>
  <c r="H1625" i="1" s="1"/>
  <c r="G1622" i="1"/>
  <c r="G1625" i="1" s="1"/>
  <c r="F1622" i="1"/>
  <c r="F1625" i="1" s="1"/>
  <c r="E1622" i="1"/>
  <c r="E1625" i="1" s="1"/>
  <c r="C1622" i="1"/>
  <c r="C1625" i="1" s="1"/>
  <c r="L1606" i="1"/>
  <c r="L1549" i="1"/>
  <c r="J1536" i="1"/>
  <c r="J1539" i="1" s="1"/>
  <c r="K1400" i="1" l="1"/>
  <c r="K1352" i="1"/>
  <c r="K1340" i="1"/>
  <c r="L1378" i="1" l="1"/>
  <c r="L1381" i="1" s="1"/>
  <c r="F1271" i="1" l="1"/>
  <c r="F1274" i="1" s="1"/>
  <c r="E1274" i="1"/>
  <c r="Q1229" i="1"/>
  <c r="Q1122" i="1"/>
  <c r="Q1125" i="1" s="1"/>
  <c r="L196" i="1" l="1"/>
  <c r="L199" i="1" s="1"/>
  <c r="L207" i="1" l="1"/>
  <c r="L210" i="1" s="1"/>
  <c r="K207" i="1"/>
  <c r="K210" i="1" s="1"/>
  <c r="C1425" i="1" l="1"/>
  <c r="J2155" i="1" l="1"/>
  <c r="K2193" i="1"/>
  <c r="J2174" i="1"/>
  <c r="I2254" i="1"/>
  <c r="J2251" i="1" s="1"/>
  <c r="J2254" i="1" s="1"/>
  <c r="K2251" i="1" s="1"/>
  <c r="J2238" i="1" l="1"/>
  <c r="J2241" i="1" s="1"/>
  <c r="D1422" i="1"/>
  <c r="D1425" i="1" s="1"/>
  <c r="E1422" i="1" s="1"/>
  <c r="E1425" i="1" s="1"/>
  <c r="F1422" i="1" s="1"/>
  <c r="F1425" i="1" s="1"/>
  <c r="G1422" i="1" s="1"/>
  <c r="G1425" i="1" l="1"/>
  <c r="H1422" i="1" s="1"/>
  <c r="H1425" i="1" l="1"/>
  <c r="I1422" i="1" s="1"/>
  <c r="I1425" i="1" s="1"/>
  <c r="D724" i="1"/>
  <c r="E721" i="1" s="1"/>
  <c r="C724" i="1"/>
  <c r="K871" i="1"/>
  <c r="F836" i="1"/>
  <c r="F839" i="1" s="1"/>
  <c r="L822" i="1"/>
  <c r="L825" i="1" s="1"/>
  <c r="L803" i="1"/>
  <c r="L806" i="1" s="1"/>
  <c r="J1422" i="1" l="1"/>
  <c r="J1425" i="1" s="1"/>
  <c r="K1422" i="1" s="1"/>
  <c r="J609" i="1"/>
  <c r="J612" i="1" s="1"/>
  <c r="P414" i="1"/>
  <c r="P417" i="1" s="1"/>
  <c r="O451" i="1"/>
  <c r="P396" i="1" l="1"/>
  <c r="P399" i="1" s="1"/>
  <c r="P377" i="1"/>
  <c r="P380" i="1" s="1"/>
  <c r="K485" i="1" l="1"/>
  <c r="K488" i="1" s="1"/>
  <c r="K175" i="1" l="1"/>
  <c r="J175" i="1"/>
  <c r="J178" i="1" s="1"/>
  <c r="I175" i="1"/>
  <c r="I178" i="1" s="1"/>
  <c r="K158" i="1"/>
  <c r="G68" i="1" l="1"/>
  <c r="D33" i="1" l="1"/>
  <c r="D36" i="1" s="1"/>
  <c r="E47" i="1"/>
  <c r="E50" i="1" s="1"/>
  <c r="F47" i="1"/>
  <c r="F50" i="1" s="1"/>
  <c r="G47" i="1"/>
  <c r="G50" i="1" s="1"/>
  <c r="C50" i="1"/>
  <c r="D50" i="1"/>
  <c r="E23" i="1" l="1"/>
  <c r="J962" i="1" l="1"/>
  <c r="K297" i="1" l="1"/>
  <c r="K300" i="1" s="1"/>
  <c r="K915" i="1" l="1"/>
  <c r="K918" i="1" s="1"/>
  <c r="J595" i="1" l="1"/>
  <c r="K559" i="1"/>
  <c r="K562" i="1" s="1"/>
  <c r="K522" i="1"/>
  <c r="K525" i="1" s="1"/>
  <c r="K502" i="1"/>
  <c r="K505" i="1" s="1"/>
  <c r="K465" i="1"/>
  <c r="K468" i="1" s="1"/>
  <c r="E316" i="1" l="1"/>
  <c r="C316" i="1"/>
  <c r="C319" i="1" l="1"/>
  <c r="D316" i="1" s="1"/>
  <c r="H1521" i="1" l="1"/>
  <c r="I1518" i="1" s="1"/>
  <c r="I1521" i="1" s="1"/>
  <c r="J1518" i="1" s="1"/>
  <c r="H1502" i="1"/>
  <c r="J1466" i="1" l="1"/>
  <c r="E2006" i="1" l="1"/>
  <c r="E2007" i="1" l="1"/>
  <c r="H1987" i="1" l="1"/>
  <c r="E836" i="1"/>
  <c r="E839" i="1" s="1"/>
  <c r="B984" i="1" l="1"/>
  <c r="C981" i="1" s="1"/>
  <c r="C984" i="1" s="1"/>
  <c r="D981" i="1" s="1"/>
  <c r="D984" i="1" s="1"/>
  <c r="E981" i="1" s="1"/>
  <c r="E984" i="1" s="1"/>
  <c r="F981" i="1" s="1"/>
  <c r="F984" i="1" s="1"/>
  <c r="G981" i="1" s="1"/>
  <c r="G984" i="1" s="1"/>
  <c r="B1020" i="1"/>
  <c r="C1017" i="1" s="1"/>
  <c r="C1020" i="1" s="1"/>
  <c r="D1017" i="1" s="1"/>
  <c r="D1020" i="1" s="1"/>
  <c r="E1017" i="1" s="1"/>
  <c r="E1020" i="1" s="1"/>
  <c r="F1017" i="1" s="1"/>
  <c r="F1020" i="1" s="1"/>
  <c r="G1017" i="1" s="1"/>
  <c r="G1020" i="1" s="1"/>
  <c r="H1017" i="1" s="1"/>
  <c r="H1020" i="1" s="1"/>
  <c r="I1017" i="1" s="1"/>
  <c r="I1020" i="1" s="1"/>
  <c r="J1017" i="1" s="1"/>
  <c r="J1020" i="1" s="1"/>
  <c r="K1017" i="1" s="1"/>
  <c r="B1002" i="1"/>
  <c r="C999" i="1" s="1"/>
  <c r="C1002" i="1" s="1"/>
  <c r="D999" i="1" s="1"/>
  <c r="D1002" i="1" s="1"/>
  <c r="G253" i="1"/>
  <c r="I250" i="1" s="1"/>
  <c r="F2046" i="1"/>
  <c r="F2049" i="1" s="1"/>
  <c r="D1749" i="1"/>
  <c r="D1752" i="1" s="1"/>
  <c r="C670" i="1"/>
  <c r="C673" i="1" s="1"/>
  <c r="P357" i="1"/>
  <c r="P360" i="1" s="1"/>
  <c r="J141" i="1"/>
  <c r="J144" i="1" s="1"/>
  <c r="H981" i="1" l="1"/>
  <c r="H984" i="1" s="1"/>
  <c r="I981" i="1" s="1"/>
  <c r="I984" i="1" s="1"/>
  <c r="J981" i="1" s="1"/>
  <c r="J984" i="1" s="1"/>
  <c r="K981" i="1" s="1"/>
  <c r="E999" i="1"/>
  <c r="E1002" i="1" s="1"/>
  <c r="F999" i="1" l="1"/>
  <c r="F1002" i="1" s="1"/>
  <c r="C100" i="1"/>
  <c r="B100" i="1"/>
  <c r="F97" i="1"/>
  <c r="F100" i="1" s="1"/>
  <c r="H97" i="1" s="1"/>
  <c r="H100" i="1" s="1"/>
  <c r="J97" i="1" s="1"/>
  <c r="J100" i="1" s="1"/>
  <c r="L97" i="1" s="1"/>
  <c r="L100" i="1" s="1"/>
  <c r="N97" i="1" s="1"/>
  <c r="E97" i="1"/>
  <c r="E100" i="1" s="1"/>
  <c r="G97" i="1" s="1"/>
  <c r="G100" i="1" s="1"/>
  <c r="I97" i="1" s="1"/>
  <c r="I100" i="1" s="1"/>
  <c r="K97" i="1" s="1"/>
  <c r="K100" i="1" s="1"/>
  <c r="M97" i="1" s="1"/>
  <c r="M100" i="1" s="1"/>
  <c r="D97" i="1"/>
  <c r="D100" i="1" s="1"/>
  <c r="C79" i="1"/>
  <c r="E76" i="1" s="1"/>
  <c r="E79" i="1" s="1"/>
  <c r="G76" i="1" s="1"/>
  <c r="G79" i="1" s="1"/>
  <c r="I76" i="1" s="1"/>
  <c r="I79" i="1" s="1"/>
  <c r="K76" i="1" s="1"/>
  <c r="K79" i="1" s="1"/>
  <c r="M76" i="1" s="1"/>
  <c r="M79" i="1" s="1"/>
  <c r="O76" i="1" s="1"/>
  <c r="B79" i="1"/>
  <c r="D76" i="1" s="1"/>
  <c r="D79" i="1" s="1"/>
  <c r="F76" i="1" s="1"/>
  <c r="F79" i="1" s="1"/>
  <c r="H76" i="1" s="1"/>
  <c r="H79" i="1" s="1"/>
  <c r="J76" i="1" s="1"/>
  <c r="J79" i="1" s="1"/>
  <c r="L76" i="1" s="1"/>
  <c r="L79" i="1" s="1"/>
  <c r="N76" i="1" s="1"/>
  <c r="G999" i="1" l="1"/>
  <c r="G1002" i="1" s="1"/>
  <c r="H999" i="1" s="1"/>
  <c r="H1002" i="1" s="1"/>
  <c r="I999" i="1" s="1"/>
  <c r="I1002" i="1" s="1"/>
  <c r="J999" i="1" s="1"/>
  <c r="J1002" i="1" s="1"/>
  <c r="K999" i="1" s="1"/>
  <c r="D2114" i="1" l="1"/>
  <c r="G1804" i="1" l="1"/>
  <c r="F1801" i="1"/>
  <c r="C1801" i="1"/>
  <c r="B1804" i="1"/>
  <c r="E1801" i="1"/>
  <c r="E1804" i="1" s="1"/>
  <c r="D1801" i="1"/>
  <c r="D1804" i="1" s="1"/>
  <c r="C1804" i="1" l="1"/>
  <c r="F1804" i="1"/>
  <c r="H1801" i="1" l="1"/>
  <c r="H1804" i="1" s="1"/>
  <c r="I1801" i="1" s="1"/>
  <c r="I1804" i="1" s="1"/>
  <c r="J1801" i="1" s="1"/>
  <c r="J1804" i="1" s="1"/>
  <c r="K1801" i="1" s="1"/>
  <c r="D1782" i="1"/>
  <c r="E1782" i="1"/>
  <c r="B1785" i="1"/>
  <c r="C1782" i="1" s="1"/>
  <c r="B1653" i="1"/>
  <c r="C1650" i="1" s="1"/>
  <c r="C1653" i="1" s="1"/>
  <c r="D1650" i="1" s="1"/>
  <c r="D1653" i="1" s="1"/>
  <c r="E1650" i="1" s="1"/>
  <c r="E1653" i="1" s="1"/>
  <c r="F1650" i="1" s="1"/>
  <c r="F1653" i="1" s="1"/>
  <c r="G1650" i="1" s="1"/>
  <c r="G1653" i="1" s="1"/>
  <c r="H1650" i="1" s="1"/>
  <c r="H1653" i="1" s="1"/>
  <c r="I1650" i="1" s="1"/>
  <c r="I1653" i="1" s="1"/>
  <c r="J1650" i="1" s="1"/>
  <c r="J1653" i="1" s="1"/>
  <c r="K1650" i="1" s="1"/>
  <c r="C1785" i="1" l="1"/>
  <c r="D1785" i="1" s="1"/>
  <c r="E1785" i="1" s="1"/>
  <c r="F1782" i="1" l="1"/>
  <c r="F1785" i="1" s="1"/>
  <c r="G1782" i="1" l="1"/>
  <c r="G1785" i="1" s="1"/>
  <c r="H1782" i="1" l="1"/>
  <c r="H1785" i="1" s="1"/>
  <c r="I1782" i="1" s="1"/>
  <c r="I1785" i="1" s="1"/>
  <c r="J1782" i="1" s="1"/>
  <c r="J1785" i="1" s="1"/>
  <c r="K1782" i="1" s="1"/>
  <c r="C711" i="1" l="1"/>
  <c r="D708" i="1" s="1"/>
  <c r="D711" i="1" s="1"/>
  <c r="E708" i="1" s="1"/>
  <c r="E711" i="1" s="1"/>
  <c r="F708" i="1" s="1"/>
  <c r="F711" i="1" s="1"/>
  <c r="G708" i="1" s="1"/>
  <c r="G711" i="1" s="1"/>
  <c r="B711" i="1"/>
  <c r="P708" i="1"/>
  <c r="O708" i="1"/>
  <c r="N708" i="1"/>
  <c r="M708" i="1"/>
  <c r="L708" i="1"/>
  <c r="K708" i="1"/>
  <c r="J708" i="1"/>
  <c r="J711" i="1" s="1"/>
  <c r="I708" i="1"/>
  <c r="I711" i="1" s="1"/>
  <c r="H708" i="1"/>
  <c r="H711" i="1" s="1"/>
  <c r="B652" i="1"/>
  <c r="C649" i="1" s="1"/>
  <c r="C652" i="1" s="1"/>
  <c r="D649" i="1" s="1"/>
  <c r="D652" i="1" s="1"/>
  <c r="E649" i="1" s="1"/>
  <c r="E652" i="1" s="1"/>
  <c r="F649" i="1" s="1"/>
  <c r="F652" i="1" s="1"/>
  <c r="G649" i="1" l="1"/>
  <c r="G652" i="1" s="1"/>
  <c r="H649" i="1" s="1"/>
  <c r="H652" i="1" s="1"/>
  <c r="I649" i="1" s="1"/>
  <c r="I652" i="1" s="1"/>
  <c r="J649" i="1" s="1"/>
  <c r="C1749" i="1" l="1"/>
  <c r="C1752" i="1" s="1"/>
  <c r="B1749" i="1"/>
  <c r="B1752" i="1" s="1"/>
  <c r="J918" i="1" l="1"/>
  <c r="K803" i="1"/>
  <c r="K806" i="1" s="1"/>
  <c r="N1062" i="1"/>
  <c r="I697" i="1" l="1"/>
  <c r="J697" i="1"/>
  <c r="I686" i="1"/>
  <c r="J883" i="1"/>
  <c r="J871" i="1"/>
  <c r="K822" i="1"/>
  <c r="K825" i="1" s="1"/>
  <c r="M822" i="1" s="1"/>
  <c r="K854" i="1" l="1"/>
  <c r="K857" i="1" s="1"/>
  <c r="B839" i="1"/>
  <c r="C836" i="1" s="1"/>
  <c r="J485" i="1" l="1"/>
  <c r="J488" i="1" s="1"/>
  <c r="L485" i="1" s="1"/>
  <c r="I2193" i="1" l="1"/>
  <c r="I2196" i="1" s="1"/>
  <c r="J2193" i="1" s="1"/>
  <c r="H2177" i="1"/>
  <c r="I2174" i="1" s="1"/>
  <c r="H2158" i="1"/>
  <c r="J2131" i="1"/>
  <c r="J2134" i="1" s="1"/>
  <c r="D2007" i="1"/>
  <c r="C2009" i="1"/>
  <c r="D2006" i="1" s="1"/>
  <c r="D2008" i="1" s="1"/>
  <c r="E2100" i="1"/>
  <c r="E2103" i="1" s="1"/>
  <c r="E2087" i="1"/>
  <c r="E2090" i="1" s="1"/>
  <c r="D2077" i="1"/>
  <c r="F2059" i="1"/>
  <c r="F2062" i="1" s="1"/>
  <c r="E2059" i="1"/>
  <c r="E2062" i="1" s="1"/>
  <c r="D2062" i="1"/>
  <c r="D2049" i="1"/>
  <c r="F2030" i="1"/>
  <c r="F2033" i="1" s="1"/>
  <c r="H2254" i="1" l="1"/>
  <c r="I2238" i="1"/>
  <c r="I2241" i="1" s="1"/>
  <c r="H1990" i="1" l="1"/>
  <c r="K1950" i="1" l="1"/>
  <c r="K1953" i="1" s="1"/>
  <c r="J1937" i="1"/>
  <c r="G1858" i="1" l="1"/>
  <c r="G1861" i="1" s="1"/>
  <c r="I1858" i="1"/>
  <c r="J1858" i="1"/>
  <c r="K1858" i="1"/>
  <c r="L1858" i="1"/>
  <c r="M1858" i="1"/>
  <c r="N1858" i="1"/>
  <c r="O1858" i="1"/>
  <c r="F1858" i="1"/>
  <c r="F1861" i="1" s="1"/>
  <c r="H1858" i="1" s="1"/>
  <c r="E1861" i="1"/>
  <c r="H1841" i="1"/>
  <c r="H1840" i="1" s="1"/>
  <c r="H1843" i="1" s="1"/>
  <c r="G1843" i="1"/>
  <c r="H1822" i="1"/>
  <c r="H1821" i="1" s="1"/>
  <c r="H1824" i="1" s="1"/>
  <c r="D1711" i="1" l="1"/>
  <c r="J1636" i="1" l="1"/>
  <c r="I1636" i="1"/>
  <c r="J1400" i="1"/>
  <c r="K1378" i="1"/>
  <c r="K1381" i="1" s="1"/>
  <c r="J1340" i="1"/>
  <c r="K1316" i="1"/>
  <c r="K1319" i="1" s="1"/>
  <c r="E2114" i="1" l="1"/>
  <c r="E2117" i="1" s="1"/>
  <c r="D2117" i="1"/>
  <c r="D1274" i="1" l="1"/>
  <c r="P1251" i="1"/>
  <c r="P1229" i="1"/>
  <c r="R1226" i="1" s="1"/>
  <c r="R1229" i="1" s="1"/>
  <c r="P1196" i="1"/>
  <c r="P1199" i="1" s="1"/>
  <c r="R1196" i="1" s="1"/>
  <c r="P1122" i="1"/>
  <c r="P1125" i="1" s="1"/>
  <c r="O1065" i="1" l="1"/>
  <c r="Q1062" i="1" s="1"/>
  <c r="O1040" i="1"/>
  <c r="K1606" i="1" l="1"/>
  <c r="K1586" i="1"/>
  <c r="K1549" i="1"/>
  <c r="I1536" i="1"/>
  <c r="I1539" i="1" s="1"/>
  <c r="G893" i="1" l="1"/>
  <c r="H893" i="1"/>
  <c r="H896" i="1" s="1"/>
  <c r="I893" i="1"/>
  <c r="I896" i="1" s="1"/>
  <c r="J893" i="1"/>
  <c r="J896" i="1" s="1"/>
  <c r="F893" i="1"/>
  <c r="K242" i="1"/>
  <c r="J210" i="1"/>
  <c r="K196" i="1"/>
  <c r="K199" i="1" s="1"/>
  <c r="J1737" i="1" l="1"/>
  <c r="J1740" i="1" s="1"/>
  <c r="F762" i="1" l="1"/>
  <c r="E733" i="1" l="1"/>
  <c r="E736" i="1" s="1"/>
  <c r="I609" i="1" l="1"/>
  <c r="I612" i="1" s="1"/>
  <c r="I595" i="1"/>
  <c r="I580" i="1"/>
  <c r="J559" i="1"/>
  <c r="J562" i="1" s="1"/>
  <c r="J522" i="1"/>
  <c r="J525" i="1" s="1"/>
  <c r="J465" i="1"/>
  <c r="J468" i="1" s="1"/>
  <c r="N451" i="1" l="1"/>
  <c r="N435" i="1"/>
  <c r="O414" i="1"/>
  <c r="O417" i="1" s="1"/>
  <c r="O396" i="1"/>
  <c r="O399" i="1" s="1"/>
  <c r="O377" i="1"/>
  <c r="O380" i="1" s="1"/>
  <c r="J297" i="1" l="1"/>
  <c r="J300" i="1" s="1"/>
  <c r="J158" i="1" l="1"/>
  <c r="J161" i="1" s="1"/>
  <c r="F68" i="1" l="1"/>
  <c r="D20" i="1" l="1"/>
  <c r="D23" i="1" s="1"/>
  <c r="C23" i="1"/>
  <c r="H1681" i="1"/>
  <c r="H1684" i="1" s="1"/>
  <c r="G1681" i="1"/>
  <c r="G1684" i="1" s="1"/>
  <c r="I1466" i="1"/>
  <c r="I1469" i="1" s="1"/>
  <c r="I959" i="1" l="1"/>
  <c r="I962" i="1" s="1"/>
  <c r="E2046" i="1" l="1"/>
  <c r="E2049" i="1" s="1"/>
  <c r="O357" i="1"/>
  <c r="O360" i="1" s="1"/>
  <c r="D319" i="1"/>
  <c r="E319" i="1" s="1"/>
  <c r="G316" i="1"/>
  <c r="G319" i="1" s="1"/>
  <c r="H316" i="1" s="1"/>
  <c r="H319" i="1" s="1"/>
  <c r="I316" i="1" s="1"/>
  <c r="F316" i="1"/>
  <c r="F319" i="1" s="1"/>
  <c r="F1558" i="1"/>
  <c r="F1557" i="1" s="1"/>
  <c r="F1560" i="1" s="1"/>
  <c r="G1558" i="1" s="1"/>
  <c r="G1557" i="1" s="1"/>
  <c r="G1560" i="1" s="1"/>
  <c r="H1558" i="1" s="1"/>
  <c r="H1557" i="1" s="1"/>
  <c r="H1560" i="1" s="1"/>
  <c r="I1558" i="1" s="1"/>
  <c r="I1557" i="1" s="1"/>
  <c r="I1560" i="1" s="1"/>
  <c r="J1558" i="1" s="1"/>
  <c r="J1557" i="1" s="1"/>
  <c r="J1560" i="1" s="1"/>
  <c r="K1558" i="1" s="1"/>
  <c r="K1557" i="1" s="1"/>
  <c r="K1560" i="1" s="1"/>
  <c r="L1558" i="1" s="1"/>
  <c r="L1557" i="1" s="1"/>
  <c r="L1560" i="1" s="1"/>
  <c r="M1558" i="1" s="1"/>
  <c r="M1557" i="1" s="1"/>
  <c r="M1560" i="1" s="1"/>
  <c r="N1558" i="1" s="1"/>
  <c r="N1557" i="1" s="1"/>
  <c r="N1560" i="1" s="1"/>
  <c r="D1558" i="1"/>
  <c r="D1557" i="1" s="1"/>
  <c r="D1560" i="1" s="1"/>
  <c r="E1558" i="1" s="1"/>
  <c r="E1557" i="1" s="1"/>
  <c r="E1560" i="1" s="1"/>
  <c r="B1558" i="1"/>
  <c r="B1557" i="1" s="1"/>
  <c r="B1560" i="1" s="1"/>
  <c r="C1558" i="1" s="1"/>
  <c r="C1557" i="1" s="1"/>
  <c r="C1560" i="1" s="1"/>
  <c r="D253" i="1"/>
  <c r="F250" i="1" s="1"/>
  <c r="F253" i="1" s="1"/>
  <c r="H250" i="1" s="1"/>
  <c r="I141" i="1"/>
  <c r="I144" i="1" s="1"/>
  <c r="K787" i="1"/>
  <c r="K790" i="1" s="1"/>
  <c r="D1861" i="1"/>
  <c r="C1861" i="1"/>
  <c r="C2062" i="1"/>
  <c r="F1843" i="1"/>
  <c r="G1822" i="1"/>
  <c r="G1821" i="1" s="1"/>
  <c r="G1824" i="1" s="1"/>
  <c r="H1737" i="1"/>
  <c r="H1740" i="1" s="1"/>
  <c r="G1740" i="1"/>
  <c r="I1737" i="1" s="1"/>
  <c r="I1740" i="1" s="1"/>
  <c r="C1711" i="1"/>
  <c r="B2267" i="1"/>
  <c r="C2264" i="1" s="1"/>
  <c r="C2267" i="1" s="1"/>
  <c r="D2264" i="1" s="1"/>
  <c r="D2267" i="1" s="1"/>
  <c r="E2264" i="1" s="1"/>
  <c r="E2267" i="1" s="1"/>
  <c r="F2264" i="1" s="1"/>
  <c r="F2267" i="1" s="1"/>
  <c r="G2264" i="1" s="1"/>
  <c r="G2267" i="1" s="1"/>
  <c r="H2238" i="1"/>
  <c r="H2241" i="1" s="1"/>
  <c r="J1586" i="1"/>
  <c r="J1549" i="1"/>
  <c r="H1536" i="1"/>
  <c r="H1539" i="1" s="1"/>
  <c r="H225" i="1"/>
  <c r="H228" i="1" s="1"/>
  <c r="I225" i="1"/>
  <c r="I228" i="1" s="1"/>
  <c r="J225" i="1"/>
  <c r="J228" i="1" s="1"/>
  <c r="D2100" i="1"/>
  <c r="D2103" i="1" s="1"/>
  <c r="C2103" i="1"/>
  <c r="D2087" i="1"/>
  <c r="D2090" i="1" s="1"/>
  <c r="C2090" i="1"/>
  <c r="C2049" i="1"/>
  <c r="D2030" i="1"/>
  <c r="D2033" i="1" s="1"/>
  <c r="C2029" i="1"/>
  <c r="E2030" i="1" s="1"/>
  <c r="E2033" i="1" s="1"/>
  <c r="H776" i="1"/>
  <c r="J773" i="1" s="1"/>
  <c r="J776" i="1" s="1"/>
  <c r="L773" i="1" s="1"/>
  <c r="L776" i="1" s="1"/>
  <c r="I1400" i="1"/>
  <c r="I1378" i="1"/>
  <c r="I1381" i="1" s="1"/>
  <c r="J1378" i="1"/>
  <c r="J1381" i="1" s="1"/>
  <c r="J1361" i="1"/>
  <c r="J1364" i="1" s="1"/>
  <c r="K1361" i="1" s="1"/>
  <c r="K1364" i="1" s="1"/>
  <c r="H1364" i="1"/>
  <c r="I1361" i="1" s="1"/>
  <c r="I1364" i="1" s="1"/>
  <c r="I1349" i="1"/>
  <c r="I1352" i="1" s="1"/>
  <c r="J1349" i="1"/>
  <c r="J1352" i="1" s="1"/>
  <c r="I1340" i="1"/>
  <c r="I1329" i="1"/>
  <c r="K1326" i="1" s="1"/>
  <c r="K1329" i="1" s="1"/>
  <c r="I1316" i="1"/>
  <c r="I1319" i="1" s="1"/>
  <c r="G175" i="1"/>
  <c r="G178" i="1" s="1"/>
  <c r="H175" i="1"/>
  <c r="H178" i="1" s="1"/>
  <c r="G158" i="1"/>
  <c r="G161" i="1" s="1"/>
  <c r="I158" i="1"/>
  <c r="I161" i="1" s="1"/>
  <c r="G141" i="1"/>
  <c r="G144" i="1" s="1"/>
  <c r="G120" i="1"/>
  <c r="G123" i="1" s="1"/>
  <c r="F123" i="1"/>
  <c r="H2196" i="1"/>
  <c r="H1636" i="1"/>
  <c r="H2174" i="1"/>
  <c r="G2158" i="1"/>
  <c r="I2131" i="1"/>
  <c r="I2134" i="1" s="1"/>
  <c r="H2131" i="1"/>
  <c r="H2134" i="1" s="1"/>
  <c r="G1972" i="1"/>
  <c r="H1969" i="1" s="1"/>
  <c r="H1972" i="1" s="1"/>
  <c r="I1969" i="1" s="1"/>
  <c r="I1972" i="1" s="1"/>
  <c r="J1969" i="1" s="1"/>
  <c r="J1972" i="1" s="1"/>
  <c r="J1950" i="1"/>
  <c r="J1953" i="1" s="1"/>
  <c r="G1953" i="1"/>
  <c r="H1950" i="1" s="1"/>
  <c r="H1953" i="1" s="1"/>
  <c r="I1950" i="1" s="1"/>
  <c r="I1953" i="1" s="1"/>
  <c r="I1937" i="1"/>
  <c r="I1906" i="1"/>
  <c r="H1906" i="1"/>
  <c r="E1884" i="1"/>
  <c r="E1887" i="1" s="1"/>
  <c r="G1884" i="1" s="1"/>
  <c r="G1887" i="1" s="1"/>
  <c r="I1884" i="1" s="1"/>
  <c r="I1887" i="1" s="1"/>
  <c r="D733" i="1"/>
  <c r="D736" i="1" s="1"/>
  <c r="C736" i="1"/>
  <c r="D595" i="1"/>
  <c r="E595" i="1"/>
  <c r="F595" i="1"/>
  <c r="C595" i="1"/>
  <c r="I559" i="1"/>
  <c r="I562" i="1" s="1"/>
  <c r="I542" i="1"/>
  <c r="I545" i="1" s="1"/>
  <c r="I523" i="1"/>
  <c r="H525" i="1"/>
  <c r="I522" i="1" s="1"/>
  <c r="I525" i="1" s="1"/>
  <c r="I502" i="1"/>
  <c r="I505" i="1" s="1"/>
  <c r="J239" i="1"/>
  <c r="J242" i="1" s="1"/>
  <c r="I239" i="1"/>
  <c r="I242" i="1" s="1"/>
  <c r="I207" i="1"/>
  <c r="I210" i="1" s="1"/>
  <c r="J199" i="1"/>
  <c r="I196" i="1"/>
  <c r="I199" i="1" s="1"/>
  <c r="E68" i="1"/>
  <c r="C1274" i="1"/>
  <c r="O1251" i="1"/>
  <c r="O1229" i="1"/>
  <c r="O1199" i="1"/>
  <c r="N1177" i="1"/>
  <c r="O1174" i="1" s="1"/>
  <c r="O1177" i="1" s="1"/>
  <c r="P1174" i="1" s="1"/>
  <c r="O1122" i="1"/>
  <c r="O1125" i="1" s="1"/>
  <c r="N1125" i="1"/>
  <c r="N1065" i="1"/>
  <c r="P1062" i="1" s="1"/>
  <c r="P1065" i="1" s="1"/>
  <c r="R1062" i="1" s="1"/>
  <c r="N1040" i="1"/>
  <c r="I883" i="1"/>
  <c r="J803" i="1"/>
  <c r="J806" i="1" s="1"/>
  <c r="I803" i="1"/>
  <c r="I806" i="1" s="1"/>
  <c r="B632" i="1"/>
  <c r="C629" i="1" s="1"/>
  <c r="C632" i="1" s="1"/>
  <c r="D629" i="1" s="1"/>
  <c r="D632" i="1" s="1"/>
  <c r="E629" i="1" s="1"/>
  <c r="E632" i="1" s="1"/>
  <c r="F629" i="1" s="1"/>
  <c r="F632" i="1" s="1"/>
  <c r="G629" i="1" s="1"/>
  <c r="G632" i="1" s="1"/>
  <c r="H629" i="1" s="1"/>
  <c r="H632" i="1" s="1"/>
  <c r="I629" i="1" s="1"/>
  <c r="I632" i="1" s="1"/>
  <c r="J629" i="1" s="1"/>
  <c r="J632" i="1" s="1"/>
  <c r="K629" i="1" s="1"/>
  <c r="H609" i="1"/>
  <c r="H612" i="1" s="1"/>
  <c r="G609" i="1"/>
  <c r="G612" i="1" s="1"/>
  <c r="F609" i="1"/>
  <c r="F612" i="1" s="1"/>
  <c r="E609" i="1"/>
  <c r="E612" i="1" s="1"/>
  <c r="D609" i="1"/>
  <c r="D612" i="1" s="1"/>
  <c r="C609" i="1"/>
  <c r="C612" i="1" s="1"/>
  <c r="B609" i="1"/>
  <c r="B612" i="1" s="1"/>
  <c r="N414" i="1"/>
  <c r="N417" i="1" s="1"/>
  <c r="N396" i="1"/>
  <c r="N399" i="1" s="1"/>
  <c r="N342" i="1"/>
  <c r="I297" i="1"/>
  <c r="I300" i="1" s="1"/>
  <c r="C959" i="1"/>
  <c r="C962" i="1" s="1"/>
  <c r="B962" i="1"/>
  <c r="H959" i="1"/>
  <c r="H962" i="1" s="1"/>
  <c r="E959" i="1"/>
  <c r="E962" i="1" s="1"/>
  <c r="G959" i="1" s="1"/>
  <c r="G962" i="1" s="1"/>
  <c r="E762" i="1"/>
  <c r="D762" i="1"/>
  <c r="I915" i="1"/>
  <c r="I918" i="1" s="1"/>
  <c r="F1505" i="1"/>
  <c r="G1502" i="1" s="1"/>
  <c r="G1505" i="1" s="1"/>
  <c r="H1505" i="1" s="1"/>
  <c r="I1502" i="1" s="1"/>
  <c r="I1505" i="1" s="1"/>
  <c r="J1502" i="1" s="1"/>
  <c r="H1483" i="1"/>
  <c r="H1486" i="1" s="1"/>
  <c r="J1483" i="1" s="1"/>
  <c r="F1486" i="1"/>
  <c r="H1466" i="1"/>
  <c r="H1469" i="1" s="1"/>
  <c r="G1987" i="1"/>
  <c r="G1990" i="1" s="1"/>
  <c r="F1990" i="1"/>
  <c r="E1990" i="1"/>
  <c r="N1196" i="1"/>
  <c r="N1199" i="1" s="1"/>
  <c r="I465" i="1"/>
  <c r="I468" i="1" s="1"/>
  <c r="J854" i="1"/>
  <c r="J857" i="1" s="1"/>
  <c r="N357" i="1"/>
  <c r="N360" i="1" s="1"/>
  <c r="J1316" i="1"/>
  <c r="J1319" i="1" s="1"/>
  <c r="H158" i="1"/>
  <c r="H161" i="1" s="1"/>
  <c r="H141" i="1"/>
  <c r="H144" i="1" s="1"/>
  <c r="H120" i="1"/>
  <c r="H123" i="1" s="1"/>
  <c r="G1536" i="1"/>
  <c r="G1539" i="1" s="1"/>
  <c r="F1536" i="1"/>
  <c r="F1539" i="1" s="1"/>
  <c r="E1536" i="1"/>
  <c r="E1539" i="1" s="1"/>
  <c r="D1536" i="1"/>
  <c r="D1539" i="1" s="1"/>
  <c r="C1536" i="1"/>
  <c r="C1539" i="1" s="1"/>
  <c r="B1536" i="1"/>
  <c r="B1539" i="1" s="1"/>
  <c r="E1486" i="1"/>
  <c r="G1483" i="1" s="1"/>
  <c r="G1486" i="1" s="1"/>
  <c r="I1483" i="1" s="1"/>
  <c r="I1486" i="1" s="1"/>
  <c r="D1486" i="1"/>
  <c r="C1486" i="1"/>
  <c r="B1486" i="1"/>
  <c r="G1319" i="1"/>
  <c r="H1319" i="1"/>
  <c r="N1251" i="1"/>
  <c r="N1229" i="1"/>
  <c r="M1199" i="1"/>
  <c r="M1125" i="1"/>
  <c r="D505" i="1"/>
  <c r="C505" i="1"/>
  <c r="C253" i="1"/>
  <c r="E250" i="1" s="1"/>
  <c r="E253" i="1" s="1"/>
  <c r="C2251" i="1"/>
  <c r="C2254" i="1" s="1"/>
  <c r="D2251" i="1" s="1"/>
  <c r="D2254" i="1" s="1"/>
  <c r="E2254" i="1"/>
  <c r="F2251" i="1"/>
  <c r="F2254" i="1" s="1"/>
  <c r="G2251" i="1"/>
  <c r="G2254" i="1" s="1"/>
  <c r="B2251" i="1"/>
  <c r="B2254" i="1" s="1"/>
  <c r="G2238" i="1"/>
  <c r="G2241" i="1" s="1"/>
  <c r="F2238" i="1"/>
  <c r="F2241" i="1" s="1"/>
  <c r="E2238" i="1"/>
  <c r="E2241" i="1" s="1"/>
  <c r="D2238" i="1"/>
  <c r="D2241" i="1" s="1"/>
  <c r="C2238" i="1"/>
  <c r="C2241" i="1" s="1"/>
  <c r="B2238" i="1"/>
  <c r="B2241" i="1" s="1"/>
  <c r="B2222" i="1"/>
  <c r="C2219" i="1" s="1"/>
  <c r="C2222" i="1" s="1"/>
  <c r="D2219" i="1" s="1"/>
  <c r="D2222" i="1" s="1"/>
  <c r="E2219" i="1" s="1"/>
  <c r="E2222" i="1" s="1"/>
  <c r="F2219" i="1" s="1"/>
  <c r="F2222" i="1" s="1"/>
  <c r="G2219" i="1" s="1"/>
  <c r="G2222" i="1" s="1"/>
  <c r="H2219" i="1" s="1"/>
  <c r="H2222" i="1" s="1"/>
  <c r="I2219" i="1" s="1"/>
  <c r="I2222" i="1" s="1"/>
  <c r="J2219" i="1" s="1"/>
  <c r="J2222" i="1" s="1"/>
  <c r="G2196" i="1"/>
  <c r="E2158" i="1"/>
  <c r="F2158" i="1"/>
  <c r="G2134" i="1"/>
  <c r="H1934" i="1"/>
  <c r="H803" i="1"/>
  <c r="H806" i="1" s="1"/>
  <c r="F1822" i="1"/>
  <c r="F1821" i="1" s="1"/>
  <c r="F1824" i="1" s="1"/>
  <c r="G297" i="1"/>
  <c r="G300" i="1" s="1"/>
  <c r="F1681" i="1"/>
  <c r="F1684" i="1" s="1"/>
  <c r="G1466" i="1"/>
  <c r="G1469" i="1" s="1"/>
  <c r="F1466" i="1"/>
  <c r="F1469" i="1" s="1"/>
  <c r="H1412" i="1"/>
  <c r="G1412" i="1"/>
  <c r="H1400" i="1"/>
  <c r="H1378" i="1"/>
  <c r="H1381" i="1" s="1"/>
  <c r="H1340" i="1"/>
  <c r="H1329" i="1"/>
  <c r="J1326" i="1" s="1"/>
  <c r="J1329" i="1" s="1"/>
  <c r="G896" i="1"/>
  <c r="G918" i="1"/>
  <c r="C839" i="1"/>
  <c r="D836" i="1" s="1"/>
  <c r="D839" i="1" s="1"/>
  <c r="H883" i="1"/>
  <c r="I868" i="1"/>
  <c r="I871" i="1" s="1"/>
  <c r="H871" i="1"/>
  <c r="J822" i="1"/>
  <c r="J825" i="1" s="1"/>
  <c r="I822" i="1"/>
  <c r="I825" i="1" s="1"/>
  <c r="H790" i="1"/>
  <c r="J787" i="1"/>
  <c r="J790" i="1" s="1"/>
  <c r="F1903" i="1"/>
  <c r="F1906" i="1" s="1"/>
  <c r="G1903" i="1"/>
  <c r="G1906" i="1" s="1"/>
  <c r="E1903" i="1"/>
  <c r="E1906" i="1" s="1"/>
  <c r="D1903" i="1"/>
  <c r="D1906" i="1" s="1"/>
  <c r="C1903" i="1"/>
  <c r="C1906" i="1" s="1"/>
  <c r="N1149" i="1"/>
  <c r="N1152" i="1" s="1"/>
  <c r="O1149" i="1" s="1"/>
  <c r="O1152" i="1" s="1"/>
  <c r="P1149" i="1" s="1"/>
  <c r="P1152" i="1" s="1"/>
  <c r="F1633" i="1"/>
  <c r="F1636" i="1" s="1"/>
  <c r="G1633" i="1"/>
  <c r="G1636" i="1" s="1"/>
  <c r="E1633" i="1"/>
  <c r="E1636" i="1" s="1"/>
  <c r="D1633" i="1"/>
  <c r="D1636" i="1" s="1"/>
  <c r="C1633" i="1"/>
  <c r="C1636" i="1" s="1"/>
  <c r="H559" i="1"/>
  <c r="H562" i="1" s="1"/>
  <c r="G525" i="1"/>
  <c r="G468" i="1"/>
  <c r="H465" i="1"/>
  <c r="H468" i="1" s="1"/>
  <c r="H592" i="1"/>
  <c r="H595" i="1" s="1"/>
  <c r="H580" i="1"/>
  <c r="H542" i="1"/>
  <c r="H545" i="1" s="1"/>
  <c r="H502" i="1"/>
  <c r="H505" i="1" s="1"/>
  <c r="L448" i="1"/>
  <c r="L451" i="1" s="1"/>
  <c r="L432" i="1"/>
  <c r="L435" i="1" s="1"/>
  <c r="L414" i="1"/>
  <c r="L417" i="1" s="1"/>
  <c r="M414" i="1"/>
  <c r="M417" i="1" s="1"/>
  <c r="M396" i="1"/>
  <c r="M399" i="1" s="1"/>
  <c r="L399" i="1"/>
  <c r="L380" i="1"/>
  <c r="N377" i="1" s="1"/>
  <c r="N380" i="1" s="1"/>
  <c r="L360" i="1"/>
  <c r="M339" i="1"/>
  <c r="M342" i="1" s="1"/>
  <c r="O339" i="1" s="1"/>
  <c r="O342" i="1" s="1"/>
  <c r="Q339" i="1" s="1"/>
  <c r="L342" i="1"/>
  <c r="H297" i="1"/>
  <c r="H300" i="1" s="1"/>
  <c r="H239" i="1"/>
  <c r="H242" i="1" s="1"/>
  <c r="H207" i="1"/>
  <c r="H210" i="1" s="1"/>
  <c r="H196" i="1"/>
  <c r="H199" i="1" s="1"/>
  <c r="D68" i="1"/>
  <c r="G1922" i="1"/>
  <c r="J1604" i="1"/>
  <c r="J1603" i="1" s="1"/>
  <c r="J1606" i="1" s="1"/>
  <c r="I1604" i="1"/>
  <c r="I1603" i="1" s="1"/>
  <c r="I1606" i="1" s="1"/>
  <c r="I1586" i="1"/>
  <c r="I1549" i="1"/>
  <c r="B1437" i="1"/>
  <c r="C1434" i="1" s="1"/>
  <c r="C1437" i="1" s="1"/>
  <c r="D1434" i="1" s="1"/>
  <c r="D1437" i="1" s="1"/>
  <c r="E1434" i="1" s="1"/>
  <c r="E1437" i="1" s="1"/>
  <c r="F1434" i="1" s="1"/>
  <c r="F1437" i="1" s="1"/>
  <c r="G1434" i="1" s="1"/>
  <c r="G1437" i="1" s="1"/>
  <c r="K1091" i="1"/>
  <c r="K1094" i="1" s="1"/>
  <c r="L1091" i="1" s="1"/>
  <c r="L1094" i="1" s="1"/>
  <c r="M1091" i="1" s="1"/>
  <c r="M1094" i="1" s="1"/>
  <c r="N1091" i="1" s="1"/>
  <c r="N1094" i="1" s="1"/>
  <c r="O1091" i="1" s="1"/>
  <c r="O1094" i="1" s="1"/>
  <c r="H1091" i="1"/>
  <c r="H1094" i="1" s="1"/>
  <c r="I1091" i="1" s="1"/>
  <c r="I1094" i="1" s="1"/>
  <c r="J1091" i="1" s="1"/>
  <c r="J1094" i="1" s="1"/>
  <c r="D1737" i="1"/>
  <c r="D1740" i="1" s="1"/>
  <c r="C1737" i="1"/>
  <c r="C1740" i="1" s="1"/>
  <c r="E1737" i="1" s="1"/>
  <c r="E1740" i="1" s="1"/>
  <c r="G196" i="1"/>
  <c r="G199" i="1" s="1"/>
  <c r="F937" i="1"/>
  <c r="F940" i="1" s="1"/>
  <c r="G937" i="1" s="1"/>
  <c r="G940" i="1" s="1"/>
  <c r="H937" i="1" s="1"/>
  <c r="H940" i="1" s="1"/>
  <c r="I937" i="1" s="1"/>
  <c r="I940" i="1" s="1"/>
  <c r="J937" i="1" s="1"/>
  <c r="J940" i="1" s="1"/>
  <c r="K937" i="1" s="1"/>
  <c r="K940" i="1" s="1"/>
  <c r="F918" i="1"/>
  <c r="E918" i="1"/>
  <c r="D918" i="1"/>
  <c r="C915" i="1"/>
  <c r="C918" i="1" s="1"/>
  <c r="B915" i="1"/>
  <c r="B918" i="1" s="1"/>
  <c r="F896" i="1"/>
  <c r="E893" i="1"/>
  <c r="D893" i="1"/>
  <c r="D896" i="1" s="1"/>
  <c r="C893" i="1"/>
  <c r="C896" i="1" s="1"/>
  <c r="B893" i="1"/>
  <c r="B896" i="1" s="1"/>
  <c r="B1604" i="1"/>
  <c r="B1603" i="1" s="1"/>
  <c r="B1584" i="1"/>
  <c r="B1583" i="1" s="1"/>
  <c r="B360" i="1"/>
  <c r="B210" i="1"/>
  <c r="B68" i="1"/>
  <c r="H1349" i="1"/>
  <c r="H1352" i="1" s="1"/>
  <c r="G592" i="1"/>
  <c r="G595" i="1" s="1"/>
  <c r="G577" i="1"/>
  <c r="G580" i="1" s="1"/>
  <c r="F580" i="1"/>
  <c r="F562" i="1"/>
  <c r="G559" i="1"/>
  <c r="G562" i="1" s="1"/>
  <c r="F545" i="1"/>
  <c r="G542" i="1"/>
  <c r="G545" i="1" s="1"/>
  <c r="F505" i="1"/>
  <c r="G502" i="1"/>
  <c r="G505" i="1" s="1"/>
  <c r="G485" i="1"/>
  <c r="G488" i="1" s="1"/>
  <c r="I485" i="1" s="1"/>
  <c r="I488" i="1" s="1"/>
  <c r="F485" i="1"/>
  <c r="F488" i="1" s="1"/>
  <c r="H485" i="1" s="1"/>
  <c r="K451" i="1"/>
  <c r="M448" i="1"/>
  <c r="M451" i="1" s="1"/>
  <c r="K435" i="1"/>
  <c r="K417" i="1"/>
  <c r="K399" i="1"/>
  <c r="K377" i="1"/>
  <c r="K380" i="1" s="1"/>
  <c r="M377" i="1" s="1"/>
  <c r="M380" i="1" s="1"/>
  <c r="M357" i="1"/>
  <c r="M360" i="1" s="1"/>
  <c r="J360" i="1"/>
  <c r="C360" i="1"/>
  <c r="D360" i="1"/>
  <c r="E360" i="1"/>
  <c r="F360" i="1"/>
  <c r="G360" i="1"/>
  <c r="I357" i="1" s="1"/>
  <c r="I360" i="1" s="1"/>
  <c r="K357" i="1" s="1"/>
  <c r="K360" i="1" s="1"/>
  <c r="H360" i="1"/>
  <c r="G694" i="1"/>
  <c r="G697" i="1" s="1"/>
  <c r="H694" i="1"/>
  <c r="H697" i="1" s="1"/>
  <c r="F694" i="1"/>
  <c r="F697" i="1" s="1"/>
  <c r="E694" i="1"/>
  <c r="E697" i="1" s="1"/>
  <c r="D694" i="1"/>
  <c r="D697" i="1" s="1"/>
  <c r="C694" i="1"/>
  <c r="C697" i="1" s="1"/>
  <c r="G686" i="1"/>
  <c r="F1884" i="1"/>
  <c r="F1887" i="1" s="1"/>
  <c r="H1884" i="1" s="1"/>
  <c r="H1887" i="1" s="1"/>
  <c r="D1887" i="1"/>
  <c r="G239" i="1"/>
  <c r="G242" i="1" s="1"/>
  <c r="C239" i="1"/>
  <c r="C242" i="1" s="1"/>
  <c r="D239" i="1"/>
  <c r="D242" i="1" s="1"/>
  <c r="E239" i="1"/>
  <c r="E242" i="1" s="1"/>
  <c r="B239" i="1"/>
  <c r="B242" i="1" s="1"/>
  <c r="F239" i="1"/>
  <c r="F242" i="1" s="1"/>
  <c r="C228" i="1"/>
  <c r="D228" i="1"/>
  <c r="B228" i="1"/>
  <c r="G225" i="1"/>
  <c r="G228" i="1" s="1"/>
  <c r="F225" i="1"/>
  <c r="F228" i="1" s="1"/>
  <c r="E225" i="1"/>
  <c r="E228" i="1" s="1"/>
  <c r="G210" i="1"/>
  <c r="F210" i="1"/>
  <c r="E210" i="1"/>
  <c r="D210" i="1"/>
  <c r="C210" i="1"/>
  <c r="D1843" i="1"/>
  <c r="E1841" i="1"/>
  <c r="E1840" i="1" s="1"/>
  <c r="E1843" i="1" s="1"/>
  <c r="E1822" i="1"/>
  <c r="E1821" i="1" s="1"/>
  <c r="E1824" i="1" s="1"/>
  <c r="H1604" i="1"/>
  <c r="H1549" i="1"/>
  <c r="F2196" i="1"/>
  <c r="E2196" i="1"/>
  <c r="D2196" i="1"/>
  <c r="C2196" i="1"/>
  <c r="D2158" i="1"/>
  <c r="F2134" i="1"/>
  <c r="E2134" i="1"/>
  <c r="C68" i="1"/>
  <c r="G1400" i="1"/>
  <c r="G1381" i="1"/>
  <c r="G1352" i="1"/>
  <c r="F1352" i="1"/>
  <c r="G1340" i="1"/>
  <c r="G1329" i="1"/>
  <c r="G883" i="1"/>
  <c r="F883" i="1"/>
  <c r="E883" i="1"/>
  <c r="D871" i="1"/>
  <c r="G871" i="1"/>
  <c r="E871" i="1"/>
  <c r="H854" i="1"/>
  <c r="H857" i="1" s="1"/>
  <c r="G857" i="1"/>
  <c r="I854" i="1" s="1"/>
  <c r="I857" i="1" s="1"/>
  <c r="G790" i="1"/>
  <c r="I787" i="1"/>
  <c r="I790" i="1" s="1"/>
  <c r="G776" i="1"/>
  <c r="I773" i="1" s="1"/>
  <c r="I776" i="1" s="1"/>
  <c r="K773" i="1" s="1"/>
  <c r="K776" i="1" s="1"/>
  <c r="M773" i="1" s="1"/>
  <c r="D1684" i="1"/>
  <c r="E1681" i="1"/>
  <c r="E1684" i="1" s="1"/>
  <c r="G1937" i="1"/>
  <c r="G1935" i="1"/>
  <c r="F1937" i="1"/>
  <c r="F1935" i="1"/>
  <c r="F1922" i="1"/>
  <c r="F175" i="1"/>
  <c r="F178" i="1" s="1"/>
  <c r="E175" i="1"/>
  <c r="E178" i="1" s="1"/>
  <c r="D178" i="1"/>
  <c r="C178" i="1"/>
  <c r="F158" i="1"/>
  <c r="F161" i="1" s="1"/>
  <c r="E158" i="1"/>
  <c r="E161" i="1" s="1"/>
  <c r="D161" i="1"/>
  <c r="C161" i="1"/>
  <c r="D144" i="1"/>
  <c r="F141" i="1" s="1"/>
  <c r="F144" i="1" s="1"/>
  <c r="E144" i="1"/>
  <c r="C144" i="1"/>
  <c r="D123" i="1"/>
  <c r="C123" i="1"/>
  <c r="E120" i="1" s="1"/>
  <c r="E123" i="1" s="1"/>
  <c r="G1549" i="1"/>
  <c r="F1549" i="1"/>
  <c r="E1549" i="1"/>
  <c r="D1549" i="1"/>
  <c r="F686" i="1"/>
  <c r="H683" i="1" s="1"/>
  <c r="H686" i="1" s="1"/>
  <c r="E686" i="1"/>
  <c r="D686" i="1"/>
  <c r="D1604" i="1"/>
  <c r="D1603" i="1" s="1"/>
  <c r="D1606" i="1" s="1"/>
  <c r="E1604" i="1" s="1"/>
  <c r="E1603" i="1" s="1"/>
  <c r="E1606" i="1" s="1"/>
  <c r="H1603" i="1"/>
  <c r="H1606" i="1" s="1"/>
  <c r="F1603" i="1"/>
  <c r="F1606" i="1" s="1"/>
  <c r="D1586" i="1"/>
  <c r="C1584" i="1"/>
  <c r="C1583" i="1" s="1"/>
  <c r="D559" i="1"/>
  <c r="C1547" i="1"/>
  <c r="C1546" i="1" s="1"/>
  <c r="C1549" i="1" s="1"/>
  <c r="B1547" i="1"/>
  <c r="B1546" i="1" s="1"/>
  <c r="B1549" i="1" s="1"/>
  <c r="C1922" i="1"/>
  <c r="D1922" i="1"/>
  <c r="E1922" i="1"/>
  <c r="I319" i="1" l="1"/>
  <c r="J316" i="1" s="1"/>
  <c r="J319" i="1" s="1"/>
  <c r="K316" i="1" s="1"/>
  <c r="K319" i="1" s="1"/>
  <c r="L316" i="1" s="1"/>
  <c r="L319" i="1" s="1"/>
  <c r="M316" i="1" s="1"/>
  <c r="P339" i="1"/>
  <c r="P342" i="1" s="1"/>
  <c r="M432" i="1"/>
  <c r="M435" i="1" s="1"/>
  <c r="P1091" i="1"/>
  <c r="P1094" i="1" s="1"/>
  <c r="Q1091" i="1" s="1"/>
  <c r="Q1094" i="1" s="1"/>
  <c r="R1091" i="1" s="1"/>
  <c r="H2264" i="1"/>
  <c r="H2267" i="1" s="1"/>
  <c r="I2264" i="1" s="1"/>
  <c r="I2267" i="1" s="1"/>
  <c r="J2264" i="1" s="1"/>
  <c r="J2267" i="1" s="1"/>
  <c r="K2264" i="1" s="1"/>
  <c r="H1434" i="1"/>
  <c r="H1437" i="1" s="1"/>
  <c r="I1434" i="1" s="1"/>
  <c r="I1437" i="1" s="1"/>
  <c r="J1434" i="1" s="1"/>
  <c r="J1437" i="1" s="1"/>
  <c r="K1434" i="1" s="1"/>
  <c r="O1558" i="1"/>
  <c r="O1557" i="1" s="1"/>
  <c r="O1560" i="1" s="1"/>
  <c r="P1558" i="1" s="1"/>
  <c r="C2030" i="1"/>
  <c r="C2033" i="1" s="1"/>
  <c r="C1586" i="1"/>
  <c r="E1584" i="1" s="1"/>
  <c r="E1583" i="1" s="1"/>
  <c r="E1586" i="1" s="1"/>
  <c r="F1584" i="1" s="1"/>
  <c r="F1583" i="1" s="1"/>
  <c r="F1586" i="1" s="1"/>
  <c r="G1584" i="1" s="1"/>
  <c r="G1583" i="1" s="1"/>
  <c r="G1586" i="1" s="1"/>
  <c r="B1586" i="1"/>
  <c r="D1584" i="1" s="1"/>
  <c r="D959" i="1"/>
  <c r="D962" i="1" s="1"/>
  <c r="F959" i="1" s="1"/>
  <c r="F962" i="1" s="1"/>
  <c r="H1584" i="1" l="1"/>
  <c r="H1583" i="1" s="1"/>
  <c r="H1586" i="1" s="1"/>
  <c r="P1557" i="1"/>
  <c r="P1560" i="1" s="1"/>
</calcChain>
</file>

<file path=xl/sharedStrings.xml><?xml version="1.0" encoding="utf-8"?>
<sst xmlns="http://schemas.openxmlformats.org/spreadsheetml/2006/main" count="3118" uniqueCount="1275">
  <si>
    <t>MAROC</t>
  </si>
  <si>
    <t>Stock :</t>
  </si>
  <si>
    <t>Unités: t</t>
  </si>
  <si>
    <t>Année</t>
  </si>
  <si>
    <t>Limite</t>
  </si>
  <si>
    <t>Limite ajustée (A)</t>
  </si>
  <si>
    <t>Formule *</t>
  </si>
  <si>
    <t>Prise (B)</t>
  </si>
  <si>
    <t>Solde (A-B)</t>
  </si>
  <si>
    <t>Année d'ajustement**</t>
  </si>
  <si>
    <t>Décrire la raison utilisée dans l'application de la sur/sous-consommation</t>
  </si>
  <si>
    <t>Pavillon :</t>
  </si>
  <si>
    <t>Flag:</t>
  </si>
  <si>
    <t>SYRIA</t>
  </si>
  <si>
    <t>Stock:</t>
  </si>
  <si>
    <t>Units: t</t>
  </si>
  <si>
    <t>Year</t>
  </si>
  <si>
    <t>Limit</t>
  </si>
  <si>
    <t>Adjusted limit (A)</t>
  </si>
  <si>
    <t>Formula *</t>
  </si>
  <si>
    <t>Catch (B)</t>
  </si>
  <si>
    <t>Balance (A-B)</t>
  </si>
  <si>
    <t>Adjustment year**</t>
  </si>
  <si>
    <t>Describe the rationale used in the application of overage / underage:</t>
  </si>
  <si>
    <t>Pabellón:</t>
  </si>
  <si>
    <t>MEXICO</t>
  </si>
  <si>
    <t>Unidades: t</t>
  </si>
  <si>
    <t>Año</t>
  </si>
  <si>
    <t>Límite</t>
  </si>
  <si>
    <t>Límite ajustado (A)</t>
  </si>
  <si>
    <t>Fórmula *</t>
  </si>
  <si>
    <t>Captura (B)</t>
  </si>
  <si>
    <t>Saldo (A-B)</t>
  </si>
  <si>
    <t>Año de ajuste**</t>
  </si>
  <si>
    <t>Describir la lógica utilizada en la aplicación de los excesos/remanentes:</t>
  </si>
  <si>
    <t>2010=95t+47.5t-(86.5t to Canada for 2011) por Rec. 08-04</t>
  </si>
  <si>
    <t xml:space="preserve">Desembarque </t>
  </si>
  <si>
    <t>Saldo</t>
  </si>
  <si>
    <t>TUNISIE</t>
  </si>
  <si>
    <t>EUROPEAN UNION</t>
  </si>
  <si>
    <t>Limit+Balance 2012-20</t>
  </si>
  <si>
    <t>Limit*1.25</t>
  </si>
  <si>
    <t>Limit+2014 balance</t>
  </si>
  <si>
    <t>Limit 2017 + 25%  2015 limit</t>
  </si>
  <si>
    <t>Limit 2018 +  2016 balance</t>
  </si>
  <si>
    <t>Limit 2019 +   2017 balance</t>
  </si>
  <si>
    <t>Limit 2020 +   2018 balance</t>
  </si>
  <si>
    <t>NA</t>
  </si>
  <si>
    <t>1470+249</t>
  </si>
  <si>
    <t>Limit 2016 + 25%  2014 limit</t>
  </si>
  <si>
    <t>Limit 2018 + 25%  2016 limit</t>
  </si>
  <si>
    <t>Limit 2019 + 25%  2017 limit</t>
  </si>
  <si>
    <t>Limit 2020 + 25%  2018 limit</t>
  </si>
  <si>
    <t>(Limit*1.25)-470-40</t>
  </si>
  <si>
    <t>(Limit*1.25)-450-50</t>
  </si>
  <si>
    <t>(Limit*1.15)-40-295</t>
  </si>
  <si>
    <t>(2017 limit + 0,15*2015 limit)-300</t>
  </si>
  <si>
    <t>(2018 limit + 0,15*2016 limit)-40-300</t>
  </si>
  <si>
    <t>(2019 limit + 0,15*2017 limit)-40-300</t>
  </si>
  <si>
    <t>Limit +2012 balance</t>
  </si>
  <si>
    <t>Limit + 2013 balance</t>
  </si>
  <si>
    <t>Limit + 2014 balance</t>
  </si>
  <si>
    <t>Limit 2017 +  2015 balance</t>
  </si>
  <si>
    <t xml:space="preserve">Limit 2018 + 2016 balance </t>
  </si>
  <si>
    <t xml:space="preserve">Limit 2019 + 2017 balance </t>
  </si>
  <si>
    <t xml:space="preserve">Limit 2020 +  2018 balance </t>
  </si>
  <si>
    <t>BET</t>
  </si>
  <si>
    <t>Limit*1.3</t>
  </si>
  <si>
    <t>Limit 2016+Limit 2014*0.3</t>
  </si>
  <si>
    <t>Limit 2017+Limit 2015*0.15</t>
  </si>
  <si>
    <t>Limit 2018+Limit 2016*0.15</t>
  </si>
  <si>
    <t>Limit 2019 + 2017 balance</t>
  </si>
  <si>
    <t> 2020</t>
  </si>
  <si>
    <t> 2021</t>
  </si>
  <si>
    <t>BUM</t>
  </si>
  <si>
    <t>2016 Limit + Balance 2014</t>
  </si>
  <si>
    <t>2017 limit + 0.5*Balance 2015</t>
  </si>
  <si>
    <t>2018 limit + 0.5*Balance 2015 + 0,1*2016 limit</t>
  </si>
  <si>
    <t>2019 Limit + 0.1*2017 limit</t>
  </si>
  <si>
    <t>WHM</t>
  </si>
  <si>
    <t>2016 limit +0.5*Balance 2014</t>
  </si>
  <si>
    <t>2017 limit +0.5*Balance 2014</t>
  </si>
  <si>
    <t>2018 limit +0.33*Balance 2015</t>
  </si>
  <si>
    <t>2019 limit +0.33 Balance 2015</t>
  </si>
  <si>
    <t>2020 limit + 0,33*Balance 2015 +0.10*limit 2018</t>
  </si>
  <si>
    <t>CHINESE TAIPEI</t>
  </si>
  <si>
    <t>=3271.7*(1+25%)-100-200</t>
    <phoneticPr fontId="2" type="noConversion"/>
  </si>
  <si>
    <t>=3926+655.62-100-200</t>
    <phoneticPr fontId="2" type="noConversion"/>
  </si>
  <si>
    <t>Regarding Rec.17-04 amends para.4 of Rec.16-06, Chinese Taipei is allocated 3926 t as its 2019 initial catch quota.</t>
    <phoneticPr fontId="2" type="noConversion"/>
  </si>
  <si>
    <t>=9400+2106.75</t>
    <phoneticPr fontId="2" type="noConversion"/>
  </si>
  <si>
    <t>=9400+2350</t>
    <phoneticPr fontId="2" type="noConversion"/>
  </si>
  <si>
    <t>2019 adjusted quota is 11750.00 t (=9400+2350), which was approved by the Commission at the 21st Special Meeting.</t>
    <phoneticPr fontId="2" type="noConversion"/>
  </si>
  <si>
    <t>=270*(1+50%)-35</t>
    <phoneticPr fontId="2" type="noConversion"/>
  </si>
  <si>
    <t>=270*(1+40%)-35</t>
    <phoneticPr fontId="2" type="noConversion"/>
  </si>
  <si>
    <t>Regarding Rec.17-02 replacing Rec.16-03, Chinese Taipei may carryover to the maximum of 40% of its 2017 underage in 2019.</t>
    <phoneticPr fontId="2" type="noConversion"/>
  </si>
  <si>
    <t>=459+128.9</t>
    <phoneticPr fontId="2" type="noConversion"/>
  </si>
  <si>
    <t>=459+76.9</t>
    <phoneticPr fontId="2" type="noConversion"/>
  </si>
  <si>
    <t>=459+57.9</t>
    <phoneticPr fontId="2" type="noConversion"/>
  </si>
  <si>
    <t>Regarding Rec.17-03 replaceing Rec.16-04, Chinese Taipei may carryover to the maximum of 20% of its 2018 underage in 2019.</t>
    <phoneticPr fontId="2" type="noConversion"/>
  </si>
  <si>
    <t>=48.76-10</t>
    <phoneticPr fontId="2" type="noConversion"/>
  </si>
  <si>
    <t>=58.28-10</t>
    <phoneticPr fontId="2" type="noConversion"/>
  </si>
  <si>
    <t>=69.97-10</t>
    <phoneticPr fontId="2" type="noConversion"/>
  </si>
  <si>
    <t>=79-50</t>
    <phoneticPr fontId="2" type="noConversion"/>
  </si>
  <si>
    <t>=84-50</t>
    <phoneticPr fontId="2" type="noConversion"/>
  </si>
  <si>
    <t>2019 adjusted quota is 34 t (=84-50) due to a transfer of 50 t to Korea.</t>
    <phoneticPr fontId="2" type="noConversion"/>
  </si>
  <si>
    <t>=15583*(1+30%)-70</t>
    <phoneticPr fontId="2" type="noConversion"/>
  </si>
  <si>
    <t>=11679+(15583*30%)</t>
    <phoneticPr fontId="2" type="noConversion"/>
  </si>
  <si>
    <t>=11679+(15583*15%)</t>
    <phoneticPr fontId="2" type="noConversion"/>
  </si>
  <si>
    <t>=11679*(1+15%)+223</t>
    <phoneticPr fontId="2" type="noConversion"/>
  </si>
  <si>
    <t>2019 adjusted quota is 13653.85 t (=11679+11679*15%+223) due to the underage of 2017 exceeding 15% of 2019 initial catch limit and a transfer of 223 t from Korea.</t>
    <phoneticPr fontId="2" type="noConversion"/>
  </si>
  <si>
    <t>=150*(1+10%)</t>
    <phoneticPr fontId="2" type="noConversion"/>
  </si>
  <si>
    <t>2019 adjusted quota is 165t (=150+150*10%) due to the underage of 2017 exceeding 15% of 2019 initial catch limit.</t>
    <phoneticPr fontId="2" type="noConversion"/>
  </si>
  <si>
    <t>=50*(1+10%)</t>
    <phoneticPr fontId="2" type="noConversion"/>
  </si>
  <si>
    <t>2019 adjusted quota is 55t (=50+50*10%) due to the underage of 2017 exceeding 10% of 2019 initial catch limit.</t>
    <phoneticPr fontId="2" type="noConversion"/>
  </si>
  <si>
    <t>USA</t>
  </si>
  <si>
    <t>* Adjusted limit = initial limit + available balance (not to exceed 25% of initial quota)</t>
  </si>
  <si>
    <t>Adjusted limit for 2016 = 527 +131.75 = 658.75 t</t>
  </si>
  <si>
    <t>Adjusted limit for 2017 = 527 +131.75 = 658.75 t</t>
  </si>
  <si>
    <t>Adjusted limit for 2018 = 632.4 +131.75 = 764.15***</t>
  </si>
  <si>
    <t>Adjusted limit for 2019 = 632.4 +158.1 = 790.5</t>
  </si>
  <si>
    <t>* Adjusted limit = (initial limit) - (any transfers) + (underharvest from previous year (capped at 15% of baseline))</t>
  </si>
  <si>
    <t>Adjusted limit for 2017 = 3907.0 - (25 t to Mauritania) + (0.15)(3907) = 4468.05 t</t>
  </si>
  <si>
    <t>Adjusted limit for 2018 = 3907.0 + (0.15)(3907) = 4493.05 t</t>
  </si>
  <si>
    <t>Adjusted limit for 2019 = 3907.0 + (0.15)(3907) = 4493.05 t</t>
  </si>
  <si>
    <t>* Adjusted limit = (initial limit) - (any transfers) + (underharvest from previous year (capped at 100 t WW))</t>
  </si>
  <si>
    <t>Adjusted limit for 2017 = 100.0 - (100 t (Namibia (50 t), Cote d'Ivoire (25 t), Belize (25 t)) + 99.94</t>
  </si>
  <si>
    <t>Adjusted limit for 2018 = 100.0 - (100 t (Namibia (50 t), Cote d'Ivoire (25 t), Belize (25 t)) + 99.94</t>
  </si>
  <si>
    <t>Adjusted limit for 2019 = 100.0 - (100 t (Namibia (50 t), Cote d'Ivoire (25 t), Belize (25 t)) + 99.94</t>
  </si>
  <si>
    <t>Adjusted limit for 2016 = 1083.79 + (.1)(1083.79) = 1192.17 t</t>
  </si>
  <si>
    <t>Adjusted limit for 2017 = 1083.79 + (.1)(1083.79) = 1192.17 t</t>
  </si>
  <si>
    <t>Adjusted limit for 2018 = 1272.86 + (.1)(1083.79) = 1381.24 t***</t>
  </si>
  <si>
    <t>Adjusted limit for 2019 = 1272.86 + (.1)(1272.86) = 1400.15 t</t>
  </si>
  <si>
    <t>(200/4)+200</t>
  </si>
  <si>
    <t>(200-184.4)+200</t>
  </si>
  <si>
    <t>(200*0.25)+200</t>
  </si>
  <si>
    <t xml:space="preserve">Underage up to 25% of the initial catch quota has been carried over biennially. </t>
  </si>
  <si>
    <t>-</t>
  </si>
  <si>
    <t>(150*0.25)+140</t>
  </si>
  <si>
    <t>(140*0.25)+140</t>
  </si>
  <si>
    <t>50-4.4</t>
  </si>
  <si>
    <t>50+15.34</t>
  </si>
  <si>
    <t>50+(50*0.5)</t>
  </si>
  <si>
    <t>50+10.7</t>
  </si>
  <si>
    <t>50-2.63</t>
  </si>
  <si>
    <t>50+(50*0.3)</t>
  </si>
  <si>
    <t>(1983*0.3)+1983-20</t>
  </si>
  <si>
    <t>(1983*0.3)+1486</t>
  </si>
  <si>
    <t>(1486*0.15)+1486</t>
  </si>
  <si>
    <t xml:space="preserve">20 tons of Bigeye catch quota had been annually transferred to Ghana until 2015.  </t>
  </si>
  <si>
    <t>(35*0.2)+35</t>
  </si>
  <si>
    <t>Underage up to 20% of the initial catch quota has been carried over to following year.</t>
  </si>
  <si>
    <t>(20*0.2)+20</t>
  </si>
  <si>
    <t>Units : t</t>
  </si>
  <si>
    <t>CHINA</t>
  </si>
  <si>
    <t>Describe the rationale used in the application of over-underharvest:</t>
  </si>
  <si>
    <t>Adjusted Lmit=initial limt +available balance(not to exceed 25% of initial quota)</t>
  </si>
  <si>
    <t>Adjusted limit for 2019=initial quota(200)+200*25%(not exceeding the balance of 2017)=220.05</t>
    <phoneticPr fontId="2" type="noConversion"/>
  </si>
  <si>
    <t>NOTE:pay back plan for the over-harvest of 2015: pay back 12t in 2017, pay back 12t in 2018, pay back 12.726t in 2019</t>
    <phoneticPr fontId="2" type="noConversion"/>
  </si>
  <si>
    <t>Adjusted Lmit=initial limt +available balance(not to exceed 30%of initial quota)</t>
    <phoneticPr fontId="2" type="noConversion"/>
  </si>
  <si>
    <t>Adjusted Lmit=initial limt +available balance(not to exceed 15% of initial quota)</t>
    <phoneticPr fontId="2" type="noConversion"/>
  </si>
  <si>
    <t>Adjusted limite for 2019=initial quota(5376)+5376*15%+1000 ton transfer from japan=7182.4</t>
    <phoneticPr fontId="2" type="noConversion"/>
  </si>
  <si>
    <t>n.a.</t>
  </si>
  <si>
    <t>No adjustment for 2015</t>
  </si>
  <si>
    <t>Adjusted limit for 2019=initial quota(10)+10*20%=12</t>
  </si>
  <si>
    <t>Insuffisance d'activité lié au déploiement de l'armement</t>
  </si>
  <si>
    <t>BRAZIL</t>
  </si>
  <si>
    <t>BELIZE</t>
  </si>
  <si>
    <t>Limit + Underages + Transfer</t>
  </si>
  <si>
    <t xml:space="preserve">2016 = Initial allocation + transfers (from Senegal 125t, Japan 35t, Chinese Taipe 35t, and the EU 295t) + underage from 2014 (202.2t - max. carry forward) </t>
  </si>
  <si>
    <t xml:space="preserve">2017 = Initial allocation + transfers (from Senegal 150t, Japan 35t, Chinese Taipe 35t, and the EU 300t) + underage from 2015 (202.2t - max. carry forward) </t>
  </si>
  <si>
    <t>2018 = Initial allocation + transfers (from Senegal 150t, Japan 35t, Chinese Taipe 35t, and the EU 300t) + underage from 2016 (202.2t - max. carry forward)</t>
  </si>
  <si>
    <t>CANADA</t>
  </si>
  <si>
    <t>TRINIDAD&amp;TOBAGO</t>
  </si>
  <si>
    <t>JAPAN</t>
  </si>
  <si>
    <t xml:space="preserve">JAPAN-N-ALB:is to endeavour to limit North Albacore catches to no more than 4% of its total bigeye tuna catch. </t>
  </si>
  <si>
    <t>For reference</t>
  </si>
  <si>
    <t>% (N-ALB/BET)</t>
  </si>
  <si>
    <t>Year:</t>
  </si>
  <si>
    <t>Catch</t>
  </si>
  <si>
    <t>Describe the rationale used in the application of overage / underage</t>
  </si>
  <si>
    <t xml:space="preserve">JAPAN-S-ALB up to 2013: is to endeavour to limit its total South Albacore catches to no more than 4% of its total bigeye tuna catch in South of 5 degrees North. </t>
  </si>
  <si>
    <t xml:space="preserve">JAPAN-S-ALB: 2014 adjusted limit included 50t transferred from Namibia, 220t transferred from Uruguay and 100t transferred from  Brazil
. </t>
  </si>
  <si>
    <t xml:space="preserve">JAPAN-S-ALB: 2015 adjusted limit included 100t transferred from Brazil amd 100t transferred from South Africa.
. </t>
  </si>
  <si>
    <t>JAPAN-S-ALB: 2016 adjusted limit included 25% of the original limit as carry-over from 2014 underage[Rec.13-06]</t>
  </si>
  <si>
    <t>JAPAN-S-ALB: 2017 adjusted limit included 100t transferred from Brazil amd 100t transferred from Uruguay.[Rec.16-07]</t>
  </si>
  <si>
    <t>JAPAN-S-ALB: 2018 adjusted limit included 100t transferred from Brazil amd 100t transferred from Uruguay.[Rec.16-07]</t>
  </si>
  <si>
    <t>JAPAN-N-SWO: adjusted limit in 2011 excluded 50 t transfered to Morocco. [Rec. 10-02].</t>
  </si>
  <si>
    <t>JAPAN-N-SWO: adjusted limit in 2012 and 2013 excluded 50 t transfered to Morocco, and 35 transferred to Canada. [Rec. 11-02].</t>
  </si>
  <si>
    <t>JAPAN-N-SWO: adjusted limit in 2014, 2015 and 2016 excluded 50 t transfered to Morocco, and 35 transferred to Canada, and 25 transferred to Mauritania. [Rec. 13-02].</t>
  </si>
  <si>
    <t>JAPAN-N-SWO: adjusted limit in 2017 excluded 100 t transfered to Morocco, and 35 transferred to Canada, and 25 transferred to Mauritania. [Rec. 16-03].</t>
  </si>
  <si>
    <t>JAPAN-N-SWO: underage may be added to the subsequent years' catch limits. [Rec. 13-02][Rec. 16-03].</t>
  </si>
  <si>
    <t>JAPAN-N-SWO:400 t of its swordfish catch taken from the South Atlantic management area was counted against its uncaught catch limits in 2015.[Rec.13-02]</t>
  </si>
  <si>
    <t>JAPAN-E-BFT: adjusted quota in 2015 included 45t transferred from Korea.[Rec.14-04]</t>
  </si>
  <si>
    <t>JAPAN-E-BFT: adjusted quota in 2016 excluded 25 t transfered to Korea.[Rec.14-04]</t>
  </si>
  <si>
    <t>JAPAN-E-BFT: adjusted quota in 2017 excluded 20 t transfered to Korea.[Rec.14-04]</t>
  </si>
  <si>
    <t>JAPAN-E-BFT: Current catch for 2017 includes 5.3 t of dead discard as reported in Task I data.</t>
  </si>
  <si>
    <t xml:space="preserve">JAPAN-BIGEYE: adjusted limit of Japan in 2011excludes 3000 t transferred to China and 800 t transferred to Korea [Rec. 10-01].  </t>
  </si>
  <si>
    <t xml:space="preserve">JAPAN-BIGEYE: adjusted limit of Japan in 2012,2013, and 2014 excluded 3000 t transferred to China and 70 t transferred to Ghana [Rec. 11-01].  </t>
  </si>
  <si>
    <t>JAPAN-BUM: the 2015 adjusted limit included 10% of the initial limit as carry-over from 2013 underage[Rec.12-04]</t>
  </si>
  <si>
    <t>JAPAN-BUM: the 2016 adjusted limit included 10% of the initial limit as carry-over from 2014 underage[Rec.15-05].</t>
  </si>
  <si>
    <t xml:space="preserve">Figures up to 2012 are for only White Marlin[Rec.6-9 &amp; 11-07] </t>
  </si>
  <si>
    <t>Figures from 2013 are for both White Marlin and Spearfish[Rec.12-04]</t>
  </si>
  <si>
    <t>BARBADOS</t>
  </si>
  <si>
    <t xml:space="preserve">Stock: </t>
  </si>
  <si>
    <t xml:space="preserve">Flag: </t>
  </si>
  <si>
    <t>SOUTH AFRICA</t>
  </si>
  <si>
    <t>*Belize is carrying forward its underages of 1.56t of its unused catch limit in 2017 to be used in 2019</t>
  </si>
  <si>
    <t xml:space="preserve">*Belize is carrying forward 25% of its initial catch limit (62.5t) from its balance of 93.47t in 2017 to be used in 2019 </t>
  </si>
  <si>
    <t>*Belize is carrying forward 40% of its initial catch limit (65t) from its balance of 197.92t in 2017 to be used in 2019.</t>
  </si>
  <si>
    <t>*Belize is carrying forward 20% of its initial catch limit (25t) from its balance of 108.99t in 2017 to be used in 2019.</t>
  </si>
  <si>
    <t>JAPAN-W-BFT:The underharvest may be added to next year to 10% of the initial quota allocation[Rec.13-09、14-05、17-06]</t>
  </si>
  <si>
    <t>Japan's 2019 adjusted limit = 17,696(Limit)+2,654.4(2018 carry over(17696*15%)(Para8 of Rec16-01)-1000(transfer to China(Para7 of Rec.16-01))-70(transfer to Ghana(Para7 of Rec.16-01))</t>
  </si>
  <si>
    <t>JAPAN-WHM・SPF: the 2015 adjusted limit included 20% of the initial limit as carry-over from 2013 underage[Rec.12-04]</t>
  </si>
  <si>
    <t>JAPAN-WHM・SPF: the 2016 adjusted limit included 20% of the initial limit as carry-over from 2014 underage[Rec.12-04][Rec.15-05]</t>
  </si>
  <si>
    <t>JAPAN-WHM・SPF: the 2017 adjusted limit included 20% of the initial limit as carry-over from 2015 underage[Rec.12-04][Rec.15-05]</t>
  </si>
  <si>
    <t>(1486*0.15)+1486-223</t>
  </si>
  <si>
    <t>(1486*0.15)+1486 - 223</t>
  </si>
  <si>
    <t>SENEGAL</t>
  </si>
  <si>
    <t xml:space="preserve">Déficit de collecte au niveau des sites de débarquement de la pêche artisanale. </t>
  </si>
  <si>
    <t>le calcul du quota ajusté 2019 prend en compte le solde  MAX de 2018 (Limite 2018 * 0.2 = 417*0.2=83.4) auquel est ajouté la limite 2019 (417 t) ce qui donne (83.4+417=500.4) t</t>
  </si>
  <si>
    <t>Japan's 2018 adjusted limit = BET 2018 catch * 4%(Para6 of Rec16-06)</t>
    <phoneticPr fontId="9"/>
  </si>
  <si>
    <t>JAPAN-S-ALB: adjusted limit from 2019 to 2020 included 100t transferred from Brazil amd 100t transferred from South Africa [Rec.16-07].</t>
    <phoneticPr fontId="5" type="noConversion"/>
  </si>
  <si>
    <t>JAPAN-S-ALB: Japan's underage in 2016 was carried over to the 2018 initial limit [Rec.16-07]</t>
    <phoneticPr fontId="9"/>
  </si>
  <si>
    <t>JAPAN-S-ALB: Japan's overage in 2017 was deducted from the 2019 initial limit [Rec.16-07]</t>
    <phoneticPr fontId="9"/>
  </si>
  <si>
    <t>JAPAN-S-ALB: Japan's underage in 2018 was carried over to the 2020 initial limit [Rec.16-07]</t>
    <phoneticPr fontId="9"/>
  </si>
  <si>
    <t>Japan's 2019 adjusted limit = 1355t(Limit)-418.7t(2017 overage(Para5 of Rec16-07))+100t(transfer from Brasil (Para3 of Rec.16-07))+100t(transfer from S.Africa(Para3 of Rec.16-07))+800t(transfer from S.Africa(circular#888/2019))</t>
    <phoneticPr fontId="9"/>
  </si>
  <si>
    <t>JAPAN-N-SWO: As Mauritania did not submit its North Atlantic Swordfish development plan in 2018, the transfers provided for in Rec.17-02 are considered null.</t>
    <phoneticPr fontId="5" type="noConversion"/>
  </si>
  <si>
    <t>JAPAN-N-SWO: adjusted limit from 2019 to 2020 excluded 100t transfered to Morocco, and 35t transferred to Canada , and 25t transferred to Mauritania [Rec. 17-02].</t>
    <phoneticPr fontId="5" type="noConversion"/>
  </si>
  <si>
    <t>Japan's 2019 adjusted limit = 901t(Limit)+340.2t(2017 carry over(Para1(3) of Rec17-03)-50t(transfer to Namibia(Para5 of Rec.17-03))</t>
    <phoneticPr fontId="9"/>
  </si>
  <si>
    <t>Japan's 2020 adjusted limit  = 901t(Limit)+600t(2018 carry over(Para1(3) of Rec17-03))-50t(transfer to Namibia(Para5 of Rec.17-03))</t>
    <phoneticPr fontId="9"/>
  </si>
  <si>
    <t>JAPAN-E-BFT: current catch for 2018 includes 7.42 t of dead discard.</t>
    <phoneticPr fontId="5" type="noConversion"/>
  </si>
  <si>
    <t>Japan's 2019 adjusted limit = 2544.00t(Limit)(Para5 of Rec18-02)</t>
    <phoneticPr fontId="9"/>
  </si>
  <si>
    <t>JAPAN-W-BFT: current catch for 2018 includes 1.10 t of dead discard.</t>
    <phoneticPr fontId="5" type="noConversion"/>
  </si>
  <si>
    <t>Japan's 2018 adjusted limit =15415.88(It was deducted by the "pay back" provision  in para 2(a) of Rec 16-01.)</t>
    <phoneticPr fontId="9"/>
  </si>
  <si>
    <t>JAPAN-BIGEYE: current catch for 2018 includes 26.09 t of dead discard.</t>
    <phoneticPr fontId="5" type="noConversion"/>
  </si>
  <si>
    <t>JAPAN-BIGEYE: the 2015 adjusted limit included 30% of the initial limit as carry-over from 2014 underage and excluded 3000 t  transferred to China and 70 t transferred to Ghana [Rec. 14-01].</t>
  </si>
  <si>
    <t>JAPAN-BIGEYE: the 2016 adjusted limit included 30% of the initial limit as carry-over from 2015 underage and excluded 1000 t transferred to China and 70 t transferred to Ghana. [Rec. 14-01][Rec.15-01]</t>
  </si>
  <si>
    <t>JAPAN-BIGEYE: the 2017 adjusted limit included 15% of the initial limit as carry-over from 2016 underage and excluded 1000 t  transferred to China and 70 t transferred to Ghana [Rec. 16-01]</t>
  </si>
  <si>
    <t>JAPAN-BIGEYE: the 2018 adjusted limit included 15% of the initial limit as carry-over from 2017 underage and excluded 1000 t  transferred to China and 70 t transferred to Ghana [Rec. 16-01]</t>
  </si>
  <si>
    <t>JAPAN-BUM: the 2017 adjusted limit included 10% of the initial limit as carry-over from 2015 underage[Rec.15-05].</t>
    <phoneticPr fontId="9"/>
  </si>
  <si>
    <t>Japan's 2018 adjusted limit = 390t(Limt)+16.6t(2016 carry over(Para3 of Rec15-05))</t>
    <phoneticPr fontId="9"/>
  </si>
  <si>
    <t>Japan's 2018 adjusted limit =35t(Limt)+7t(2016 carry over(35*20%)(Para3 of Rec15-05))</t>
    <phoneticPr fontId="9"/>
  </si>
  <si>
    <t>2017*</t>
  </si>
  <si>
    <t>2018**</t>
  </si>
  <si>
    <t>2019**</t>
  </si>
  <si>
    <t>50+(50*0.4)</t>
  </si>
  <si>
    <t>CÔTE D'IVOIRE</t>
  </si>
  <si>
    <t>200+(200*0.5)</t>
  </si>
  <si>
    <t>200+(200*0.4)</t>
  </si>
  <si>
    <t>GHANA</t>
  </si>
  <si>
    <t>*transfer of 200t from Chinese Taipei to Belize in 2019 and 2020.</t>
  </si>
  <si>
    <t>Les prises accessoires n'ont pas encore été arretées ,</t>
  </si>
  <si>
    <t>*Belize is carrying forward its underages of 1.98t of its unused catch limit in 2018 to be used in 2020.</t>
  </si>
  <si>
    <t>*transfer of 75t from Trinidad &amp; Tobago to Belize in 2019 and 2020.</t>
  </si>
  <si>
    <t>*Belize is carrying forward 40% of its initial catch limit (52t) from its balance of 111.68t in 2018 to be used in 2020.</t>
  </si>
  <si>
    <t>*Belize is carrying forward 20% of its initial catch limit (25t) from its balance of 172.28t in 2018 to be used in 2020.</t>
  </si>
  <si>
    <t>*transfer of 25t from the United States of America to Belize in 2019 and 2020.</t>
  </si>
  <si>
    <t>*transfer of 50t from Brazil to Belize in 2019 and 2020.</t>
  </si>
  <si>
    <t>*transfer of 50t from Uruguay to Belize in 2019 and 2020.</t>
  </si>
  <si>
    <t>EL SALVADOR</t>
  </si>
  <si>
    <t>2019: The 2018 underage is greater than the maximum amount that can be carried over to 2019 (&lt;= 40% of original catch limit); hence the amount carried over is 50 t (0.4*125).
Additionally, 75 t were transferred to Belize; hence 75 is subtracted from the sum of the initial catch limit and the allowed carry over, to arrive at the final adjusted limit of 100 t.</t>
  </si>
  <si>
    <t>NORWAY</t>
  </si>
  <si>
    <t>MIN((A-B), 5% * A)</t>
  </si>
  <si>
    <t>Limit 2021 + 25%  2019 limit</t>
  </si>
  <si>
    <t xml:space="preserve">Limit 2021 +  2019 balance </t>
  </si>
  <si>
    <t>Limit 2020 + 2018 balance + 300¹ t</t>
  </si>
  <si>
    <t>Limit 2021 + 2019 balance</t>
  </si>
  <si>
    <t>2020 Limit + 0.1*2018 limit - 2t</t>
  </si>
  <si>
    <t>2021 Limit + 0.1*2019 limit -2t</t>
  </si>
  <si>
    <t>2021 limit + 0.10*limit 2019</t>
  </si>
  <si>
    <t>JAPAN-N-ALB:Japan's 2019 adjusted limit = BET 2019 catch * 4% (Para6 of Rec16-06)</t>
  </si>
  <si>
    <t>JAPAN-S-ALB: Japan's underage in 2019 was carried over to the 2021 initial limit [Rec.16-07]</t>
  </si>
  <si>
    <t>JAPAN-E-BFT: current catch for 2019 includes  9.25t of dead discard.</t>
  </si>
  <si>
    <t>JAPAN-E-BFT:Japan's 2020 adjusted limit = 2819.00t(Limit)(Para5 of Rec19-04)+20.27t(2019 carry over (Para7 of Rec 19-04))</t>
  </si>
  <si>
    <t>JAPAN-W-BFT:Japan's 2019 adjusted limit = 407.48t(Limit)+1.73t(2018 carry over(Para7a of Rec17-06 )</t>
  </si>
  <si>
    <t>JAPAN-W-BFT: current catch for 2019 includes 0.21 t of dead discard.</t>
  </si>
  <si>
    <t>JAPAN-W-BFT:Japan's 2020 adjusted limit = 407.48t(Limit)+2.92t(2019 carry over(Para7a of Rec17-06 )</t>
  </si>
  <si>
    <t>JAPAN-BIGEYE: current catch for 2019 includes  14.10t of dead discard.</t>
  </si>
  <si>
    <t>JAPAN-BIGEYE: Adjusted catch limit for 2017 does not take into account of the “pay back” stipulated in para 2(a) of Rec 16-01.</t>
  </si>
  <si>
    <t>JAPAN-BUM:Japan's 2019 adjusted limit = 390t(Limit)+39t(2017 carry over(390*10%)(Para3 of Rec15-05))</t>
  </si>
  <si>
    <t>JAPAN-BUM:Japan's 2020 adjusted limit = 328.1t(Limit)+39t(2018 carry over(390*10%)(Para3 of Rec18-04))</t>
  </si>
  <si>
    <t>JAPAN-BUM:Japan's 2021 adjusted limit = 328.1t(Limit)+39t(2019 carry over(390*10%)(Para3 of Rec18-04))</t>
  </si>
  <si>
    <t>JAPAN-WHM・SPF:Japan's 2019 adjusted limit =35t(Limit)+7t(2017 carry over(35*20%)(Para3 of Rec15-05))</t>
  </si>
  <si>
    <t>JAPAN-WHM・SPF:Japan's 2020 adjusted limit =35t(Limit)+7t(2018 carry over(35*20%)(Para3 of Rec18-04))</t>
  </si>
  <si>
    <t>JAPAN-WHM・SPF:Japan's 2021 adjusted limit =35t(Limit)+7t(2019 carry over(35*20%)(Para3 of Rec18-04))</t>
  </si>
  <si>
    <t>8.36+140</t>
  </si>
  <si>
    <t>2020**</t>
  </si>
  <si>
    <t>50+(50*0.2)</t>
  </si>
  <si>
    <t>Until 2016, underage up to 30% of the initial catch quota was carried over to the following year.</t>
  </si>
  <si>
    <t>Since 2017, underage up to 15% of the initial catch quota was carried over to the following year.</t>
  </si>
  <si>
    <t>113.66+25+25</t>
  </si>
  <si>
    <t>136.46+25+20</t>
  </si>
  <si>
    <t>160+50</t>
  </si>
  <si>
    <t>184+50</t>
  </si>
  <si>
    <t>200+50+1.57</t>
  </si>
  <si>
    <t>In 2016, Egypt and Japan transferred 25t of their quota to Korea respectively.</t>
  </si>
  <si>
    <t>In 2017, Egypt and Japan transferred 25t and 20t of their quota to Korea respectively.</t>
  </si>
  <si>
    <t>Since 2018, Chinese Taipei transferred 50t of its quota to Korea every year.</t>
  </si>
  <si>
    <t xml:space="preserve">Korea carried forward its unused quota of 2019(1.57t) to 2020. </t>
  </si>
  <si>
    <t>(35*0.2)+29.4</t>
  </si>
  <si>
    <t>45+(0.4 x 45)=18t</t>
  </si>
  <si>
    <t>Adjusted limit for 2020 = 632.4 +158.1 = 790.5</t>
  </si>
  <si>
    <t>Adjusted limit for 2020 = 3907.0 + (0.15)(3907) = 4493.05 t</t>
  </si>
  <si>
    <t>Adjusted limit for 2020 = 100.0 - (100 t (Namibia (50 t), Cote d'Ivoire (25 t), Belize (25 t)) + 99.94</t>
  </si>
  <si>
    <t>Adjusted limit for 2020 = 1272.86 + (.1)(1272.86) = 1400.15 t</t>
  </si>
  <si>
    <t>2019= (70)+(3)</t>
  </si>
  <si>
    <t>2015=(25)+(-5)+(5)</t>
  </si>
  <si>
    <t>2016=(25)+(-1)</t>
  </si>
  <si>
    <t>2017=No se aplican modificaciones</t>
  </si>
  <si>
    <t>2018=(25)+(4)</t>
  </si>
  <si>
    <t>2019= (25) + (5), 20% Cuota (25t)</t>
  </si>
  <si>
    <t>2015=(70)+(-15)</t>
  </si>
  <si>
    <t>2016=(70)+(-17)+(3)</t>
  </si>
  <si>
    <t>2017=(70)+(-9)</t>
  </si>
  <si>
    <t>2018=(70)+(1)</t>
  </si>
  <si>
    <t>le calcul du quota ajusté 2020 prend en compte le solde  MAX de 2019 (Limite 2019 * 0.2 = 417*0.2=83.4) auquel est ajouté la limite 2020 417 t) ce qui donne (83.4+417=500.4) t</t>
  </si>
  <si>
    <t>200+(0.25*200)</t>
  </si>
  <si>
    <t>2160+(0.25*2160)</t>
  </si>
  <si>
    <t>2160+(0.25*2160)-100</t>
  </si>
  <si>
    <t>2017-2019: 100t transferred to Japan</t>
  </si>
  <si>
    <t>50+(0.5*50)</t>
  </si>
  <si>
    <t>50+(0.5*50)-25</t>
  </si>
  <si>
    <t>50+(0.4*50)-25</t>
  </si>
  <si>
    <t xml:space="preserve">These limits do not apply to Brazil, since Paragraph 9, of Reccomendation 19-05 establishes that: "For CPCs that prohibit dead discards, the landings of blue marlin and white marlin/spearfish that are dead when brought alongside the vessel and that are not sold or entered into commerce shall not count against the limits established in paragraph 2, on the condition that such prohibition be clearly explained in their Annual Report". Brazil prohibited dead discards and selling of white marlins by Normative Instruction 12, of July 14, 2005. </t>
  </si>
  <si>
    <t>3940+(0.3*3940)-50</t>
  </si>
  <si>
    <t>3940+(0.2*3940)-50</t>
  </si>
  <si>
    <t>* Adjusted limit 2019 = initial limit 2019 (4400) + available balance 2017 (not to exceed 25% of initial quota) (1100) - 900t transferred to Japan</t>
  </si>
  <si>
    <t>* Adjusted limit 2020 = initial limit 2020 (4400) + available balance 2018(not to exceed 25% of initial quota) (1100) - 600t transferred to Japan</t>
  </si>
  <si>
    <t>*Adjusted Limit=initial limt +available balance(not to exceed 25% of initial quota)</t>
  </si>
  <si>
    <t>50 + Balance 2018</t>
  </si>
  <si>
    <t>USA: the 2016-2020 adjusted quota reflects transfers to Namibia (50 t), Belize (25 t) and Côte d'Ivoire (25 t) in accordance with Rec. 16-04/17-03.</t>
  </si>
  <si>
    <t>*Underage up to 30% of the initial catch quota has been carried over biennially Rec.15-03 and 16-04. Quota calculated up to 2017</t>
  </si>
  <si>
    <t>**Underage up to 20% of the initial catch quota has been carried over biennially Rec.17-03. Quota calculated from 2018 on</t>
  </si>
  <si>
    <t>125+(125*0.3)</t>
  </si>
  <si>
    <t>125+(125*0.3)+25</t>
  </si>
  <si>
    <t>125+(125*0.2)+25</t>
  </si>
  <si>
    <t>CHINA: In accordance with paragraph 4b of Rec. 16-07, the 25 percent carryover request made by China at the 2017 regular meeting of the Commission has been completed using their underage from 2016 of 30.63 t and 19.37 t of the total underage of the TAC from 2016.</t>
  </si>
  <si>
    <t>Adjusted limit for 2020=initial quota(200)+200*25%(not exceeding the balance of 2018)=250</t>
  </si>
  <si>
    <t>Adjusted limit for 2019=initial quota(100)-12.726(payback quota)+available balance of 2017 (6.69t)=93.964</t>
  </si>
  <si>
    <t>Adjusted limit for 2019=initial quota(313)+313*20%(carryover 2017)=326.76</t>
  </si>
  <si>
    <t>Adjusted limit for 2020=initial quota(313)+313*20%(carryover 2018)= 313+37.05</t>
  </si>
  <si>
    <t>Adjusted limit for 2019=initial limit (45) + available balance of 2017 (not exceeding 20% of 45)=50.27</t>
  </si>
  <si>
    <t>Adjusted limit for 2020=initial limit (37.90) + available balance of 2018 (not exceeding 20% of 37.90)= 41.34t</t>
  </si>
  <si>
    <t>Adjusted limit for 2020=initial quota(10)+10*20%=12</t>
  </si>
  <si>
    <t>Regarding Rec.17-04 amends para.4 of Rec.16-06, Chinese Taipei is allocated 3926 t as its 2020 initial catch quota.</t>
  </si>
  <si>
    <t>2020 adjusted quota is 11550.00 t (=9400*(1+0.25)-200) due to the inclusion of 2018 underage and 2020 initial catch quota and the deduction of transfer of 200t to Japan</t>
  </si>
  <si>
    <t>=9400+2350-200</t>
  </si>
  <si>
    <t>JAPAN-S-ALB: 2020 adjusted limit = 1,355 t(Limit)+239.25 t(2018 carry over (para 4b of Rec. 16-07))+99.5t(complement from underage from the total TAC(Para4b of Rec.16-07)))+100 t(transfer from Brasil (para 3 of Rec. 16-07))+100 t(transfer from S.Africa(para 3 of Rec. 16-07))+500t(transfer from S.Africa (circular#1304/2020))+200t(transfer from Chinese Taipei  (circular#4313/2020))+100t(transfer from Brazil (circular#4498/2020))</t>
  </si>
  <si>
    <t>2019 adjusted quota is 343 t (=270+270*40%-35) due to the underage of 2017 exceeding 40% of 2019 initial catch quota and a transfer of 35 t to Canada.</t>
  </si>
  <si>
    <t>Pursuant to Rec.17-02, Chinese Taipei may carryover to the maximum of 40% of its 2018 underage in 2020.</t>
  </si>
  <si>
    <t>2020 adjusted quota is 323 t (=270+270*40%-35-20) due to the inclusion of 2018 underage and 2020 initial catch quota and the deduction of respective transfers of 35 t to Canada and 20 t to Morocco.</t>
  </si>
  <si>
    <t>=270*(1+40%)-35-20</t>
  </si>
  <si>
    <t>=459*(1+20%)</t>
  </si>
  <si>
    <t>According to Rec.17-03, Chinese Taipei may carryover to the maximum of 20% of its 2019 underage in 2020.</t>
  </si>
  <si>
    <t>2020 adjusted quota is 550.8 t (=459*(1+20%)) due to the inclusion of 2019 underage and 2020 initial catch quota.</t>
  </si>
  <si>
    <t>=90-50</t>
  </si>
  <si>
    <t>2020 adjusted quota is 40 t (=90-50) due to a transfer of 50 t to Korea.</t>
  </si>
  <si>
    <t>2020 adjusted quota is 11201.26 t = 9226.41 (initial quota) + 11679*15% (carry over of 15% of 2018 initial quota pursuant to Rec.16-01) +223 (transfer from Korea)</t>
  </si>
  <si>
    <t>=126.20+150(10%)</t>
  </si>
  <si>
    <t xml:space="preserve">2020 adjusted quota is 141.2 t = 126.2 (initial landing limit in 2020) + 150*10% (2018 carry over pursuant to Rec. 18-04) </t>
  </si>
  <si>
    <t>2020 adjusted quota is 55 t = 50 (initial landing limit in 2020) + 50*10% (2018 carry over pursuant to Rec. 18-04.)</t>
  </si>
  <si>
    <t>FRANCE SPM</t>
  </si>
  <si>
    <t xml:space="preserve">Pas de navire </t>
  </si>
  <si>
    <t>1 : limite 2015 + 50% quota original + 40 tonnes transférées de l'Union Européenne (REC 13-02)</t>
  </si>
  <si>
    <t>2 : limite 2016 + 50% quota original + 40 tonnes transférées de l'Union Européenne (REC 13-02)</t>
  </si>
  <si>
    <t>3 : limite 2017 + 50% limite de capture initiale + 40 tonnes transférées de l'Union Européenne     (REC 13-02 et REC 16-03) + 12,75 tonnes transférées du Vénézuela (accord sur la base de l'article 6     "transferts" de la recommandation 2016 ICCAT sur la préservation de l'espadon de   l'Atlantique Nord : en vertu du paragraphe 2, le Vénézuela peut transférer à la France SPM     15% de son allocation soit 85tx15%=12,75t)=40+(40*0.5)+40+12.75=112.75</t>
  </si>
  <si>
    <t>1 : limite 2015 + 100% quota de capture initial (REC 12-02)</t>
  </si>
  <si>
    <t>2 : limite 2016 + 100% quota de capture initial (REC 14-05)</t>
  </si>
  <si>
    <t>3 : limite 2017 + Solde 2016</t>
  </si>
  <si>
    <t>4 : limite 2018 + solde 2017</t>
  </si>
  <si>
    <t>*Belize is carrying forward 25% of its initial catch limit 2018 (25% 200t = 50t) from its balance of 64.86t in 2018 to be used in 2020.</t>
  </si>
  <si>
    <t>215+(0.25*200)</t>
  </si>
  <si>
    <t>Adjusted limited for 2019=215(initial quota)+200*25%(carryover 2017)=265</t>
  </si>
  <si>
    <t>Adjusted limited for 2020=215(initial quota)+200*25%(carryover 2018)=265</t>
  </si>
  <si>
    <t>RUSSIA</t>
  </si>
  <si>
    <t xml:space="preserve">JAPAN-BIGEYE:Japan's 2020 adjusted limit is 13,079.84t (after transferring 600t to China and 300t to EU). </t>
  </si>
  <si>
    <t>=459+100.9</t>
  </si>
  <si>
    <t>=459+87.80</t>
  </si>
  <si>
    <t>2019 adjusted quota is 546.8 t (=459+87.80) due to the inclusion of 2018 underage.</t>
  </si>
  <si>
    <t>SAINT VINCENT AND THE GRENADINES</t>
  </si>
  <si>
    <t>=200-1.51+100</t>
  </si>
  <si>
    <t>=200+100</t>
  </si>
  <si>
    <t>=200*(1+25% (máx 6.89 from 2016))+100</t>
  </si>
  <si>
    <t>* Adjusted limit = initial limit + available balance (not to exceed 25% of initial quota of the year where the adjustment comes)</t>
  </si>
  <si>
    <t>Japan's 2015 adjusted limit = 842t(Limit)+842*15%-50t(transfer to Morocco(Para2 of Rec.17-02))-35t(transfer to Canada(Para2 of Rec.17-02))-25t(transfer to Mauritania(Para2 of Rec.17-02))</t>
  </si>
  <si>
    <t>Japan's 2016 adjusted limit = 842t(Limit)+406.20 (CO 2015) - 50t(transfer to Morocco(Para2 of Rec.17-02))-35t(transfer to Canada(Para2 of Rec.17-02))-25t(transfer to Mauritania(Para2 of Rec.17-02))</t>
  </si>
  <si>
    <t>Japan's 2017 adjusted limit = 842t(Limit)+740.50 (CO 2016) - 100t(transfer to Morocco(Para2 of Rec.17-02))-35t(transfer to Canada(Para2 of Rec.17-02))-25t(transfer to Mauritania(Para2 of Rec.17-02))</t>
  </si>
  <si>
    <t>Japan's 2018 adjusted limit = 842t(Limit)+842*15%-100t(transfer to Morocco(Para2 of Rec.17-02))-35t(transfer to Canada(Para2 of Rec.17-02))</t>
  </si>
  <si>
    <t>Japan's 2019 adjusted limit = 842t(Limit)+544t(2018 carry over(Para4 of Rec17-02))-100t(transfer to Morocco( Para2 of Rec.17-02))-35t(transfer to Canada(Para2 of Rec.17-02))-25t(transfer to Mauritania(Para2 of Rec.17-02))</t>
  </si>
  <si>
    <t>Japan´s 2020 adjusted limit = 842 t(Limit)+831.01t(2019 carry over(para 4 of Rec. 17-02))-150 t(transfer to Morocco(para 1-a) of Rec. 19-03))-35 t(transfer to Canada(para 2 of Rec. 17-02))-25 t(transfer to Mauritania(para 2 of Rec. 17-02)).</t>
  </si>
  <si>
    <t>2019 = Initial allocation + transfers (from Senegal 125t, Japan 35t, Chinese Taipe 35t, and the EU 300t) + underage from 2017 (202.2t - max. carry forward)</t>
  </si>
  <si>
    <t>=3926+(3271.70*0.25)-200</t>
  </si>
  <si>
    <t>=(3926*1.25)-200</t>
  </si>
  <si>
    <t>2019 adjusted quota is 4443.93 t (=3926+(3271.70*0.25)-200)  due to the inclusion of 2017 underage and 2019 initial catch quota and the transfer of 200 t to Belize.</t>
  </si>
  <si>
    <t>2020 adjusted quota is 4607.5 t (=3926*(1+0.25)-100-200)  due to the inclusion of 2018 underage and 2020 initial catch quota and the deduction of the transfer of 200 t to Belize.</t>
  </si>
  <si>
    <t>=215+25% Quota 2017 (máx 3.80)</t>
  </si>
  <si>
    <t>=215+(MAX. 25% from 2018 quota= 50t)</t>
  </si>
  <si>
    <t>Chinese Taipei has transferred 100t to VCT from 2015 to 2018</t>
  </si>
  <si>
    <t>LIBERIA</t>
  </si>
  <si>
    <t>[1]</t>
  </si>
  <si>
    <t>[2]</t>
  </si>
  <si>
    <t>[3]</t>
  </si>
  <si>
    <t>[4]</t>
  </si>
  <si>
    <t>[1] = 2017 limit + 2016 Balance</t>
  </si>
  <si>
    <t>[2] = 2018 limit + 2017 Balance</t>
  </si>
  <si>
    <t>[3] = 2019 limit + 2018 Balance</t>
  </si>
  <si>
    <t>JAPAN-S-ALB: 2021 adjusted limit = 1,355 t(Limit)+338.75t(2019 carry over(1355*25%) (para 4a of Rec. 16-07))</t>
  </si>
  <si>
    <t>2020=58.9 + (Saldo Máx. 2019 = 10% Q2019) = 58.9 + 7</t>
  </si>
  <si>
    <t>2020= (25) + (5), 20% Cuota (25t)</t>
  </si>
  <si>
    <t>2021= (25) + (5), 20% Cuota (25t)</t>
  </si>
  <si>
    <t>200+(200*0.25)</t>
  </si>
  <si>
    <t>215+(200*0.25)</t>
  </si>
  <si>
    <t>*Belize is carrying forward 25% of its initial catch limit 2019 (25% 215t = 53.75t) from its balance of 200.47t in 2019 to be used in 2021. Receiving a transfer of ALB-N from Chinese Taipei: 200t</t>
  </si>
  <si>
    <t>*Belize is carrying forward 25% of its initial catch limit (62.5t) from its balance of 154.36t in 2019 to be used in 2021</t>
  </si>
  <si>
    <t>*Belize intends to use 52t of its underages from 2019 in 2021 (Rec. 17-02, par. 3); receiving a transfer of N-SWO from Trinidad &amp; Tobago: 75t (Rec. 17-02, par.2b).</t>
  </si>
  <si>
    <t>*Belize intends to use 25 t of its underages from 2019 in 2021 (Rec. 17-03, para 2); receiving a transfer of SWO-S from the United States: 25 t, Brazil: 50 t and Uruguay: 50 t (Rec. 17-03, para 5).</t>
  </si>
  <si>
    <t>JAPAN-SWO-S: adjusted limit in 2011, 2012,2013,2014,2015,2016,2017,2018, 2019, 2020 and 2021 excluded 50 t transfered to Namibia. [Rec.09-03][Rec.12-01][Rec.13-03][Rec.15-03][Rec.16-04][Rec.17-03]</t>
  </si>
  <si>
    <t>JAPAN-SWO-S: underage of 2010 may be carried over to 2012 up to 800t. [Rec. 09-03]</t>
  </si>
  <si>
    <t>JAPAN-SWO-S: overage of 2011 shall be deducted from 2013. [Rec. 09-03]</t>
  </si>
  <si>
    <t>JAPAN-SWO-S:Japan's underage in 2012 was carried over to the 2014 initial limit [Rec. 12-01]</t>
  </si>
  <si>
    <t>JAPAN-SWO-S: overage of 2013 shall be deducted from 2015. [Rec. 12-01]</t>
  </si>
  <si>
    <t>JAPAN-SWO-S:Japan's underage in 2014 was carried over to the 2016 initial limit [Rec. 13-03][Rec15-03]</t>
  </si>
  <si>
    <t>JAPAN-SWO-S:Japan's underage in 2015 was carried over to the 2017 initial limit [Rec.16-04]</t>
  </si>
  <si>
    <t>JAPAN-SWO-S:Japan's underage in 2016 was carried over to the 2018 initial limit [Rec.17-03]</t>
  </si>
  <si>
    <t>JAPAN-SWO-S: 400 t of its swordfish catch taken from the part of the South Atlantic management area was counted against its N-SWO uncaught quota in 2015.[Rec.13-02]</t>
  </si>
  <si>
    <t>JAPAN-SWO-S:Japan's 2021 adjusted limit  = 901t(Limit)+529.16t(2019 carry over(Para1(3) of Rec17-03))-50t(transfer to Namibia(Para5 of Rec.17-03))</t>
  </si>
  <si>
    <t>215+(0.25*215)</t>
  </si>
  <si>
    <t>2020: 100 t (transfer to JPN according to Rec.16-07 Para 3) and  100t (transfer to JPN according to circular#4498/2020, Rec.16-07 Para 6)</t>
  </si>
  <si>
    <t>2160+(0.25*2160)-200</t>
  </si>
  <si>
    <t>* As the balance is negative, Adjusted limit (A) = Year Limit + Balance from the previous limit</t>
  </si>
  <si>
    <t>242+(215*0.25)</t>
  </si>
  <si>
    <t>Adjusted limited for 2021=242(initial quota)+215*25%(carryover 2019)=295.75</t>
  </si>
  <si>
    <t>Adjusted limit for 2021=initial quota(200)+200*25%(not exceeding the balance of 2019)=250</t>
  </si>
  <si>
    <t>Adjusted Limit=initial limt +available balance(not to exceed 50% of initial quota)</t>
  </si>
  <si>
    <t>Adjusted limit for 2020=initial quota(100)+available balance of 2018 (3.95t)=103.95</t>
  </si>
  <si>
    <t>Adjusted limit for 2021=initial quota(100)+available balance of 2019 (2.40t)=102.40</t>
  </si>
  <si>
    <t>Adjusted limit for 2021=initial quota(313)+313*20%(carryover 2019)= 313+62.6</t>
  </si>
  <si>
    <t>Adjusted limite for 2020=initial quota(4462.08)+5376*15%+600 ton transfer from Japan=5868.48</t>
  </si>
  <si>
    <t>Adjusted limit for 2021=initial limit (37.90) + available balance of 2019 (not exceeding 20% of 37.90)= 41.77t</t>
  </si>
  <si>
    <t>Adjusted limit for 2021=initial quota(10)+10*20%=12</t>
  </si>
  <si>
    <t>Pursuant to Rec.20-04 and Rec.20-03, Chinese Taipei is allocated 4416.9 t as its 2021 initial catch quota.</t>
  </si>
  <si>
    <t>2021 adjusted quota is 5198.4 t (=4416.9+3926*0.25-200)  due to the inclusion of 2019 underage and 2021 initial catch quota and the deduction of the transfer of 200 t to Belize.</t>
  </si>
  <si>
    <t>=4416.90+(3926*0.25)-200</t>
  </si>
  <si>
    <t>2021 adjusted quota is 11524.00 t (=9400+2124) due to the inclusion of 2019 underage and 2021 initial catch quota</t>
  </si>
  <si>
    <t>=9400+2124</t>
  </si>
  <si>
    <t>Pursuant to Rec.17-02, Chinese Taipei may carryover to the maximum of 40% of its 2019 underage in 2021.</t>
  </si>
  <si>
    <t>2021 adjusted quota is 323 t (=270+270*40%-35-20) due to the inclusion of 2019 underage and 2021 initial catch quota and the deduction of respective transfers of 35 t to Canada and 20 t to Morocco.</t>
  </si>
  <si>
    <t>Pursuant to Rec.17-03, Chinese Taipei may carryover to the maximum of 20% of its 2020 underage in 2021.</t>
  </si>
  <si>
    <t>2021 adjusted quota is 550.8 t (=459*(1+20%)) due to the inclusion of 2020 underage.</t>
  </si>
  <si>
    <t>2021 adjusted quota is 40 t (=90-50) due to a transfer of 50 t to Korea.</t>
  </si>
  <si>
    <t>=9226.41+(11679*15%)+223</t>
  </si>
  <si>
    <t xml:space="preserve">2021 adjusted quota is 141.2 t = 126.2 (initial landing limit in 2021) + 150*10% (2019 carry over pursuant to Rec. 18-04) </t>
  </si>
  <si>
    <t>2021 adjusted quota is 55 t = 50 (initial landing limit in 2021) + 50*10% (2019 carry over pursuant to Rec. 18-04.)</t>
  </si>
  <si>
    <t>NAMIBIA</t>
  </si>
  <si>
    <t>Underage up to 20% of the initial catch quota has been carried over biennially Rec.17-03. Quota calculated from 2018 on</t>
  </si>
  <si>
    <t>*Underage up to 30% of the initial catch quota has been carried over biennially Rec.16-04. Quota calculated up to 2017</t>
  </si>
  <si>
    <t>=1168+30%1168+50+50+50</t>
  </si>
  <si>
    <t>From 2016 to 2021, Japan has transferred 50t to Namibia in accordance with Rec. 16-04/17-03.</t>
  </si>
  <si>
    <t>From 2016 to 2020, South Africa has transferred 50t to Namibia in accordance with Rec. 16-04/17-03.</t>
  </si>
  <si>
    <t>=1168+20%1168+50+50+50</t>
  </si>
  <si>
    <t>JAPAN-N-ALB:Japan's 2020 adjusted limit = BET 2020 catch * 4% (Para6 of Rec16-06)</t>
  </si>
  <si>
    <t>JAPAN-E-BFT: current catch for 2020 includes  8.16t of dead discard.</t>
  </si>
  <si>
    <t>JAPAN-E-BFT:Japan's 2021 adjusted limit = 2819.00t(Limit)(Para1 of Rec20-07)+57.64t(2020 carry over (Para2 of Rec 20-07))</t>
  </si>
  <si>
    <t>JAPAN-W-BFT: current catch for 2020 includes 0.23 t of dead discard.</t>
  </si>
  <si>
    <t>JAPAN-W-BFT:Japan's 2021 adjusted limit = 407.48t(Limit)+2.82t(2020 carry over(Para7a of Rec17-06 )</t>
  </si>
  <si>
    <t>JAPAN-BUM:Japan's 2022 adjusted limit = 328.1t(Limit)</t>
  </si>
  <si>
    <t>* Adjusted limit 2021 = initial limit 2021 (4400) + available balance 2019(not to exceed 25% of initial quota) (197.13)</t>
  </si>
  <si>
    <t>=1001+30%1001-50</t>
  </si>
  <si>
    <t>=1001+20%1001-50</t>
  </si>
  <si>
    <t xml:space="preserve">The underharvest of the EU in 2018 is of 1007,82 t, which is less than than the maximum allowed of  25% provided in Rec. 16-06. The EU is entitled to carry over 1007,82 t to 2020. </t>
  </si>
  <si>
    <t xml:space="preserve">The EU overharvested -540,04 t in 2019. According to provisions in para 7 of Rec. 16-06 and para 8 of Rec. 17-04, 540,04 t shall be deducted  from the EU quota in 2021. </t>
  </si>
  <si>
    <t>Limit 2021 +   2019 balance - 434,04 t to be transferred to UK</t>
  </si>
  <si>
    <t>Limit 2022 +   2020 balance - 1,52% of the EU limit 2022 to be transferred to UK</t>
  </si>
  <si>
    <t xml:space="preserve">The underharvest of the EU in 2020 is of 1288,72 t, which is less than than the maximum allowed of 25% provided in Rec. 16-06. The EU is entitled to carry over 1288,72 t to 2022. </t>
  </si>
  <si>
    <t>Additionally, the EU will transfer to United Kingdom 434,04t in 2021 and 1,52% of its initial catch limit in 2022.</t>
  </si>
  <si>
    <t xml:space="preserve"> The underharvest of the EU in 2019 was of 1755,77 t.  In line with Rec 16-07, the EU is entitled to carry over  367,5 t to 2021, corresponding to 25% of its initial quota for 2019.</t>
  </si>
  <si>
    <t>The underharvest of the EU in 2018 is of 1734,69 t..  In line with Rec 16-07, the EU is entitled to carry over  367,5 t to 2020, corresponding to 25% of its initial quota for 2018.</t>
  </si>
  <si>
    <t>The underharvest of the EU in 2020 was of 1777,03 t.  In line with Rec 16-07, the EU is entitled to carry over  367,5 t to 2022, corresponding to 25% of its initial quota for 2020.</t>
  </si>
  <si>
    <t>Limit 2022 + 25%  2020 limit</t>
  </si>
  <si>
    <t>The underharvest of the EU in 2018 is of 2419,28 t, which corresponds to more than 15% of its 2018 initial catch limit. In line with Rec. 17-02 the EU can carry over 1007.7 t to 2020.</t>
  </si>
  <si>
    <t>The underharvest of the EU in 2019 is of 1799,51 t, which corresponds to more than 15% of its 2019 initial catch limit. In line with Rec. 17-02 the EU can carry over 1007.7 t to 2021.</t>
  </si>
  <si>
    <t xml:space="preserve">The underharvest of the EU in 2020 is of 1425,44 t, which corresponds to more than 15% of its 2020 initial catch limit. In line with Rec. 17-02 the EU can carry over 1007.7 t to 2022. </t>
  </si>
  <si>
    <t>Additionally, the EU  will transfer to United Kingdom 0,67 t in 2021, and 0,01% of the EU initial catch limit in 2022.</t>
  </si>
  <si>
    <t xml:space="preserve">The adjusted limit for 2022 takes also into account the transfers to Canada (300 t from EU-Spain), and S. Pierre et Miquelon (40 t) as provided for in Rec 17-02. </t>
  </si>
  <si>
    <t>In 2018 the underharvest for the EU was of 187,20 t, which is less than the maximum allowed 20% provided in Rec 17-03. Therefore, the EU is entitled to carry over 187,20 t to 2020.</t>
  </si>
  <si>
    <t>In 2019 the underharvest for the EU was of 256,03 t, which is less than the maximum allowed 20% provided in Rec 17-03. Therefore, the EU is entitled to carry over  256,03 t to 2021.</t>
  </si>
  <si>
    <t xml:space="preserve">In 2020 the underharvest for the EU was of 261 t, which is less than the maximum allowed 20% provided in Rec 17-03. Therefore, the EU is entitled to carry over  261 t to 2022. </t>
  </si>
  <si>
    <t xml:space="preserve">Limit 2022 +  2020 balance </t>
  </si>
  <si>
    <t xml:space="preserve">In 2018 the underharvest for the EU was of 2121,35 t, which is less than the maximum allowed of 15% provided in Rec 16-01. Therefore, the EU is entitled to carry over 2121,35 t to 2020. </t>
  </si>
  <si>
    <t xml:space="preserve">In 2019 the underharvest for the EU was of 246,97 t, which is less than the maximum allowed of 10% provided in Rec 19-02. Therefore, the EU is entitled to carry over 246,97 t to 2021. </t>
  </si>
  <si>
    <t>2022 Limit - 2t</t>
  </si>
  <si>
    <t>In 2018, the underharvest (341,96 t) being over the maximum allowed of 10% provided in Rec. 18-04, the EU is entitled to carry over 48 t to 2020.</t>
  </si>
  <si>
    <t>In 2019, the underharvest (448,38 t) being over the maximum allowed of 10% provided in Rec. 18-04/19-05, the EU is entitled to carry over 48 t to 2021. The calculation takes into account the transfer of 2 t to Trinidad &amp; Tobago as provided by Rec. 19-05.</t>
  </si>
  <si>
    <t xml:space="preserve">In 2015 the quota was exceeded by 67.19 t. The EU proposes a pay-back of this overharvest over 3 years in 2018, 2019, 2020 , which corresponds to 22.4 t per year.                                                                                 </t>
  </si>
  <si>
    <t>In 2018 the underharvest (27,52t) being over the maximum allowed of 10% provided in Rec. 18-04, the EU is entitled to carry over 5 t to 2020.</t>
  </si>
  <si>
    <t>The agreement between UK and EU is to transfer 48.40 t from its quota in 2022, corresponding to 0.25% of its quota prior to any adjustments made and any specific allocation made to the EU for its small-scale fisheries in following years to the United Kingdom.</t>
  </si>
  <si>
    <t xml:space="preserve">This means that the 0,25% is calculated from the 19360 t which is the initial quota of EU without the additional 100t agreed in 2018 for small scale. </t>
  </si>
  <si>
    <t>(200*0.25)+215</t>
  </si>
  <si>
    <t>(215*0.25)+242</t>
  </si>
  <si>
    <t>4.99+140</t>
  </si>
  <si>
    <t>16.91+140</t>
  </si>
  <si>
    <t>6 (A) = Limit 2021 + Carry over from Balance 2019 MAX. 10%4250 (425) Rec. 19-02 Para 12</t>
  </si>
  <si>
    <t>*Underage up to 50% of the initial catch quota has been carried over biennially Rec.16-03. Quota calculated up to 2017</t>
  </si>
  <si>
    <t>**Underage up to 40% of the initial catch quota has been carried over biennially Rec.17-02. Quota calculated from 2018 on</t>
  </si>
  <si>
    <t>2021**</t>
  </si>
  <si>
    <t>Korea carried forward its unused quota of 2020(4.30t) to 2021. Max 5% 2020 quota. Rec 20-07 Para 2</t>
  </si>
  <si>
    <t>200+50+4.30</t>
  </si>
  <si>
    <t>Since 2018, Korea has transferred 223t of its quota to Chinese Taipei every year.</t>
  </si>
  <si>
    <t>(1486*0.15)+1000 - 223</t>
  </si>
  <si>
    <t>Rec. 19-02 Para 12: underage of an annual catch limit in 2019 shall be added to their 2021 annual catch limit, subject to 10% of initial quota restrictions</t>
  </si>
  <si>
    <t>Rec. 19-02 Para 3c): Starting with 2020 catches, any underharvest by a CPC of its annual landings limit may not be carried forward to a subsequent year</t>
  </si>
  <si>
    <t>2020 =  Initial allocation + transfers (from Senegal 125t, Japan 35t, Chinese Taipe 35t, and the EU 100t) + underage from 2018 (202.2t - max. carry forward)</t>
  </si>
  <si>
    <t>2021 =  Initial allocation + transfers (from Senegal 150t, Japan 35t, Chinese Taipe 35t, and the EU 200t) + underage from 2019 (202.2t - max. carry forward)</t>
  </si>
  <si>
    <t xml:space="preserve">Limite ajustée 2018= limite de capture 2018 + ( limite de capture 2017 x 0,4) - transfert (CAN). Limite ajustée 2018  = 250 + (250*0.4) - (125+25) = 200t      </t>
  </si>
  <si>
    <t>Limite ajustee 2019 = Limite 2019 + max. Solde (Limite 2018*0.4) -transfert Canada (125 t) = 250 + (250 * 0.4) -125= 225 t</t>
  </si>
  <si>
    <t>Limite ajustee 2020 = Limite 2020 + max. Solde (Limite 2019*0.4) -transfert Canada (125 t) = 250 + (250 * 0.4) -125= 225 t</t>
  </si>
  <si>
    <t>Limite ajustee 2021 = Limite 2021 + max. Solde (Limite 2020*0.4) -transfert Canada (125 t+25 t) = 250 + (250 * 0.4) -150= 200 t</t>
  </si>
  <si>
    <t>(2020 limit + 0,15*2018 limit)-40-100</t>
  </si>
  <si>
    <t>(2021 limit + 0,15*2019 limit)-40-200-0.67</t>
  </si>
  <si>
    <t xml:space="preserve">For 2020 the adjusted limit is calculated by taking also into account the transfers to Canada (100 t from EU-Spain) and of 40 t to S. Pierre et Miquelon as provided for in Rec 17-02. </t>
  </si>
  <si>
    <t>For 2021 the adjusted limit is calculated by taking also into account the transfers to Canada (200 t from EU-Spain) and of 40 t to S. Pierre et Miquelon as provided for in Rec. 17-02.</t>
  </si>
  <si>
    <t>2020: The 2019 underage is greater than the maximum amount that can be carried over to 2020 (&lt;= 40% of original catch limit); hence the amount carried over is 50 t (0.4*125).
Additionally, 75 t and 25 t were transferred to Belize and Morocco respectively; hence 100 is subtracted from the sum of the initial catch limit and the allowed carry over, to arrive at the final adjusted limit of 75 t.</t>
  </si>
  <si>
    <t>2021: The 2020 underage is greater than the maximum amount that can be carried over to 2021 (&lt;= 40% of original catch limit); hence the amount carried over is 50 t (0.4*125).
Additionally, 75 t and 25 t were transferred to Belize and Morocco respectively; hence 100 is subtracted from the sum of the initial catch limit and the allowed carry over, to arrive at the final adjusted limit of 75 t.</t>
  </si>
  <si>
    <t>1 (A)=IQ2016+Balance2015</t>
  </si>
  <si>
    <t>2 (A)=IQ2017+Balance2016</t>
  </si>
  <si>
    <t>3 (A)=IQ2018+Balance2017</t>
  </si>
  <si>
    <t>4 (A)=IQ2019+Balance2018</t>
  </si>
  <si>
    <t>5 (A)=IQ2020+Balance2019+2t EU transfer provided by Rec. 19-05.</t>
  </si>
  <si>
    <t>5 (A)=IQ2020+Balance2019</t>
  </si>
  <si>
    <t>6 (A)=IQ2021+Balance2020</t>
  </si>
  <si>
    <t>Pour l'année 2020 les prises realisées par les senneurs sont de 2648,138</t>
  </si>
  <si>
    <t>*</t>
  </si>
  <si>
    <t>Adjusted limit for 2021 = 711.5  + (.25)(632.4) = 869.60****</t>
  </si>
  <si>
    <t>*** reflects that 25% of the 2017 initial quota may be carried forward to 2018</t>
  </si>
  <si>
    <t>****  reflects that 25% of the 2020 initial quota may be carried forward to 2021</t>
  </si>
  <si>
    <t>Adjusted limit for 2021 = 3907.0 + (0.15)(3907) = 4493.05 t</t>
  </si>
  <si>
    <t>Adjusted limit for 2021 = 100.0 - (100 t (Namibia (50 t), Cote d'Ivoire (25 t), Belize (25 t)) + 99.94</t>
  </si>
  <si>
    <t>Adjusted limit for 2021 = 1272.86 + (.1)(1272.86) = 1400.15 t</t>
  </si>
  <si>
    <t>* Adjusted limit = initial limit + available balance (not to exceed 10% of initial quota)</t>
  </si>
  <si>
    <t>*** reflects that 10% of the 2017 initial quota may be carried forward to 2018</t>
  </si>
  <si>
    <t>VENEZUELA</t>
  </si>
  <si>
    <t>*De acuerdo a Rec. 16-06 Par 4, en el año 2017 se utilizaron las transferencias de La Unión Europea, Estados Unidos y Taipei Chino  a Venezuela de  60, 150 y 114 t, respectivamente</t>
  </si>
  <si>
    <t>(1) Límite ajustado 2017 = Límite 2017 + Saldo 2016 + (60+150+114)*</t>
  </si>
  <si>
    <t>(1)</t>
  </si>
  <si>
    <t>(2)</t>
  </si>
  <si>
    <t>(3)</t>
  </si>
  <si>
    <t>(2) Límite ajustado 2018 = Límite 2018 + Saldo 2017</t>
  </si>
  <si>
    <t>(3) Límite ajustado 2019 = Límite 2019 + Saldo 2018</t>
  </si>
  <si>
    <t>(4)</t>
  </si>
  <si>
    <t>(4) Límite ajustado 2020 = Límite 2020 + Saldo 2019</t>
  </si>
  <si>
    <t>(5)</t>
  </si>
  <si>
    <t>(5) Límite ajustado 2021 = Límite 2021 + Saldo 2020</t>
  </si>
  <si>
    <t>85+(85*0.5)</t>
  </si>
  <si>
    <t>Los remanentes de captura de esta especie se ajustaron de acuerdo a los años sugeridos por la recomendación  16-03</t>
  </si>
  <si>
    <t>Al límite de captura ajustada para los años 2017 y 2018, se le dedujo las 12,75 t transferidas a Francia (San Pedro y Miquelón) , Rec.16-03 y Rec. 17-02.</t>
  </si>
  <si>
    <t>85+(85*0.5)-12.75</t>
  </si>
  <si>
    <t>85+(85*0.4)-12.75</t>
  </si>
  <si>
    <t>85+(85*0.4)</t>
  </si>
  <si>
    <t>*Underage up to 10% of the initial catch quota has been carried over biennially Rec.15-05 to 18-04 (2016-2019)</t>
  </si>
  <si>
    <t>100+ (0.1*100)</t>
  </si>
  <si>
    <t>100+ (0.1*100) - 30 **</t>
  </si>
  <si>
    <t>**Transferencia de 30 t a la Unión Europea en 2017, Rec.  16-10.</t>
  </si>
  <si>
    <t>84.10+(100*0.1)</t>
  </si>
  <si>
    <t>(1) Límite ajustado 2018 = Límite 2018 + Saldo 2017 +  (Saldo Máx. 2016 = 10% Límite 2016)</t>
  </si>
  <si>
    <t>Catch limit defined according to Rec. 19-02 Para 4</t>
  </si>
  <si>
    <t>[4] = 2020 limit + 2019 Balance</t>
  </si>
  <si>
    <t>[5]</t>
  </si>
  <si>
    <t>[5] = 2021 limit + 2020 Balance</t>
  </si>
  <si>
    <t>*transfer of 200 t from Chinese Taipei to Belize in 2021 and 2022.</t>
  </si>
  <si>
    <t>Japan´s 2021 adjusted limit = 842 t(Limit)+1056.21t(2020 carry over(para 4 of Rec. 17-02))-150 t(transfer to Morocco(para 1-a) of Rec. 20-02)-35 t(transfer to Canada(para 2 of Rec. 17-02))-25 t(transfer to Mauritania(para 2 of Rec. 17-02)).</t>
  </si>
  <si>
    <t>JAPAN-BIGEYE: current catch for 2020 includes  15.20t of dead discard.</t>
  </si>
  <si>
    <t>BSHN</t>
  </si>
  <si>
    <t>2022 Limit</t>
  </si>
  <si>
    <t>*Belize is carrying forward 25% of its initial catch limit (53.75 t) from its balance of 142.7t in 2020 to be used in 2022.</t>
  </si>
  <si>
    <t>*Belize is carrying forward 25% of its initial catch limit (62.5 t) from its balance of 162.13t in 2020 to be used in 2022</t>
  </si>
  <si>
    <t>*Belize is carrying forward 40% of its initial catch limit (52 t) from its balance of 146.27 t in 2020 to be used in 2022; receiving a transfer of N-SWO from Trinidad &amp; Tobago: 75t (Rec. 17-02, par.2b).</t>
  </si>
  <si>
    <t>*Belize is carrying forward 20% of its initial catch limit (25t)  in 2020 to be used in 2022 + transfer of 24.94t from the United States of America + transfer of 50t from Brazil + transfer of 50t from Uruguay to Belize</t>
  </si>
  <si>
    <t>Adjusted limit for 2022 = 100.0 - (99.94 t (Namibia (50 t), Cote d'Ivoire (25 t), Belize (24.94 t)) + 99.94</t>
  </si>
  <si>
    <t>Adjusted limit for 2022=initial quota(200)+200*25%(not exceeding the balance of 2020)=250</t>
  </si>
  <si>
    <t>In 2015 2.29t of dead discards were not included in the catch amount in the compliance table although they were reported in the Task I data</t>
  </si>
  <si>
    <t>In 2015,5.91t of dead discards and/or releases were not included in the catch amount in the compliance table although they were reported in the Task I data</t>
  </si>
  <si>
    <t>In 2015, 1.47t of dead discards were not included in the catch amount in the compliance table although they were reported in the Task I data</t>
  </si>
  <si>
    <t>Limit 2022+limit 2020*0,10</t>
  </si>
  <si>
    <t>In 2020 the underharvest for the EU was of 4557,17 t, which is more than the maximum allowed 10% provided in Rec 21-01. Therefore, the EU is entitled to carry over  1342,13 t to 2022</t>
  </si>
  <si>
    <t>UK</t>
  </si>
  <si>
    <t>2022 adjusted quota is 5198.4 t (=4416.9+3926*0.25-200)  due to the inclusion of 2020 underage and 2022 initial catch quota and the deduction of the transfer of 200 t to Belize.</t>
  </si>
  <si>
    <t>50 + Balance 2019</t>
  </si>
  <si>
    <t>125+(125*0.2)</t>
  </si>
  <si>
    <t>7:  limite 2021+ 100% allocation de quota initiale (MAX Solde 2020=1.53) - CAN transfer (4.78t) = 5.31 + 1.53 - 4.78= 2.06</t>
  </si>
  <si>
    <t>6:  limite 2020+ 100% allocation de quota initiale (MAX Solde 2019=1) - CAN transfer (4.78t) = 5.31 + 1 - 4.78= 1.53</t>
  </si>
  <si>
    <t>Adjusted limite for 2021=initial quota(4390.69)+5376*10%+600 ton transfer from Japan=5528.29</t>
  </si>
  <si>
    <t>JAPAN-BIGEYE:Japan's 2021 adjusted limit = 13756.16+1769.6(2019 carry over(17696*10%)(Para12 of Rec19-02)-600(transfer to China (Footnote2 of Para.8  of Rec.19-02))-300(transfer to Europian Union (Footnote 2 of Para.8 of Rec.19-02))</t>
  </si>
  <si>
    <t>PANAMÁ</t>
  </si>
  <si>
    <t>(1)  Cuota ajustada de 2021= Cuota de 2021 + balance negativo de 2020 (25-6.34)= 18.66t</t>
  </si>
  <si>
    <t>2021(**) (*)</t>
  </si>
  <si>
    <t>Pour l'année 2021 le quota ajusté est de 2755,75  ( le quota initial 2655T+transfert quota syrie (79,2)+quota non consommé  des prises accessoires 2020 (21,55T)</t>
  </si>
  <si>
    <t>5:  limite 2019+ 100% allocation de quota initiale - CAN transfer (9.62) = 2*5.31-9.62=1</t>
  </si>
  <si>
    <t>8:  limite 2022+ 100% allocation de quota initiale (MAX Solde 2021=2.06) - CAN transfer (4.78t) = 6.18+2.06-4.78= 3.46</t>
  </si>
  <si>
    <t>1 (A) = Limit 2016 -337 (payback Rec.15-01 9b) + 70 (Transfer Japan Rec.15-01 7b) + Carry over from Balance 2014 MAX. 15%4722=708.3 (583)</t>
  </si>
  <si>
    <t>2 (A) = Limit 2017 -337 (payback Rec.16-01 9b) + 70 (Transfer Japan Rec.16-01 7b) - 246.60 (Balance 2016) + Carry over from Balance 2015 MAX. 15%4722= 708.3 (696.92)</t>
  </si>
  <si>
    <t>3 (A) = Limit 2018 -337 (payback Rec.16-01 9b) + 70 (Transfer Japan Rec.16-01 7b)</t>
  </si>
  <si>
    <t>4 (A) = Limit 2019 + 70 (Transfer Japan Rec.16-01 7b)  + Carry over from Balance 2017 MAX. 15%4250= 637.50 (347.32). No more payback since 18-01 Para 2</t>
  </si>
  <si>
    <t>5 (A) = Limit 2020 + Carry over from Balance 2018 MAX. 15%4250=637.50(412)</t>
  </si>
  <si>
    <t>CURACAO</t>
  </si>
  <si>
    <t>[6]</t>
  </si>
  <si>
    <t>[6] = 2022 limit + 2021 Balance</t>
  </si>
  <si>
    <t>2022 = Initial allocation + transfers (from Senegal 150t, Japan 35t, Chinese Taipe 35t, and the EU 250t) + underage from 2020 (202.2t - max. carry forward)</t>
  </si>
  <si>
    <t>Initial quota/catch limit includes 15 t allocation for by-catch, as per Rec. 17-06 para 6a &amp; Rec. 20-06 Para 1 (4) &amp;  Rec. 21-07 Para 1 (D)</t>
  </si>
  <si>
    <t>Adjusted limited for 2022=242(initial quota)+215*25%(carryover 2020)=295.75</t>
  </si>
  <si>
    <t>Adjusted limit for 2022=initial quota(100)+available balance of 2020 (7.78t)=107.78</t>
  </si>
  <si>
    <t>Adjusted limit for 2022=initial quota(313)+313*20%(carryover 2020)= 313+62.6</t>
  </si>
  <si>
    <t>Adjusted limite for 2022=initial quota(4426.38)+4462.08*10%+600 ton transfer from Japan=5472.59</t>
  </si>
  <si>
    <t>Adjusted Limit=initial limit +available balance(not to exceed 20% of initial quota), valid up to 2020 (Rec. 19-05 Para 3b))</t>
  </si>
  <si>
    <t>Adjusted Limit=initial limit +available balance(not to exceed 10% of initial quota), valid up to 2020 (Rec. 19-05 Para 3b))</t>
  </si>
  <si>
    <t>COSTA RICA</t>
  </si>
  <si>
    <t>* Límite ajustado = límite inicial + balance disponible (no exceder 25% de cuota inicial)</t>
  </si>
  <si>
    <t>Límite ajustado para 2016 = 200 + 50 = 250 t</t>
  </si>
  <si>
    <t>Límite ajustado para 2017= 200 + 50 = 250 t</t>
  </si>
  <si>
    <t>Límite ajustado para 2018 = 200 + 50 = 250 t</t>
  </si>
  <si>
    <t>Límite ajustado para 2019 = 215 + 50 = 265 t</t>
  </si>
  <si>
    <t>Límite ajustado para 2020 = 215 + 53,75 = 268,75 t</t>
  </si>
  <si>
    <t>Límite ajustado para 2021 = 242 + 53,75 = 295,75 t</t>
  </si>
  <si>
    <t>Límite ajustado para 2022 = 242 + 60,5 = 302,50 t</t>
  </si>
  <si>
    <t>SWON</t>
  </si>
  <si>
    <t>ALBN</t>
  </si>
  <si>
    <t>[7]</t>
  </si>
  <si>
    <t>[1]= Límite de 2016 + balance de 2015</t>
  </si>
  <si>
    <t>[2]= Límite de 2017 + balance de 2016</t>
  </si>
  <si>
    <t>[3]= Límite de 2018 + balance de 2017</t>
  </si>
  <si>
    <t>[4]= Límite de 2019 + balance de 2018</t>
  </si>
  <si>
    <t>[5]= Límite de 2020 + balance de 2019</t>
  </si>
  <si>
    <t>[6]= Límite de 2021 + balance de 2020</t>
  </si>
  <si>
    <t>[7]= Límite de 2022 + balance de 2021</t>
  </si>
  <si>
    <t>[1]= Límite de 2017 + balance de 2016</t>
  </si>
  <si>
    <t>Limit 2023 +   2021 balance - 1,52% of the EU limit 2023 to be transferred to UK</t>
  </si>
  <si>
    <t xml:space="preserve">The underharvest of the EU in 2021 is of 2025,93 t, which is less than than the maximum allowed of 25% provided in Rec. 16-06. The EU is entitled to carry over 2025,93 t to 2023. Additionally, the EU will transfer to United Kingdom 1,52% of its initial catch limit in 2022.
</t>
  </si>
  <si>
    <t xml:space="preserve">The underharvest of the EU in 2021 is of 1862,1 t, which corresponds to more than 15% of its 2021 initial catch limit. In line with Rec. 17-02 the EU can carry over 1007.7 t to 2023 if current management arrangments are maintained. The adjusted limit for 2021 takes also into account the transfers to Canada (200 t in 2021 &amp;nd 250 t in 2022; from EU-Spain), and S. Pierre et Miquelon (40 t) as provided for in Rec 17-02. Additionally, the EU will transfer to United Kingdom 0,01% of the EU initial catch limit in 2022.
</t>
  </si>
  <si>
    <t>2022 limit + 0,15*2020 limit-40-250-0,01% 2022 limit</t>
  </si>
  <si>
    <t>ALBS</t>
  </si>
  <si>
    <t>JAPAN-S-ALB: 2022 adjusted limit = 1,355 t(Limit)+338.75t(2020 carry over(1355*25%) (para 4 of Rec. 16-07))</t>
  </si>
  <si>
    <t>JAPAN-S-SWO:Japan's 2022 adjusted limit  = 901t(Limit)+600.00t(2020 carry over(Para1(3) of Rec21-03))-50t(transfer to Namibia(Para5 of Rec.17-03))</t>
  </si>
  <si>
    <t>SWOS</t>
  </si>
  <si>
    <t>BFTE</t>
  </si>
  <si>
    <t>JAPAN-E-BFT: current catch for 2021 includes  0.68t of dead discard.</t>
  </si>
  <si>
    <t>JAPAN-E-BFT:Japan's 2022 adjusted limit = 2819.00t(Limit)(Para5 of Rec21-08)+96.65t(2021 carry over (Para7 of Rec 21-08))</t>
  </si>
  <si>
    <t>BFTW</t>
  </si>
  <si>
    <t>JAPAN-W-BFT: current catch for 2021 includes 0.00 t of dead discard.</t>
  </si>
  <si>
    <t>JAPAN-BIGEYE: current catch for 2021 includes  5.3t of dead discard.</t>
  </si>
  <si>
    <t>JAPAN-BUM:Japan's 2022 adjusted limit = 328.1t(Limit)(Para3 of Rec19-05)</t>
  </si>
  <si>
    <t>JAPAN-WHM・SPF:Japan's 2022 adjusted limit =35t(Limit)(Para3 of Rec19-05)</t>
  </si>
  <si>
    <t>JAPAN-N-BSH:Japan's 2020 adjusted limit = 4,010t(Para3 of Rec19-07)</t>
  </si>
  <si>
    <t>JAPAN-N-BSH:Japan's 2021 adjusted limit = 4,010t(Para3 of Rec19-07)</t>
  </si>
  <si>
    <t>242+(0.25*215)</t>
  </si>
  <si>
    <t>242+(0.25*242)</t>
  </si>
  <si>
    <t>The applied methodology is described in Recs. 19-02, 16-01, 2021-01.</t>
  </si>
  <si>
    <t>2022 adjusted quota is 323 t (=270+270*40%-35-20) due to the inclusion of 2020 underage and 2022 initial catch quota and the deduction of respective transfers of 35 t to Canada and 20 t to Morocco.</t>
  </si>
  <si>
    <t>2022 adjusted quota is 477.8 t (=459 + 18.8) due to the inclusion of 2021 underage and 2022 initial catch quota.</t>
  </si>
  <si>
    <t>2022 adjusted quota is 40 t (=90-50) due to the transfer of 50t to Korea.</t>
  </si>
  <si>
    <t>2022 adjusted quota is 126.2 t in accordance with para 3 c) of Rec. 19-05.</t>
  </si>
  <si>
    <t>2022 adjusted quota is 50 t in accordance with para 3 c) of Rec. 19-05.</t>
  </si>
  <si>
    <t>2022 adjusted limit: Egypt intends to transfer 259.62 ton from fishing vessel "Golovik" AT000EGY00020 to 2 authorized Moroccan Tuna traps</t>
  </si>
  <si>
    <t>2022: The 2021 underage is greater than the maximum amount that can be carried over to 2022 (&lt;= 40% of original catch limit); hence the amount carried over is 50 t (0.4*125).
Additionally, 75 t and 25 t were transferred to Belize and Morocco respectively; hence 100 is subtracted from the sum of the initial catch limit and the allowed carry over, to arrive at the final adjusted limit of 75 t.</t>
  </si>
  <si>
    <t>2018: The 2017 underage is greater than the maximum amount that can be carried over to 2018 (&lt;= 40% of original catch limit); hence the amount carried over is 50 t (0.4*125). Additionally, 75 t were transferred to Belize; hence 75 is subtracted from the sum of the initial catch limit and the allowed carry over, to arrive at the final adjusted limit of 100 t.</t>
  </si>
  <si>
    <t>7(A)=IQ2022+2t EU transfer provided by Rec. 19-05.</t>
  </si>
  <si>
    <t>6 (A)=IQ2021+Balance2020+2t EU transfer provided by Rec. 19-05.</t>
  </si>
  <si>
    <t>7 (A)=IQ2022+Balance2021</t>
  </si>
  <si>
    <t>Adjusted limit for 2022 = 711.5  + (.25)(711.5) = 889.38</t>
  </si>
  <si>
    <t>Adjusted limit for 2022 = 3907.0 + (0.15)(3907) = 4493.05 t</t>
  </si>
  <si>
    <t>Adjusted limit for 2022 = 1341.14 + (.1)(1272.86) = 1468.43 t****</t>
  </si>
  <si>
    <t>****reflects that 10% of the 2021 initial quota may be carried forward to 2022</t>
  </si>
  <si>
    <t>Belize is carrying forward 25% of its initial catch limit (60.5t) from its balance of 268.10t in 2021 to be used in 2023</t>
  </si>
  <si>
    <t>Limit + Underages</t>
  </si>
  <si>
    <t>Republic of Korea</t>
  </si>
  <si>
    <t>Flag</t>
  </si>
  <si>
    <t>2022**</t>
  </si>
  <si>
    <t>Korea carried forward its unused quota of 2021(10t) to 2022. Max 5% 2021 quota. Rec 21-08 Para 7</t>
  </si>
  <si>
    <t>200+50+10</t>
  </si>
  <si>
    <t>(1486*0.10)+984- 223</t>
  </si>
  <si>
    <t>(1000*0.10)+992 - 223</t>
  </si>
  <si>
    <t>Rec.21-01 Para 12: underage of an annual catch limit in 2020 shall be added to their 2022 annual catch limit, subject to 10% of initial quota restrictions</t>
  </si>
  <si>
    <t>=IQ2023+MAX. 0.25*IQ2021</t>
  </si>
  <si>
    <t>=IQ2022+MAX. 0.25*IQ2020</t>
  </si>
  <si>
    <t>=IQ2021+MAX. 0.20*IQ2019</t>
  </si>
  <si>
    <t>=IQ2022+MAX. 0.20*IQ2020</t>
  </si>
  <si>
    <t>IQ2021+53.75</t>
  </si>
  <si>
    <t>IQ2023+MAX 25% IQ2021</t>
  </si>
  <si>
    <t>IQ2022+53.75</t>
  </si>
  <si>
    <t>IQ2023+MAX 40% IQ2021</t>
  </si>
  <si>
    <t xml:space="preserve">The UK's quota for S.ATL SWO is 25t  for 2021. The UK's catches in 2021 were 0t, consequently the UK has a remaining balance of 25t. The UK is permitted to transfer a maximum of 20% of unused quota to 2023. When the 20% is applied to the IQ2021 and the quota for 2023 is added, the adjusted quota for 2023 is 30t. </t>
  </si>
  <si>
    <t xml:space="preserve">The EU transfer's 48.4t of Eastern Bluefin Tuna to the UK. The UK's catches in 2021 were 2.92t, consequently the UK has a remaining balance of 45.48t. The UK is permitted to transfer a maximum of 5% of unused quota to 2022. When the 5% is applied to the Initial quota for 2021 and the quota for 2022 is added, the adjusted quota for 2022 is 50.82t. </t>
  </si>
  <si>
    <t xml:space="preserve">The UK's quota for W.BFT for 2021 is 5.31. The UK carried over 5.31t of w.BFT quota from 2020. The UK's catches in 2021 were 0.71t which was taken off the carry over quota. As the 2021 catches were less then the carry over the UK had a remaining quota of 5.31t. The UK is permitted to transfer a maximum of 100% of 2021 Initial Quota to 2022. When the UK's carry over amount is combined with the UK's TAC for 2022 of 6.18t the figure for he adjusted quota for 2022 is 11.49t. </t>
  </si>
  <si>
    <t xml:space="preserve">2021: The EU transfers to the UK 434.04t of N.ALB quota for 2021 (circ. 4088/21). The UK OT's had previously carried over 53.75t. When combined the adjust quota for 2021 was 487.79 . </t>
  </si>
  <si>
    <t>(6)</t>
  </si>
  <si>
    <t>(6) Límite ajustado 2022 = Límite 2022 + Saldo 2021</t>
  </si>
  <si>
    <t xml:space="preserve">(1) Límite ajustado 2017 = Límite 2017 + Saldo 2016 </t>
  </si>
  <si>
    <t>=215+(MAX. 25% from 2020 quota= 13.27t)</t>
  </si>
  <si>
    <t>=215+(MAX. 25% from 2019 quota= 38.35t)</t>
  </si>
  <si>
    <t>le calcul du quota ajusté 2022 prend en compte le solde  MAX de 2021 (Limite 2021 * 0.2 = 417*0.2=83.4) auquel est ajouté la limite 2022 417 t) ce qui donne (83.4+417=500.4) t</t>
  </si>
  <si>
    <t>le calcul du quota ajusté 2021 prend en compte le solde  MAX de 2020 (Limite 2020 * 0.2 = 417*0.2=83.4) auquel est ajouté la limite 2021 417 t) ce qui donne (83.4+417=500.4) t</t>
  </si>
  <si>
    <t>2022: Initial Quota 2022 + CO from 2020 (25% 215t). When combined the adjust quota for 2022 was 496</t>
  </si>
  <si>
    <t>2023: The UK's catches in 2021 were 169.39. Consequently the UK has a remaining balance of 326.86t. The UK is allowed to carry over unused quota to 2023 at the max carry over rate of 25% of its IQ2021 (108.51). When the 25% is applied to the IQ2021 and the quota for 2023 is added, the adjusted quota for 2023 is 550.76</t>
  </si>
  <si>
    <t>2021: The EU transfers to the UK 0.67 quota for 2021 (circ. 4088/21). The UK OT's had previously carried over 15t (MAX. 40% IQ 2019). When combined the adjust quota for 2021 was 35+14+0.67</t>
  </si>
  <si>
    <t>IQ2021+MAX 40% IQ2019+ EU Transfer</t>
  </si>
  <si>
    <t>IQ2022+MAX 40% IQ2020+ EU Transfer</t>
  </si>
  <si>
    <t>2023:  The UK OT's had previously carried over 15t (MAX. 40% IQ 2021). When combined the adjust quota for 2023 is 35+14</t>
  </si>
  <si>
    <t>2022: The EU transfers to the UK 0.67 quota for 2022 (Rec. 21-02 Para 1). The UK OT's had previously carried over 15t (MAX. 40% IQ 2020). When combined the adjust quota for 2021 was 35+14+0.67</t>
  </si>
  <si>
    <t>EGYPT</t>
  </si>
  <si>
    <t>JAPAN-N-ALB:Japan's 2021 adjusted limit = BET 2021 catch * 4.5% (Para8 of Rec21-04)</t>
  </si>
  <si>
    <t>Japan´s 2022 adjusted limit = 842 t(Limit)+1400.81 t(2021 carry over(para 1C of Rec.21-02))-150 t(transfer to Morocco(para 1A) of Rec. 21-02)-35 t(transfer to Canada(para 1A of Rec. 21-02))-25 t(transfer to Mauritania(para 1A of Rec. 21-02)).</t>
  </si>
  <si>
    <t>JAPAN-BIGEYE:Japan's 2022 adjusted limit = 13868.00(Para 4 of Rec.21-01)+1397.9(2020 carry over(13979.84*10%)(Para12 of Rec21-01)-600(transfer to China (Footnote2 of Para.8  of Rec.21-01))-300(transfer to Europian Union (Footnote 2 of Para.8 of Rec.21-01))</t>
  </si>
  <si>
    <t>Limit 2023 + 25%  2021 limit</t>
  </si>
  <si>
    <t>The underharvest of the EU in 2021 was of 1766.56 t.  In line with Rec 16-07, the EU is entitled to carry over  367,5 t to 2023, corresponding to 25% of its initial quota for 2021.</t>
  </si>
  <si>
    <t>=9400+1699+85</t>
  </si>
  <si>
    <t>2022 adjusted quota is 11244.00 t (=9400+1699) due to the inclusion of 2020 underage and 2021 initial catch quota + 85t (Rec. 16-07 Para 4b) as complement from total underage from the TAC, where 85t  is what is left from the total underage from the TAC from 2020, minus the underages to be used by those CPCs wishing to do so</t>
  </si>
  <si>
    <t>IQ2022 + 2020 balance</t>
  </si>
  <si>
    <t>IQ2023 + 2021 balance</t>
  </si>
  <si>
    <t xml:space="preserve">De las 25.00 t de atún blanco del Atlántico Sur asignadas a Panamá para 2020, hubo una captura de 31.34 t, dando como resultado un excedente de 6.34t. El excedente fue saldado en 2021, ya que de las 25.00t asignadas para 2021, solo hubo una captura de 17.22t quedando un remanente preliminar para 2021 de 7.78t de las cuales se dedujo el excedente de 6.34t de 2020, quedando 2021 con un remanente de 1.44t. </t>
  </si>
  <si>
    <t>2011=95t+42t (No transfer to Canada for 2011)</t>
  </si>
  <si>
    <t>2012=95t+36.5t -86.50t ( transfer to CAN from 2012 quota) por Rec. 10-03</t>
  </si>
  <si>
    <t>2013=95t+52.90t (No transfer to Canada for 2013) por Rec.12-02</t>
  </si>
  <si>
    <t>2014=95t+95t-86.5t (transfer to Canada for 2014) por Rec. 13-09</t>
  </si>
  <si>
    <t>2015=108.98+52.50-86.50 (transfer to Canada for 2015) por Rec. 14-05</t>
  </si>
  <si>
    <t>2016=108.98+21.98-51.98 (transfer to Canada) por Rec. 14-05</t>
  </si>
  <si>
    <t>2017=108.98+23.98-55.98(transfer to Canada) por Rec. 16-08</t>
  </si>
  <si>
    <t>2018=128.44+42.98-73.98 (transfer to Canada) por Rec. 17-06</t>
  </si>
  <si>
    <t>2019=128.44+17.44-60.44 (transfer to Canada) por Rec. 17-06</t>
  </si>
  <si>
    <t>2020= 128.44+46.44-79.44 (transfer to Canada) por Rec. 17-06</t>
  </si>
  <si>
    <t>2021= 128.44+67.44-transfer to Canada (100.44t) por Rec. 20-06</t>
  </si>
  <si>
    <t>2018 = Initial allocation +Mexican transfer (73.98) + underharvest from 2017 (MAX 10% IQ 2017)</t>
  </si>
  <si>
    <t>2019 = Initial allocation +Mexican transfer (60.44) + SPM transfer (9.62)+ underharvest from 2018 (53.06 = 10% of 2018 initial)</t>
  </si>
  <si>
    <t>2020 = Initial allocation +Mexican transfer (79.44) + SPM transfer (4.78)+ underharvest from 2019 (20.84)</t>
  </si>
  <si>
    <t>2021 = Initial allocation +Mexican transfer (100.44) + SPM transfer (4.78) + underharvest from 2020 (44.05)</t>
  </si>
  <si>
    <r>
      <rPr>
        <vertAlign val="superscript"/>
        <sz val="10"/>
        <rFont val="Cambria"/>
        <family val="1"/>
      </rPr>
      <t>1</t>
    </r>
    <r>
      <rPr>
        <sz val="10"/>
        <rFont val="Cambria"/>
        <family val="1"/>
      </rPr>
      <t xml:space="preserve"> Transfer from Japan</t>
    </r>
  </si>
  <si>
    <t>13.97+170</t>
  </si>
  <si>
    <t xml:space="preserve">The UK's quota for S.ATL ALB is 100t  for 2021. The UK's catches in 2021 were 0, consequently the UK has a remaining balance of 100t. The UK is allowed to carry over unused quota to 2023 at the max carry over rate of 25% of its year´s Initial Quota. When the 25% is applied to the IQ and the quota for 2023 is added the adjusted quota for 2023 is 145t. </t>
  </si>
  <si>
    <t>7 (A) = Limit 2022 + Carry over from Balance 2020 MAX. 10%3968.23 (396.82) Rec. 21-01 Para 12</t>
  </si>
  <si>
    <t>2020 catch limit for Ghana has been corrected from 3716.00 to 3968.23 as the former one was reported by Ghana applying a payback condoned in Rec. 18-01 para 2</t>
  </si>
  <si>
    <t>Quota ajustée 2020: 265 tonnes  = quota initial alloué au Maroc 2020 (215 t) + 50 tonnes ( reliquat= 25% du quota initial (200)). Recommandation ICCAT 17-04</t>
  </si>
  <si>
    <t>Quota ajustée 2021: 295,75 tonnes  = quota initial alloué au Maroc 2021 (242 t) + 53,75 tonnes ( reliquat= 25% du quota initial 2019 (215 tonnes) ). Rec ICCAT 17-04, 20-04</t>
  </si>
  <si>
    <t>Quota ajustée 2022: 295,75 tonnes  = quota initial alloué au Maroc 2022 (242 t) + 53,75 tonnes ( reliquat= 25% du quota initial 2020 (215 tonnes) ). Rec ICCAT 17-04, 20-04</t>
  </si>
  <si>
    <t>Quota ajustée 2023: 302,50 tonnes  = quota initial alloué au Maroc 2023 (242 t) + 60,50 tonnes ( reliquat= 25% du quota initial 2021 (242 tonnes) ). Rec ICCAT 21-04</t>
  </si>
  <si>
    <t>Quota ajustée 2018 : 900 tonnes = 950 (quota initial 850+100 tranféré du japon) - 50 de surconsommation de 2016</t>
  </si>
  <si>
    <t>Quota ajustée 2019: 1000 tonnes = quota initial alloué au Maroc 2019 (850t)+ 100t (transférées par le Japon au Maroc) + 50 de sousconsommation de 2017</t>
  </si>
  <si>
    <t>Quota ajustée 2020: 995 tonnes = quota initial alloué au Maroc 2020 (850t) + 150t (transférées par le Japon au Maroc)+20t (transférée par le Taipei Chinois)+ 25t (transférée par le Trinité-et-Tobago) - 50 de surconsommation de 2018</t>
  </si>
  <si>
    <t>Quota ajustée 2021: 1095 tonnes = quota initial alloué au Maroc 2020 (850t) + 150t (transférées par le Japon au Maroc)+20t (transférée par le Taipei Chinois)+ 25t (transférée par le Trinité-et-Tobago) + 50 de sousconsommation de 2019</t>
  </si>
  <si>
    <t>Quota ajusté 2022: 1104,18 tonnes = quota initial alloué au Maroc (850t)+ 150t (transférées par le Japon au Maroc)+20t (transférée par le Taipei Chinois)+ 25t (transférée par le Trinité-et-Tobago) + 59,18 (15% du quota initail) de sousconsommation de 2020</t>
  </si>
  <si>
    <t>Quota ajusté 2023:  1172,50 tonnes = quota initial alloué au Maroc (850t) + 127,50 (15% du quota initail) de sousconsommation de 2021+ 150t (transférées par le Japon au Maroc)+20t (transférée par le Taipei Chinois)+ 25t (transférée par le Trinité-et-Tobago) . Rec ICCAT 21-02</t>
  </si>
  <si>
    <t>Quota ajustée 2023: 3703 tonnes = quota initial alloué au Maroc 2023 (3700 t) + 3 tonnes (reliquat de l'année 2022) Rec. 22-08</t>
  </si>
  <si>
    <t>Quota ajustée 2020: 3488.62 = quota initial alloué au Maroc 2020 (3284 t) + 204.62 t (transféré par l'Egypte au Maroc). Recommandation ICCAT 19-04</t>
  </si>
  <si>
    <t>Quota ajustée 2021: 3318,91 tonnes = quota initial alloué au Maroc 2020 (3284 t) + 34,91 tonnes (reliquat de l'année 2020). Rec. 20-07</t>
  </si>
  <si>
    <t>Quota ajustée 2022: 3568,27 tonnes = quota initial alloué au Maroc 2020 (3284 t) + 24,65 tonnes (reliquat de l'année 2021) transfert de l'Egypte (259,62 tonnes) Rec. 21-08</t>
  </si>
  <si>
    <t>Quota ajustée 2024: -02 tonnes = quota initial alloué au Maroc 2021 (10t) -12 tonnes (surconsommation). Recommandation ICCAT 19-05/para 3 amendant la Rec 15-05</t>
  </si>
  <si>
    <t>Quota ajustée 2020: -42 tonnes = quota initial alloué au Maroc 2020 (10t) - 52 t (surconsommation). Recommandation ICCAT 19-05/para 3 amendant la Rec 15-05</t>
  </si>
  <si>
    <t>Quota ajustée 2021: -32 tonnes = quota initial alloué au Maroc 2021 (10t) - 42 tonnes (surconsommation). Recommandation ICCAT 19-05/para 3 amendant la Rec 15-05</t>
  </si>
  <si>
    <t>Quota ajustée 2022: -22 tonnes = quota initial alloué au Maroc 2022 (10t) - 32 tonnes (surconsommation). Recommandation ICCAT 19-05/para 3 amendant la Rec 15-05</t>
  </si>
  <si>
    <t>Quota ajustée 2023: -12 tonnes = quota initial alloué au Maroc 2023 (10t) -22 tonnes (surconsommation). Recommandation ICCAT 19-05/para 3 amendant la Rec 15-05</t>
  </si>
  <si>
    <t>ALBANIA</t>
  </si>
  <si>
    <t>Q2022+5%Q2021=170+0.05*170</t>
  </si>
  <si>
    <t>2022: Current catches for the year 2021 were 148.4 ton (underharvest) and we used the total amount of 5% of the quota of previues year (8.5 t). 1t dedicated to bycacth aacording to Albania´s 2022 BFTE Fishing plan</t>
  </si>
  <si>
    <t>IQ2019+25%Q2017</t>
  </si>
  <si>
    <t>IQ2020+25%Q2018</t>
  </si>
  <si>
    <t>IQ2021+25%Q2019</t>
  </si>
  <si>
    <t>IQ2022+25%Q2020</t>
  </si>
  <si>
    <t>IQ2023+25%Q2021</t>
  </si>
  <si>
    <t>Belize is carrying forward 25% of its initial catch limit (60.5t) from its balance of 283.42t in 2022 to be used in 2024</t>
  </si>
  <si>
    <t>*Belize is carrying forward 25% of its initial balance (62.5 t) from its balance of 281.66 in 2021 to be used in 2023</t>
  </si>
  <si>
    <t>*Belize is carrying forward 40% of its initial limit (52 t) from its initial balance of 163 t in 2021 to be used in 2023. Transfer of 75 t from Trinidad and Tobago to Belize</t>
  </si>
  <si>
    <t>*Belize is carrying forward 40% of its initial limit (52 t) from its initial balance of 187.26 t in 2022 to be used in 2024. Transfer of 75 t from Trinidad and Tobago to Belize</t>
  </si>
  <si>
    <t>2023 = Initial allocation + transfers (from Senegal 125t, Japan 35t, Chinese Taipe 35t, and the EU 327t) + underage from 2021 (202.2t - max. carry forward)</t>
  </si>
  <si>
    <t>2022 = Initial allocation + Mexican transfer (60) + SPM transfer (4.78) + underharvest from 2021 (51.33)</t>
  </si>
  <si>
    <t>Adjusted limited for 2023=242(initial quota)+4.43(carryover 2021)=246.43</t>
  </si>
  <si>
    <t>Adjusted limit for 2023=initial quota(240)+200*25%(not exceeding the balance of 2021)=290</t>
  </si>
  <si>
    <t>Adjusted limit for 2023=initial quota(100)+available balance of 2021 (100*15%=15t)=115t</t>
  </si>
  <si>
    <t>Adjusted limit for 2023=initial quota(313)+313*10%(carryover 2021)= 344.3</t>
  </si>
  <si>
    <t>Adjusted limite for 2023=initial quota(4426.38)+4390.69*10%+600 ton transfer from Japan=5465.45</t>
  </si>
  <si>
    <t>According to Rec. 19-05 Para 3c): “Starting with 2020 catches, any underharvest by a CPC of its annual landings limit may not be carried forward to a subsequent year.”</t>
  </si>
  <si>
    <t>2023 adjusted quota is 5321.13 t (=4416.9+4416.9*0.25-200)  due to the inclusion of 2021 underage and 2023 initial catch quota and the deduction of transfers of 200 t to Belize.</t>
  </si>
  <si>
    <t>=4416.9+4416.9*0.25-200</t>
  </si>
  <si>
    <t xml:space="preserve">2023 adjusted quota is 323 t (=270+270*40%-35-20) due to the inclusion of 2021 underage and 2023 initial catch quota and the deduction of respective transfers of 35 t to Canada and 20 t to Morocco. </t>
  </si>
  <si>
    <t>=459+459*10%</t>
  </si>
  <si>
    <t>2023 adjusted quota is 504.9 t (=459 + 459*10%) due to the inclusion of 2022 underage and 2023 initial catch quota.</t>
  </si>
  <si>
    <t>=101-50</t>
  </si>
  <si>
    <t>2023 adjusted quota is 51 t (=101-50) due to the transfer of 50t to Korea.</t>
  </si>
  <si>
    <t>Límite ajustado para 2023 = 242 + 60,5 = 302,50 t</t>
  </si>
  <si>
    <t>[8]</t>
  </si>
  <si>
    <t>[8]= Límite de 2023 + balance de 2022</t>
  </si>
  <si>
    <t xml:space="preserve">** Durante los años anteriores a 2020, El Salvador no estaba sujeto a límite (Rec. 16-01, Par 34.a), sino a una expectativa de pesca, por ello No Aplica los límites, limites ajustados ni saldos. Para el año 2020 (Rec. 19-02) se reconoce un límite.																										</t>
  </si>
  <si>
    <t>* De acuerdo a la Rec. 19-02 Para 3 el TAC de BET se reduce de 62500t en 2020 a 61500t en 2021, esto representa una disminución del 1.6%. La Secretaría ha aplicado esta reducción a todas las cuotas/límites de captura/umbrales calculados para 2020 con el fin de obtener los valores proporcionales para 2021.</t>
  </si>
  <si>
    <t>2022(***)</t>
  </si>
  <si>
    <t>*** De conformidad con el párrafo 3 de la Rec. 21-01 el TAC de patudo se reduce, pasando de 62.500 t en 2020 a 62.000 t en 2022, esto representa una disminución del 0.8 %. La Secretaría ha aplicado esta reducción a todas las cuotas/límites de captura calculados para 2020 con el fin de obtener los valores proporcionales para 2022.</t>
  </si>
  <si>
    <t>=215+(MAX. 25% from 2021 quota= 13.27t)</t>
  </si>
  <si>
    <t>The applied methodology is described in Recs. 13-06, 16-07, 20-05, 21-05, 22-06</t>
  </si>
  <si>
    <t>The applied methodology is described in Recs. 16-03, 17-02, 19-03, 20-02, 21-02, 22-03</t>
  </si>
  <si>
    <t>2 : limite 2015 + 25% quota de capture initial 2014 (REC 11-04 et REC 13-05)</t>
  </si>
  <si>
    <t>3 : limite 2016 + 25% quota de capture initial 2015 (REC 13-05)</t>
  </si>
  <si>
    <t>4 : limite 2017 + 25% quota de capture initial 2016 (REC 13-05 et REC 16-06)</t>
  </si>
  <si>
    <t>5 : limite 2018 + 25% quota de capture initial 2017 (REC 16-06 et REC 17-04)</t>
  </si>
  <si>
    <t>6 : limite 2019 + 25% quota de capture initial 2018 (REC 16-06 et REC 17-04)</t>
  </si>
  <si>
    <t>7 : limite 2020 + 25% quota de capture initial 2019 (REC 16-06 et REC 17-04)</t>
  </si>
  <si>
    <t>8 : limite 2021 + 25% quota de capture initial 2020 (REC 20-03)</t>
  </si>
  <si>
    <t>9 : limite 2022 + 25% quota de capture initial 2021 (REC 20-03)</t>
  </si>
  <si>
    <t>10 : limite 2023 + 25% quota de capture initial 2022 (REC 20-03)</t>
  </si>
  <si>
    <t>9:  limite 2023+ 100% allocation de quota initiale (MAX Solde 2022=3.46) - CAN transfer (5.18t)  = 6.18+3.46-5.18= 4.46</t>
  </si>
  <si>
    <t>242+(242*0.25)</t>
  </si>
  <si>
    <t>2022= 149.34+33.44-transfer to Canada (60t) por Rec. 21-07</t>
  </si>
  <si>
    <t>JAPAN-N-ALB:Japan's 2022 adjusted limit = BET 2022 catch * 4.5% (Para8 of Rec21-04)</t>
  </si>
  <si>
    <t>JAPAN-S-ALB: 2023 adjusted limit = 1,630t(Limit)+206.15t(2021 carry over (para 4 of Rec. 22-06))+100(transfer from Brazil (para 3 of Rec. 22-06))+100(transfer from Uruguay(para 3 of Rec. 22-06))+100(transfer from South Africa (para 3 of Rec. 22-06))</t>
  </si>
  <si>
    <t>JAPAN-S-SWO:Japan's 2023 adjusted limit  = 901t(Limit)+600.00t(2021 carry over(Para1(2) of Rec22-04))-50t(transfer to Namibia(Para5 of Rec.17-03))</t>
  </si>
  <si>
    <t>JAPAN-E-BFT:Japan's 2023 adjusted limit = 3114.00t(Limit)(Para4 of Rec22-08)+44.4t(2022 carry over (Para6 of Rec 22-08))</t>
  </si>
  <si>
    <t>JAPAN-W-BFT:Japan's 2022 adjusted limit = 664.52t(Limit)+0.73t(2021 carry over(Para7a of Rec17-06 )</t>
  </si>
  <si>
    <t>JAPAN-W-BFT:Japan's 2023 adjusted limit = 664.52t(Limit)+7.45t(2022 carry over(Para6a of Rec22-10 )</t>
  </si>
  <si>
    <t>JAPAN-BIGEYE:Japan's 2023 adjusted limit = 13868.00(Para 4 of Rec.21-01)+1375.61 (2021 carry over(13756.16*10%)(Para12 of Rec21-01)-600(transfer to China (Footnote2 of Para.8  of Rec.22-01))-300(transfer to Europian Union (Footnote 2 of Para.8 of Rec.22-01))</t>
  </si>
  <si>
    <t>JAPAN-BUM:Japan's 2023 adjusted limit = 328.1t(Limit)(Para2 of Rec19-05)</t>
  </si>
  <si>
    <t>JAPAN-WHM・SPF:Japan's 2023 adjusted limit =35t(Limit)(Para2 of Rec19-05)</t>
  </si>
  <si>
    <t>JAPAN-N-BSH: current catch for 2021 includes  21.9t of dead discard.</t>
  </si>
  <si>
    <t>JAPAN-N-BSH:Japan's 2022 adjusted limit = 4,010t(Para1 of Rec21-10)</t>
  </si>
  <si>
    <t>JAPAN-N-BSH:Japan's 2023 adjusted limit = 4,010t(Para1 of Rec21-10)</t>
  </si>
  <si>
    <t>* Adjusted limit 2023 = initial limit 2023 (5280) + available balance 2021(not to exceed 25% of initial quota) (674.61) -100t transferred to JPN</t>
  </si>
  <si>
    <t>URUGUAY</t>
  </si>
  <si>
    <t>* Adjusted limit 2023 = initial limit 2023 (530) + available balance 2021(not to exceed 25% of initial quota) (110) - 100t transferred to JPN</t>
  </si>
  <si>
    <t>2023: IQ2023 + 25% MAX2020 - 100t transferred to JPN</t>
  </si>
  <si>
    <t>2600+(0.25*2160)-100</t>
  </si>
  <si>
    <t>(242*0.25)+242</t>
  </si>
  <si>
    <t>2023**</t>
  </si>
  <si>
    <t>**Underage up to 20% of the initial catch quota has been carried over biennially Rec.17-03. Quota calculated from 2018 to 2022</t>
  </si>
  <si>
    <t>Rec.22-04 the maximum underage that a party may carryover in any given year shall not exceed 10%of the quota of the previous year.</t>
  </si>
  <si>
    <t>50+(50*0.1)</t>
  </si>
  <si>
    <t>Rec 22-08 para 4 : Depending on availability, Chinese Taipai may transfer up to 50t of its quota to Korea in 2023 to 2025.</t>
  </si>
  <si>
    <t>Korea carried forward its unused quota of 2022(7.72t) to 2023 which is under 5% of 2022 quota (Rec 22-08 Para 6)</t>
  </si>
  <si>
    <t>200+50+7.72</t>
  </si>
  <si>
    <t>Rec.22-01 para12:underage of an annual catch limit in 2021 shall be added to their 2023 annual catch limit, subject to 10% of initial quota restrictions</t>
    <phoneticPr fontId="7" type="noConversion"/>
  </si>
  <si>
    <t>* Information and explanation regarding Korea`s 2023 catch limit are available in Document PA1_11 and PA1_35, submitted for the March PA1 meeting in 2023.</t>
    <phoneticPr fontId="7" type="noConversion"/>
  </si>
  <si>
    <t>(984*0.10)+992 - 223</t>
  </si>
  <si>
    <t>From 2016 to 2023, USA has transferred 50t to Namibia in accordance with Rec. 16-04/17-03.</t>
  </si>
  <si>
    <t>Underage up to 10% of the initial catch quota has been carried over biennially Rec.22-04. Quota calculated from 2023 on</t>
  </si>
  <si>
    <t>=3600+25%3600</t>
  </si>
  <si>
    <t>=4320+25%3600</t>
  </si>
  <si>
    <t>2023*</t>
  </si>
  <si>
    <t>2024*</t>
  </si>
  <si>
    <t>2025*</t>
  </si>
  <si>
    <t>*Rec 22.06 para 5: Overharvest in 2022 deducted in 2024 and no underages can be carried over from 2023 to 2025</t>
  </si>
  <si>
    <t>=4320 - overharvest 2022</t>
  </si>
  <si>
    <t>no carry over from 2023 due to overharvest 2022</t>
  </si>
  <si>
    <t>Limite ajustee 2022 = Limite 2022 + max. Solde (Limite 2021*0.4) -transfert Canada (125 t+25 t) = 250 + (250 * 0.4) -150= 200 t</t>
  </si>
  <si>
    <t>Limite ajustee 2023 = Limite 2023 + max. Solde (Limite 2022*0.4) -transfert Canada (125 t) = 250 + (250 * 0.4) -125= 200 t</t>
  </si>
  <si>
    <t>le calcul du quota ajusté 2023 prend en compte le solde  MAX de 2022 (Limite 2022 * 0.1 = 417*0.1=41.7) auquel est ajouté la limite 2023 417 t) ce qui donne (41.7+417=458.7) t</t>
  </si>
  <si>
    <t>2023: The 2022 underage is greater than the maximum amount that can be carried over to 2023 (&lt;= 40% of original catch limit); hence the amount carried over is 50 t (0.4*125).
Additionally, 75 t and 25 t were transferred to Belize and Morocco respectively; hence 100 is subtracted from the sum of the initial catch limit and the allowed carry over, to arrive at the final adjusted limit of 75 t.</t>
  </si>
  <si>
    <t>8(A)=IQ2023+2t EU transfer provided by Rec. 19-05.</t>
  </si>
  <si>
    <t>Pour l'année 2023 le quota ajusté est de 3020  ( le quota initial 3000T+quota non consommé  des prises accessoires 2022 (20T)</t>
  </si>
  <si>
    <t>(7)</t>
  </si>
  <si>
    <t>(7) Límite ajustado 2023 = Límite 2023 + Saldo 2022</t>
  </si>
  <si>
    <t>IQ2024+MAX 25% IQ2022</t>
  </si>
  <si>
    <t>IQ2024+MAX 40% IQ2022</t>
  </si>
  <si>
    <t>IQ2022+Max5%IQ2021</t>
  </si>
  <si>
    <t>IQ2023+Max5%IQ2022</t>
  </si>
  <si>
    <t>IQ2024+Max5%IQ2023</t>
  </si>
  <si>
    <t xml:space="preserve">2023: The UK's IQ in 2023 is 63t. The UK's catches in 2022 were 4.61t,. The UK wants to carry over 5% of 2022 quota to 2023. Thus the UK's adjusted limit in 2023 is 65.42t. </t>
  </si>
  <si>
    <t>IQ2022+MAX100%IQ2021</t>
  </si>
  <si>
    <t>IQ2023+MAX100%IQ2022</t>
  </si>
  <si>
    <t>IQ2024+MAX100%IQ2023</t>
  </si>
  <si>
    <t xml:space="preserve">2023: The UK's quota for W.BFT for 2023 is 6.18. The UK's catches in 2022 were 0.t . The UK is permitted to transfer a maximum of 100% of 2022 Initial Quota to 2023. When the UK's carry over amount is combined with the UK's TAC for 2023. The adjusted quota for 2023 is 12.36t. </t>
  </si>
  <si>
    <t>TÜRKIYE</t>
  </si>
  <si>
    <t>ALBMed</t>
  </si>
  <si>
    <t>(*)</t>
  </si>
  <si>
    <t>(*) Türkiye transfers to EU 75 t in 2023, 75 t in 2024 and for the following years, any part of the ünüsed qüota üp to maximüm of 75 t.</t>
  </si>
  <si>
    <t>Adjusted limit for 2023 = 711.5  + (.25)(711.5) = 889.38</t>
  </si>
  <si>
    <t>Adjusted limit for 2023 = 3907.0 + (0.15)(3907) = 4493.05 t</t>
  </si>
  <si>
    <t>Adjusted limit for 2023 = 100.0 - (100 t (Namibia (50 t), Cote d'Ivoire (25 t), Belize (25 t)) + 100.0</t>
  </si>
  <si>
    <t>Adjusted limit for 2023 = 1341.14 + 106.54 = 1447.68 t****</t>
  </si>
  <si>
    <t>Initial quota/catch limit includes 25 t allocation for by-catch, as per Rec. 16-08 para 6a, Rec. 17-06 para 6a, Rec. 20-06 Para 1(4), Rec. 21-07 Para 1(D), and Rec. 22-10 para 5a.</t>
  </si>
  <si>
    <t>=10340+1005</t>
  </si>
  <si>
    <t>2023 adjusted quota is 11345.00 t (=10340+1005) due to the inclusion of 2021 underage and 2023 initial catch quota + 0 t (Rec. 22-06 Para 4b) as complement from total underage from the TAC</t>
  </si>
  <si>
    <t xml:space="preserve">In 2020 the underharvest for the EU was of 325,97 t, which is less than the maximum allowed 5% provided in Rec 19-04. Therefore, the EU is entitled to carry over  325,97 t to 2021. </t>
  </si>
  <si>
    <t>Limit 2021 + MAX5% 2020 (325.97) - 48.40 to UK</t>
  </si>
  <si>
    <t>Limit 2022 + MAX5% 2021 (573.90) - 48.40 to UK</t>
  </si>
  <si>
    <t>In Addition, the EU will transfer to United Kingdom 0,25% of its initial quota (corresponding to 19360 t) in 2021 and 2022. (48.40t)</t>
  </si>
  <si>
    <t xml:space="preserve">In 2021 the underharvest for the EU was of 573.90 t, which is less than the maximum allowed 5% provided in Rec 19-04. Therefore, the EU is entitled to carry over  573.90 t to 2022 if the current management arrangments are maintained. In Addition, the EU will transfer to United Kingdom 48,40t in 2022. </t>
  </si>
  <si>
    <t>Limit 2023+limit 2021*0,10</t>
  </si>
  <si>
    <t>In 2021 the underharvest for the EU was of 548,06 t, which is greater than the maximum allowed 10% provided in Rec 22-04. Therefore, the EU is entitled to carry over  482.4 t to 2023</t>
  </si>
  <si>
    <t>Limit 2023 +  10% Limit 2021</t>
  </si>
  <si>
    <t>2023 Limit - 2t</t>
  </si>
  <si>
    <t>50 + Balance 2020</t>
  </si>
  <si>
    <t>50 + Balance 2021</t>
  </si>
  <si>
    <t xml:space="preserve">
**Underage up to 40% of the initial catch quota has been carried over biennially Rec.17-02. Quota calculated from 2018 on</t>
  </si>
  <si>
    <t>2023 = Initial allocation + SPM transfer (5.18) + underharvest from 2022 (39.59) + Mexican transfer (60t)</t>
  </si>
  <si>
    <t>2023= 149.34+62.78-transfer to Canada (60t) por Rec. 22-10</t>
  </si>
  <si>
    <t>JAPAN-BUM:Japan's 2024 adjusted limit = 328.1t - overharvest 2022</t>
  </si>
  <si>
    <t>= 140 + MAX 25% IQ 2020</t>
  </si>
  <si>
    <t>= 170 + MAX 25% IQ 2021</t>
  </si>
  <si>
    <t>[6]= Límite de 2022 + 125% BALANCE de 2021</t>
  </si>
  <si>
    <t>[7]= Límite de 2023 + 125% BALANCE de 2022</t>
  </si>
  <si>
    <t>[2]= Límite de 2018 + balance de 2017</t>
  </si>
  <si>
    <t>[3]= Límite de 2019 + balance de 2018</t>
  </si>
  <si>
    <t>[4]= Límite de 2020 + balance de 2019</t>
  </si>
  <si>
    <t>[5]= Límite de 2021 + BALANCE de 2020</t>
  </si>
  <si>
    <t>[6] = 2022 limit + 125% 2021 Balance</t>
  </si>
  <si>
    <t>[7] = 2023 limit + 125% 2022 Balance</t>
  </si>
  <si>
    <t>SAO TOMÉ AND PRÍNCIPE</t>
  </si>
  <si>
    <t>[2] = 2018 limit + MAX 20% 2017 Balance</t>
  </si>
  <si>
    <t>[3] = 2019 limit + MAX 20% 2018 Balance</t>
  </si>
  <si>
    <t>[1] = 2017 limit + MAX 20% 2016 Balance</t>
  </si>
  <si>
    <t>[4] = 2020 limit + MAX 20% 2019 Balance</t>
  </si>
  <si>
    <t>[5] = 2021 limit</t>
  </si>
  <si>
    <t>(6) Límite ajustado 2022 = Límite 2022 + 125% Saldo 2021</t>
  </si>
  <si>
    <t>(7) Límite ajustado 2023 = Límite 2023 + 125% Saldo 2022</t>
  </si>
  <si>
    <t>* Adjusted limit 2022 = initial limit 2022 (4400) + available balance 2020(not to exceed 25% of initial quota) (874.08) - ZAF will invoke para 4f of the ICCAT Rec. 16-07, supplemented by ICCAT Rec. 21-05 to cover the over shooting of its catch limits (URY: 52.95  BRA: 259.96t)</t>
  </si>
  <si>
    <t>* Adjusted limit 2022 = initial limit 2022 (440) + available balance 2020(not to exceed 25% of initial quota) (110) - 52.95t [ZAF will invoke para 4f of the ICCAT Rec. 16-07, supplemented by ICCAT Rec. 21-05 to cover the over shooting of its catch limits (URY: 52.95  BRA: 259.96t]</t>
  </si>
  <si>
    <t>2022: IQ2022 + 25% MAX2020 - 129.95t [South Africa will invoke para 4f of the ICCAT Rec. 16-07, supplemented by ICCAT Rec. 21-05 to cover the over shooting of its catch limits (URY: 52.95  BRA: 259.96t)]</t>
  </si>
  <si>
    <t>2160+(0.25*2160)-259.96</t>
  </si>
  <si>
    <t>IQ(2015)+BALANCE(2013)</t>
  </si>
  <si>
    <t>IQ(2016)+BALANCE(2014)</t>
  </si>
  <si>
    <t>IQ(2017)+BALANCE(2015)</t>
  </si>
  <si>
    <t>IQ(2018)+BALANCE(2016)</t>
  </si>
  <si>
    <t>IQ(2019)+BALANCE(2017)</t>
  </si>
  <si>
    <t>IQ(2020)+BALANCE(2018)</t>
  </si>
  <si>
    <t>IQ(2021)+BALANCE(2019)</t>
  </si>
  <si>
    <t>IQ(2022)+125% BALANCE(2020)</t>
  </si>
  <si>
    <t>IQ(2023)+125% BALANCE(2021)</t>
  </si>
  <si>
    <t>IQ(2015)+ MAX 20% INITIAL QUOTA(2013)</t>
  </si>
  <si>
    <t>IQ(2016)+ MAX 20% INITIAL QUOTA(2014)</t>
  </si>
  <si>
    <t>IQ(2017)+MAX 20% INITIAL QUOTA(2015)</t>
  </si>
  <si>
    <t>*Belize is carrying forward 25% of its initial balance (62.5 t) from its balance of 299.76 in 2022 to be used in 2024.   As total 2022 underage is only 153.83t, pro rata carry over is 3.72t</t>
  </si>
  <si>
    <t>Adjusted limit for 2024=initial quota(240) +  2.98. As total 2022 underage is only 153.83t, pro rata carry over is 2.98t</t>
  </si>
  <si>
    <t>=10340+139.98</t>
  </si>
  <si>
    <t>=120+1.49</t>
  </si>
  <si>
    <t>2024 adjusted quota is 120+1.49 due to the inclusion of 2022 underage and 2024 initial catch quota.  As total 2022 underage is only 153.83t, pro rata carry over is 1.49</t>
  </si>
  <si>
    <t>2.08+170</t>
  </si>
  <si>
    <t xml:space="preserve"> As total 2022 underage is only 153.83t, pro rata carry over is 2.08t</t>
  </si>
  <si>
    <t>= 170 + 2.08</t>
  </si>
  <si>
    <t>=IQ2024+1.49</t>
  </si>
  <si>
    <t>2024: The UK's balance for 2022 was 125t,  As total 2022 underage is only 153.83t, pro rata carry over is 1.49t</t>
  </si>
  <si>
    <t>(1) Actual catch amount made by Türkiye in 2022 correspond to 2294.85 t (out of 2305 t). 10.15 t of underharvest from the year 2022 is to be carried-over. Adjusted quota for 2023 = 2600 t (Quota) +10.15 t (carried-over amount) + (440.79+67.08) from EGY + 128 from SYR = 3246.02</t>
  </si>
  <si>
    <t>(1) Curacao agreed on a payback plan for blue marlin of 2.5 tons per year from 2022 on. First year 2.53t. (Approved)</t>
  </si>
  <si>
    <t>*Senegal agreed on a payback plan for 2020 bigeye overharvest of 1377.77 t: 137.77 tons per year from 2023 to 2032 on. (Approved)</t>
  </si>
  <si>
    <t>The overharvest of bigeye tuna of 1,587.34 t for 2022 shall be paid back over a period of 5 years, from 2024 to 2028, in the following way: 2024: 355.34 t 2025 to 2028: 308 t</t>
  </si>
  <si>
    <t>IQ2024- 355.34</t>
  </si>
  <si>
    <t>IQ2027 -308</t>
  </si>
  <si>
    <t>IQ2028 -308</t>
  </si>
  <si>
    <r>
      <t>Data obtained from Task 1 whenever no data was reported in the Compliance Tables are shown in</t>
    </r>
    <r>
      <rPr>
        <sz val="11"/>
        <rFont val="Cambria"/>
        <family val="1"/>
      </rPr>
      <t xml:space="preserve"> </t>
    </r>
    <r>
      <rPr>
        <b/>
        <sz val="11"/>
        <rFont val="Cambria"/>
        <family val="1"/>
      </rPr>
      <t>bold</t>
    </r>
    <r>
      <rPr>
        <b/>
        <sz val="10"/>
        <rFont val="Cambria"/>
        <family val="1"/>
      </rPr>
      <t xml:space="preserve"> / </t>
    </r>
    <r>
      <rPr>
        <sz val="10"/>
        <rFont val="Cambria"/>
        <family val="1"/>
      </rPr>
      <t xml:space="preserve">Les données obtenues dans le cadre de la tâche 1 lorsqu'aucune donnée n'a été déclarée dans les tableaux d’application figurent en </t>
    </r>
    <r>
      <rPr>
        <b/>
        <sz val="11"/>
        <rFont val="Cambria"/>
        <family val="1"/>
      </rPr>
      <t>gras</t>
    </r>
    <r>
      <rPr>
        <sz val="10"/>
        <rFont val="Cambria"/>
        <family val="1"/>
      </rPr>
      <t xml:space="preserve"> / En </t>
    </r>
    <r>
      <rPr>
        <b/>
        <sz val="11"/>
        <rFont val="Cambria"/>
        <family val="1"/>
      </rPr>
      <t>negrita</t>
    </r>
    <r>
      <rPr>
        <sz val="10"/>
        <rFont val="Cambria"/>
        <family val="1"/>
      </rPr>
      <t xml:space="preserve"> datos obtenidos de Tarea I cuando no se han reportado datos en las tablas de Cumplimiento</t>
    </r>
  </si>
  <si>
    <t>Quota ajustée 2024: 362,50 tonnes  = quota initial alloué au Maroc 2024 (302 t) + 60,50 tonnes ( reliquat= 25% du quota initial 2022 (242 tonnes) ). Rec ICCAT 21-04, 23-05</t>
  </si>
  <si>
    <t>2024: For 2024 the UK's intial quota is 752.8t of N.ALB. The UK's catches in 2022 were 125.35. Consequently the UK has a remaining balance of 370.65t. The UK is allowed to carry over unused quota to 2024 at the max carry over rate of 25% of its IQ2022 (110.56). When the 25% is applied to the IQ2022 and the quota for 2024 is added, the adjusted quota for 2024 is 863.36t</t>
  </si>
  <si>
    <t>GRENADA</t>
  </si>
  <si>
    <t>IQ(2017)+BALANCE(2016)</t>
  </si>
  <si>
    <t>IQ(2018)+BALANCE(2017)</t>
  </si>
  <si>
    <t>IQ(2019)+BALANCE(2018)</t>
  </si>
  <si>
    <t>IQ(2020)+BALANCE(2019)</t>
  </si>
  <si>
    <t>IQ(2021)+BALANCE(2020)</t>
  </si>
  <si>
    <t>IQ(2022)+125% BALANCE(2021)</t>
  </si>
  <si>
    <t>IQ(2023)+125% BALANCE(2022)</t>
  </si>
  <si>
    <t>IQ(2022)+ BALANCE(2021)</t>
  </si>
  <si>
    <t>IQ(2023)+ BALANCE(2022)</t>
  </si>
  <si>
    <t>Limit 2023 + MAX5% 2022 (973t)</t>
  </si>
  <si>
    <t>Pour l'année 2022 , le quota ajusté est de 2679.72  ( le quota initial 2655T+quota non consommé  des prises accessoires 2021 (24,72T), les prises réalisées par les senneurs  en 2022 est de 2652,762 t , les prises accessoires ( 26,55T) n'ont pas encore été arrétées</t>
  </si>
  <si>
    <t>(1) In accordance with Rec. 19-04 Para 10, Syria will transfer 79.2 t to Tunisia to be caught by vessel (MOHAMED ESSADOK,  AT000TUN00051) for only this fishing season 2021</t>
  </si>
  <si>
    <t>(2) In accordance with Rec. 22-08 Para 8, Syria will transfer 128t to TUR to be caught by vessel (Tuncay Sagun 2	AT000TUR00455) for only this fishing season 2023</t>
  </si>
  <si>
    <t>(3) In accordance with Rec. 22-08 Para 8, Syria will transfer 128t to TUR to be caught by vessels (BANDIRMA BALIKÇILIK AT000TUR08044 39630 kg, KORKMAZLAR BALIKÇILIK AT000TUR07905 88370 kg) for only this fishing season 2024</t>
  </si>
  <si>
    <t>2024 adjusted limit: Egypt intends to transfer 507.87 ton from its quota to Türkiye</t>
  </si>
  <si>
    <t>(2) Adjusted quota for 2024 = 2600 t (Quota) -35.13t overharvest in 2023 + 128t from SYR + 507.87t from EGY = 3200.74t</t>
  </si>
  <si>
    <t>2024 adjusted quota is 51 t (=101-50) due to the transfer of 50t to Korea.</t>
  </si>
  <si>
    <t>Quota ajustée 2025: 362,50 tonnes  = quota initial alloué au Maroc 2024 (302 t) + 60,50 tonnes ( reliquat= 25% du quota initial 2022 (242 tonnes) ). Rec ICCAT 21-04, 23-05</t>
  </si>
  <si>
    <t>Quota ajusté 2024:  1261,83 tonnes = quota initial alloué au Maroc (850 t) + 18,81 t (reliquat= 15% du quota initial 2022 (850 t) + 150 t (transférées par le Japon au Maroc)+20 t (transférée par le Taipei Chinois)+ 25 t (transférée par le Trinité-et-Tobago) + 200 T (Transfrt des Etats Unies dés la soumission du plan de pêche). Rec ICCAT 21-02, 23-04</t>
  </si>
  <si>
    <t>Quota ajusté 2025: 1272,43 tonnes = quota initial alloué au Maroc (850 t) + 27,43 t (reliquat= 15% du quota initial 2022 (850 t) + 150 t (transférées par le Japon au Maroc)+20 t (transférée par le Taipei Chinois)+ 25 t (transférée par le Trinité-et-Tobago) + 200 T (Transfrt des Etats Unies dés la soumission du plan de pêche). Rec ICCAT 21-02, 23-04</t>
  </si>
  <si>
    <t>Quota ajustée 2024: 3739 tonnes = quota initial alloué au Maroc 2024 (3700 t) + 39 tonnes (reliquat de l'année 2023) Rec. 22-08, 23-06</t>
  </si>
  <si>
    <t>2015 = Initial allocation + Mexican transfer (86.50) + underage from 2014 (24.4)</t>
  </si>
  <si>
    <t>2016 = Initial allocation  + mexican transfer (51.98) + underage from 2014 (30.03)</t>
  </si>
  <si>
    <t>2017 = Initial allocation  + 55.98 (transfer from MEX) Rec. 16-08 + underharvest from 2016 (MAX 10% IQ 2016)</t>
  </si>
  <si>
    <t>2024 adjusted quota is 6425.33 t (=5521.1+4416.9*0.25-200)  due to the inclusion of 2022 underage and 2024 initial catch quota and the deduction of transfers of 200 t to Belize.</t>
  </si>
  <si>
    <t>=5521.1+4416.9*0.25-200</t>
  </si>
  <si>
    <t xml:space="preserve">2024 adjusted quota is 323 t (=270+270*40%-35-20) due to the inclusion of 2022 underage and 2024 initial catch quota and the deduction of respective transfers of 35 t to Canada and 20 t to Morocco. </t>
  </si>
  <si>
    <t>11 : limite 2024 + 25% quota de capture initial 2023 (REC 23-05)</t>
  </si>
  <si>
    <t>8 : limite 2022 + 40% limite de capture initiale (Rec.21-02) + 40 tonnes transférées de l'Union Européenne (REC 17-02)=40+(40*0.4)+40=96</t>
  </si>
  <si>
    <t>7 : limite 2021 + 40% limite de capture initiale (Rec.20-02) + 40 tonnes transférées de l'Union Européenne (REC 17-02)+ 12,75 tonnes transférées du Vénézuela (REC 17-02)=40+(40*0.4)+40+12.75=108.75</t>
  </si>
  <si>
    <t>6 : limite 2020 + 40% limite de capture initiale (Rec.19-03) + 40 tonnes transférées de l'Union Européenne (REC 17-02)+ 12,75 tonnes transférées du Vénézuela (REC 17-02)=40+(40*0.4)+40+12.75=108.75</t>
  </si>
  <si>
    <t>5 : limite 2019 + 40% limite de capture initiale (Rec.17-02) + 40 tonnes transférées de l'Union Européenne (REC 17-02)+ 12,75 tonnes transférées du Vénézuela (REC 17-02)=40+(40*0.4)+40+12.75=108.75</t>
  </si>
  <si>
    <t>4 : limite 2018 + 40% limite de capture initiale (Rec.17-02) + 40 tonnes transférées de l'Union Européenne (REC 17-02)+ 12,75 tonnes transférées du Vénézuela (REC 17-02)=40+(40*0.4)+40+12.75=108.75</t>
  </si>
  <si>
    <t>10 : limite 2024 + 40% limite de capture initiale (Rec.23-04) + 40 tonnes transférées de l'Union Européenne (REC 17-02)=40+(40*0.4)+40=96</t>
  </si>
  <si>
    <t>10:  limite 2024+ 100% allocation de quota initiale (MAX Solde 2023=4.46) = 6.18+4.46= 10.64</t>
  </si>
  <si>
    <t>2024 = Initial allocation + Mexican transfer (60t) + underharvest from 2023 (53.10)</t>
  </si>
  <si>
    <t>2024 = Initial allocation + transfers (from Senegal 125t, Japan 35t, Chinese Taipe 35t, and the EU 280t) + underage from 2022 (202.2t - max. carry forward)</t>
  </si>
  <si>
    <t>8 (A) = Limit 2023 + Carry over from Balance 2021 MAX. 10%3904.74 (390.47) Rec. 22-01 Para 12</t>
  </si>
  <si>
    <t>ALGERIE</t>
  </si>
  <si>
    <t>Q2024+ max 5%Q2023=2023+23</t>
  </si>
  <si>
    <t>2024: In accordance with paragraph 6 of Rec. 22-08, Algeria requests a transfer of 23 t (1.14%) of its 2023 unused quota to 2024. therefore, the total adjusted national quota will be 2,046 t</t>
  </si>
  <si>
    <t>IQ2024+25%Q2022</t>
  </si>
  <si>
    <t>REC: 17-04, 21-04, 23-05</t>
  </si>
  <si>
    <t>RECs: 17-02, 19-03,21-02,22-03, 23-04</t>
  </si>
  <si>
    <t>IQ(2024)+125% BALANCE(2022)</t>
  </si>
  <si>
    <t xml:space="preserve">Belize is carrying forward 25% of its initial catch limit (60.5t) from its balance of 121.85t in 2023 to be used in 2025. </t>
  </si>
  <si>
    <t xml:space="preserve">*Belize is carrying forward 25% of its initial balance (75 t) from its balance of 362.5 in 2023 to be used in 2025.  </t>
  </si>
  <si>
    <t>*Belize is carrying forward 40% of its initial limit (52 t) from its initial balance of 180.25 t in 2023 to be used in 2025. Transfer of 75 t from Trinidad and Tobago to Belize</t>
  </si>
  <si>
    <t>*Belize is carrying forward 10% of its initial limit (125 t) from its balance of 274.94 t in 2022 to be used in 2024.Transfer of 25 t from USA to Belize. Transfer of 50 t from Brazil to Belize.Transfer of 50 t from Uruguay to Belize</t>
  </si>
  <si>
    <t>*Belize is carrying forward 10% of its initial limit (25 t) from its balance of 245.92 t in 2021 to be used in 2023.Transfer of 25 t from USA to Belize. Transfer of 50 t from Brazil to Belize.Transfer of 50 t from Uruguay to Belize</t>
  </si>
  <si>
    <t>*Belize is carrying forward 10% of its initial limit (125 t) from its balance of 262.5 t in 2023 to be used in 2025.Transfer of 25 t from USA to Belize. Transfer of 50 t from Brazil to Belize.Transfer of 50 t from Uruguay to Belize</t>
  </si>
  <si>
    <t>2024 adjusted quota is 10479.98 t (=10340+139.98) due to the inclusion of 2022 prorata underage and 2024 initial catch quota. As total 2022 underage is only 153.83t, pro rata carry over is 139.98t</t>
  </si>
  <si>
    <t>Adjusted limited for 2024=302(initial quota)+55.88(carryover 2022)=357.88</t>
  </si>
  <si>
    <t>Adjusted limit for 2024=initial quota(100)+available balance of 2022 (100*15%=15t)=115t</t>
  </si>
  <si>
    <t>Adjusted limit for 2024=initial quota(313)+313*10%(carryover 2022)= 344.3</t>
  </si>
  <si>
    <t>Adjusted limite for 2024=initial quota(4426.38)+ (IQ2022) 4226.38*10%+600 ton transfer from Japan=5469.02</t>
  </si>
  <si>
    <t>Límite ajustado para 2024 = 302 + 60,5 = 362,50 t</t>
  </si>
  <si>
    <t>[9]</t>
  </si>
  <si>
    <t>[9]= Límite de 2024 + balance de 2023</t>
  </si>
  <si>
    <t>[8]= Límite de 2024 + 125% BALANCE de 2023</t>
  </si>
  <si>
    <t xml:space="preserve">The underharvest of the EU in 2021 is of 1862,1 t, which corresponds to more than 15% of its 2021 initial catch limit (1007.7t). In line with Rec. 17-02 the EU can carry over 1007.7 t to 2023 if current management arrangments are maintained. The adjusted limit for 2023 takes also into account the transfers to Canada (327t) as provided for in Rec 17-02. </t>
  </si>
  <si>
    <t>Limit 2024 + 2022 balance</t>
  </si>
  <si>
    <t>2023 limit + 0,15*2021 limit -327 CAN</t>
  </si>
  <si>
    <t xml:space="preserve">The underharvest of the EU in 2022 is of 1907,35 t, which corresponds to more than 15% of its 2022 initial catch limit. In line with Rec. 17-02 the EU can carry over 1007.6 t to 2024 if current management arrangements are maintained. The adjusted limit for 2022 takes also into account the transfers to Canada (280) and S. Pierre et Miquelon  (40) as provided for in Rec 17-02. </t>
  </si>
  <si>
    <t xml:space="preserve">In 2022 the underharvest for the EU was of 1282,88 t, which is more than the maximum allowed 10% (482,4t) provided in Rec 22-04. Therefore, the EU is entitled to carry over 482,4 t to 2024 if current management arrangmments are maintained. </t>
  </si>
  <si>
    <t>Limit 2024 +  10% Limit 2022</t>
  </si>
  <si>
    <t>Limit 2024 + MAX5% 2023 (1075,15)</t>
  </si>
  <si>
    <t>In 2022 the underharvest for the EU was of 1034.60 t, which is more than the maximum allowed 5% provided in Rec 22-08. Therefore, the EU is entitled to carry over  973t t to 2023 if the current management arrangments are maintained.</t>
  </si>
  <si>
    <t>In 2023 the underharvest for the EU was of 1371.77 t, which is more than the maximum allowed 5% provided in Rec 22-08. Therefore, the EU is entitled to carry over  1075.15t t to 2024 if the current management arrangments are maintained.</t>
  </si>
  <si>
    <t>Limit 2024+limit 2022*0,10</t>
  </si>
  <si>
    <t>2024 Limit - 2t</t>
  </si>
  <si>
    <t xml:space="preserve">2023 adjusted limit: Egypt intends to transfer 507.87 ton from its quota to Türkiye. Egypt didn’t engage in the BFT fishing season for 2023 due to the transferred amount of 507.87 t from Egypt to Türkiye	</t>
  </si>
  <si>
    <t>ALBM</t>
  </si>
  <si>
    <t>2024 adjusted limit = 2024 limit + 2023 negative balance (-13.73) according to Rec. 00-14</t>
  </si>
  <si>
    <t>(*) LBR has no quota for SWO, adjuted limit = negative balance from previous year - year catches</t>
  </si>
  <si>
    <t>(8)</t>
  </si>
  <si>
    <t>(8) Límite ajustado 2024 = Límite 2024 + Saldo 2023 (hasta MAX 25% Q2023)</t>
  </si>
  <si>
    <t>(8) Límite ajustado 2024 = Límite 2024 + 125% Saldo 2023</t>
  </si>
  <si>
    <t>Adjusted limit for 2024 = 889.4  + (.25)(711.5) = 1067.3*****</t>
  </si>
  <si>
    <t>***** reflects that 25% of the 2023 initial quota may be carried forward to 2024</t>
  </si>
  <si>
    <t>Adjusted limit for 2024 = 3907.0 - (200 t to Morocco) + (0.15)(3907)  = 4293.05 t</t>
  </si>
  <si>
    <t>Adjusted limit for 2024 = 100.0 - (100 t (Namibia (50 t), Cote d'Ivoire (25 t), Belize (25 t)) + 100.0</t>
  </si>
  <si>
    <t>Adjusted limit for 2024 = 1341.14 + 134.11 = 1475.25 t*****</t>
  </si>
  <si>
    <t>*****reflects that 10% of the 2023 initial quota may be carried forward to 2024</t>
  </si>
  <si>
    <t>[8] = 2024 limit + 125% 2023 Balance</t>
  </si>
  <si>
    <t>2023-2026: Brazil transfer 100 t to Japan (according to Para 3a of Rec. 22-06).</t>
  </si>
  <si>
    <t>(1) EU did not inform during the 2023 COMM regarding the amount of their 2022 underage they intend to use in 2024 as stated in Rec. 22-06 Para 4b)</t>
  </si>
  <si>
    <t>(1) Brazil did not inform during the 2023 COMM regarding the amount of their 2022 underage they intend to use in 2024 as stated in Rec. 22-06 Para 4b)</t>
  </si>
  <si>
    <t>2600-100 (1)</t>
  </si>
  <si>
    <t>The applied methodology is described in Recs. 15-03, 16-04, 17-03, 2021-03, 22-04 with reduction of TAC.</t>
  </si>
  <si>
    <t>2014-2022: 50t transferred to Belize (The quota transfers shall be reviewed annually in response to a request from an involved CPC).</t>
  </si>
  <si>
    <t>302+(0.25*242)</t>
  </si>
  <si>
    <t>IQ2025 -308-balance 2023</t>
  </si>
  <si>
    <t>JAPAN-N-ALB:Japan's 2023 adjusted limit = BET 2023 catch * 4.5% (Para8 of Rec21-04)</t>
  </si>
  <si>
    <t>JAPAN-S-ALB: 2024 adjusted limit = 1,630t(Limit)-47.45t(overage in 2022)(Para5 of Rec 22-06)+100(transfer from Brazil (Para 3 of Rec. 22-06))+100(transfer from Uruguay(Para 3 of Rec. 22-06))+100(transfer from South Africa (Para 3 of Rec. 22-06))</t>
  </si>
  <si>
    <t>JAPAN-N-SWO:Japan’s 2023 adjusted limit = 842t(Limit)+1587.81t(2022 carry over(Para 1C of Rec22-03)-150t(transfer to Morocco(Para 1A) of Rec 22-03)-35t (transfer to Canada((Para 1A of Rec. 22-03))-25t(transfer to Mauritania(Para 1A of Rec. 22-03)).</t>
  </si>
  <si>
    <t>JAPAN-N-SWO: adjusted limit in 2018 excluded 100 t transfered to Morocco, and 35 transferred to Canada [Rec. 17-02].</t>
  </si>
  <si>
    <t>JAPAN-S-SWO:Japan's 2024 adjusted limit  = 901t(Limit)+600.00t(2022 carry over(Para1(2) of Rec22-04))-50t(transfer to Namibia(Para5 of Rec.17-03))</t>
  </si>
  <si>
    <t>JAPAN-BIGEYE:Japan's 2024 adjusted limit = 13868.00(Para 4 of Rec.22-01)+1386.8(2022 carry over(13868*10%)(Para12 of Rec22-01)-600(transfer to China (Footnote2 of Para.8  of Rec.22-01))-300(transfer to European Union (Footnote 2 of Para.8 of Rec.22-01))</t>
  </si>
  <si>
    <t>JAPAN-N-BSH:Japan's 2024 adjusted limit = 3,055t(Para3 of Rec23-10)-43t(transfer to Morocco(Para3 of Rec23-10))</t>
  </si>
  <si>
    <t xml:space="preserve">Note: Because the 2023 Japanese fishing season is from August 1, 2023 to July 31,2024, all the figures for the 2023 catches are preliminary and do not include a part of the data in the 2023 fishing season. Japan will submit the final figures before the Compliance Committee in November that include all the catches. </t>
  </si>
  <si>
    <t>2024**</t>
  </si>
  <si>
    <t>(992*0.10)+992 - 223</t>
  </si>
  <si>
    <t>a) According to Recommendation 19-04 paragraph 5, Norway was initially  allocated a quota of 300 tonnes eastern BFT in 2020. Referring to Recommendation 19-04 Paragraph 7, Norway requested in panel 2 to transfer a maximum of 5 % of its 2019 quota to 2020. A total of 49,3 tonnes of the Norwegian catch quota (239 tonnes) was utilised in 2019, and 11,95 tonnes (5 % of 239 tonnes) may, according to Paragraph 7, be transferred to 2020.</t>
  </si>
  <si>
    <t>b) According to Recommendation 20-07 paragraph 1, Norway was initially  allocated a quota of 300 tonnes eastern BFT in 2021. Referring to Recommendation 20-04 Paragraph 2, Norway requested in panel 2 to transfer a maximum of 5 % of its 2020 quota to 2021. A total of 194.39 tonnes of the Adjusted Norwegian catch quota (311.95 tonnes) was utilised in 2020, and 15 tonnes (5 % of 300 tonnes) may, according to Paragraph 2, be transferred to 2021.</t>
  </si>
  <si>
    <t>c) According to Recommendation 21-08 paragraph 5, Norway was initially  allocated a quota of 300 tonnes eastern BFT in 2022. Referring to Recommendation 21-08 Paragraph 7, Norway requested in panel 2 to transfer a maximum of 5 % of its 2021 quota to 2022. A total of 157,68 tonnes of the Adjusted Norwegian catch quota (315 tonnes) was utilised in 2021, and 15 tonnes (5 % of 300 tonnes) may, according to Paragraph 7, be transferred to 2022.</t>
  </si>
  <si>
    <t>d) According to Recommendation 22-08 paragraph 4, Norway was initially  allocated a quota of 368 tonnes eastern BFT in 2023. Referring to Recommendation 22-08 Paragraph 6, Norway requested in panel 2 to transfer a maximum of 5 % of its 2022 quota to 2023. A total of 123,17 tonnes of the Adjusted Norwegian catch quota (315 tonnes) was utilised in 2022, and 15 tonnes (5 % of 300 tonnes) may, according to Paragraph 7, be transferred to 2023.</t>
  </si>
  <si>
    <t>302+(242*0.25)</t>
  </si>
  <si>
    <t>2024= 149.34 + 113.12 - transfer to Canada (60t) por Rec. 22-10</t>
  </si>
  <si>
    <t>In 2024 USA transfers 50t to NAM and JPN transfers 50to to NAM</t>
  </si>
  <si>
    <t>SMAS</t>
  </si>
  <si>
    <t>Retention allowance</t>
  </si>
  <si>
    <t>Adjusted Retention allowance (A)</t>
  </si>
  <si>
    <t>[1] = 2024 limit + 2023 Balance</t>
  </si>
  <si>
    <t>Describe the rationale used in the application of overage / underage: Rec. 22-11 Para 12</t>
  </si>
  <si>
    <t>Limite ajustee 2024= Limite 2024+ max. Solde (Limite 2024*0.4) -transfert Canada (125 t) = 250 + (250 * 0.4) -125= 225 t</t>
  </si>
  <si>
    <t>le calcul du quota ajusté 2024 prend en compte le solde  MAX de 2022 (Limite 2022 * 0,1 = 417*0,1=41.7) auquel est ajouté la limite 2023 de 417 t) ce qui donne (41.7+417=458.70) t</t>
  </si>
  <si>
    <t>* (1)</t>
  </si>
  <si>
    <t>(1) 2025 Adjusted limit considers payback plan and 2023 overharvest</t>
  </si>
  <si>
    <t>* Adjusted limit 2024 = initial limit 2023 (5280) + available balance 2022 (0 as the 2022 overharvest was covered by BRA &amp; URY according to para 4f of the ICCAT Rec. 16-07, supplemented by ICCAT Rec. 21-05 ) -100t transferred to JPN</t>
  </si>
  <si>
    <t>* Adjusted limit 2025 = initial limit 2023 (5280) + available balance 2023(not to exceed 25% of initial quota) (1320) -100t transferred to JPN</t>
  </si>
  <si>
    <t>=1001+10%1001-50</t>
  </si>
  <si>
    <t>=302+(MAX. 25% from 2022 quota= 60.5t)</t>
  </si>
  <si>
    <t>= 170 + MAX 25% IQ 2023</t>
  </si>
  <si>
    <t xml:space="preserve">2024: The 2023 underage is greater than the maximum amount that can be carried over to 2024 (&lt;= 40% of original catch limit); hence the amount carried over is 50 t (0.4*125).Additionally, 75 t and 25 t were transferred to Belize and Morocco respectively; hence 100 is subtracted from the sum of the initial catch limit and the allowed carry over, to arrive at the final adjusted limit of 75 t. </t>
  </si>
  <si>
    <t>The calculation of the adjusted quota for 2022, 2023, 2024 takes into account the transfer of 2 t to Trinidad &amp; Tobago as provided by Rec. 19-05.</t>
  </si>
  <si>
    <t>9(A)=IQ2024+2t EU transfer provided by Rec. 19-05.</t>
  </si>
  <si>
    <t>Pour l'année 2024 le quota ajusté est de 3030  ( le quota initial 3000T+quota non consommé  des prises accessoires 2023 (30T)</t>
  </si>
  <si>
    <t>IQ2025+MAX 25% IQ2023</t>
  </si>
  <si>
    <t>2025: For 2025 the UK's initial quota is 752.8t. The UK's catches in 2023 were 112.47t. As a result the UK has a remaining balance of 438.29. The UK is permitted to carry over to 2025 25% of its intitial 2023 quota which equals 110.56. The quota for 2025 is therefore 752.8+110.56=863.36</t>
  </si>
  <si>
    <t>2025: The UK wishes to carry over 25% of its 2023 quota into 2025, 25% of 120 is 30 with the adjusted quota for 2025 therefore being 120+30=150.</t>
  </si>
  <si>
    <t>=IQ2025+MAX. 0.25*IQ2023</t>
  </si>
  <si>
    <t xml:space="preserve">2024: The UK's adjusted quota for N.ATL SWO is 49.67t in 2022. The UK's catches in 2022 were 3.35t. The UK will bank 40% (14t) of IQ in 2022 and carry this over to 2024. Therefore the adjusted limit in 2024 is 49.67t. </t>
  </si>
  <si>
    <t>2025: The UK will carry over 40% of its 2023 quota 14.7t into 2025 which means 14.7 + 35.67 = 49.94</t>
  </si>
  <si>
    <t>IQ2025+MAX 40% IQ2023</t>
  </si>
  <si>
    <t>=IQ2023+MAX. 0.10*IQ2021</t>
  </si>
  <si>
    <t>=IQ2024+MAX. 0.10*IQ2022</t>
  </si>
  <si>
    <t>=IQ2025+MAX. 0.10*IQ2023</t>
  </si>
  <si>
    <t xml:space="preserve">2024: The UK's quota for S.ATL SWO is 25t  for 2022. The UK's catches in 2022 were 0t, consequently the UK has a remaining balance of 25t. The UK is permitted to transfer a maximum of 10% of unused quota to 2024. When the 10% is applied to the IQ2022 and the quota for 2024 is added, the adjusted quota for 2024 is 27.50t. </t>
  </si>
  <si>
    <t>2025: The UK will carry over 10% of its 2023 quota into 2025 this results in an adjusted quota of 30t. Initial quota of 25+2.5=27.5</t>
  </si>
  <si>
    <t>IQ2025+Max5%IQ2024</t>
  </si>
  <si>
    <t>2024: The UK's initial quota for 2024 was 63t and this was supplemented by 5% of the UK's 2023 quota which equals 3.15 giving a total of 66.15t</t>
  </si>
  <si>
    <t>IQ2025+MAX100%IQ2024</t>
  </si>
  <si>
    <t xml:space="preserve">2024: The UK's initial quota for W.BFT in 2024 is 6.18. The UK can carry over 100% of the 2023 quota over in to 2024 this means 6.18+6.18=12.36. </t>
  </si>
  <si>
    <t>JAPAN-N-SWO: Japan’s 2024 adjusted limit = 842t(Limit)+1723.51t(2023 carry over(Para 1A of Rec23-04))-150t(transfer to Morocco(Para 1A of Rec 23-04))-35t(transfer to Canada(Para 1A of Rec. 23-04))-25t(transfer to Mauritania(Para 1A of Rec. 23-04))</t>
  </si>
  <si>
    <t>JAPAN-S-SWO: Japan's 2025 adjusted limit  = 901t(Limit)+600.00t(2023 carry over(Para 1(2) of Rec22-04))-50t(transfer to Namibia(Para 5 of Rec.17-03))</t>
  </si>
  <si>
    <t>JAPAN-E-BFT: Japan's 2024 adjusted limit = 3114.00t(Limit)(Para 4 of Rec22-08)+70.40t(2023 carry over (Para 6 of Rec. 22-08))</t>
  </si>
  <si>
    <t>JAPAN-N-BSH:Japan's 2025 adjusted limit = 3,055t(Para3 of Rec23-10)-43t(transfer to Morocco(Para3 of Rec23-10))</t>
  </si>
  <si>
    <t>JAPAN-S-SMA: Japan's 2024 adjusted limit = 62t(Para 2 of Rec22-11)</t>
    <phoneticPr fontId="1" type="noConversion"/>
  </si>
  <si>
    <t>JAPAN-W-BFT: Japan's 2024 adjusted limit = 664.52t(Limit)+47.28t(2023 carry over(Para 6 of Rec. 22-10)</t>
  </si>
  <si>
    <t>IQ(2024)+ BALANCE(2023)</t>
  </si>
  <si>
    <t>[1] = 2017 limit + balance 2016</t>
  </si>
  <si>
    <t>[2] = 2018 limit + balance 2017</t>
  </si>
  <si>
    <t>[3] = 2019 limit + balance 2018</t>
  </si>
  <si>
    <t>[4] = 2020 limit + balance 2019</t>
  </si>
  <si>
    <t>[5] = 2021 limit + balance 2020</t>
  </si>
  <si>
    <t>* Adjusted limit 2024 = initial limit 2024 (530) - 100t transferred to JPN. URY did not inform during the 2023 COMM regarding the amount of their 2022 underage they intend to use in 2024 as stated in Rec. 22-06 Para 4b)</t>
  </si>
  <si>
    <t>* Adjusted limit 2025 = initial limit 2025 (530) + available balance 2023 (not to exceed 25% of initial quota) (132.5) - 100t transferred to JPN</t>
  </si>
  <si>
    <t>2025: IQ2025 + 25% MAX2023 - 100t transferred to JPN</t>
  </si>
  <si>
    <t>=120+30</t>
  </si>
  <si>
    <t xml:space="preserve">2025 adjusted quota is 120+30 due to the inclusion of 2023 underage (MAX 25% IQ 2023) and 2025 initial catch quota.  </t>
  </si>
  <si>
    <t>Limit 2025 + 25%  2023 limit</t>
  </si>
  <si>
    <t>The underharvest of the EU in 2023 was of 2090.79t.  In line with Rec 22-06, the EU is entitled to carry over  441.25 t to 2025, corresponding to 25% of its initial quota for 2023.</t>
  </si>
  <si>
    <t>42.5+170</t>
  </si>
  <si>
    <t>The applied methodology is described in Recs. 13-05, 16-06, 17-04, 20-03/04, 21-04, 23-05</t>
  </si>
  <si>
    <t>New REC 23-05 / annual TAC of 47,251 t is established for the management period 2024-2026. CPCs other than those mentioned in paragraph 6 shall limit their annual catches to 302 t (Brazil).</t>
  </si>
  <si>
    <t xml:space="preserve">2015-2023: 25t transferred to Mauritania (on the condition that Mauritania submit its development plan per paragraph 5 of Re. 22-03). </t>
  </si>
  <si>
    <t>Rec 16-04, 17-03, 22-04: Brazil may harvest up to 200 t of its annual catch limit from SWO_S within the area between 5 degrees North latitude and 15 degrees North latitude</t>
  </si>
  <si>
    <t>New Rec 23-04: Brazil 50 t; Brazil transfer 25 t to Mauritania (2024)</t>
  </si>
  <si>
    <t>50+(0.40*50)-25</t>
  </si>
  <si>
    <t>3940+(0.1*3940)-50</t>
  </si>
  <si>
    <t>Adjusted limit for 2025=initial quota(240)+240*25%(not exceeding the balance of 2023)=300</t>
  </si>
  <si>
    <t>IQ2025+25%Q2023</t>
  </si>
  <si>
    <r>
      <t>2020</t>
    </r>
    <r>
      <rPr>
        <b/>
        <vertAlign val="superscript"/>
        <sz val="10"/>
        <rFont val="Cambria"/>
        <family val="1"/>
      </rPr>
      <t>a</t>
    </r>
  </si>
  <si>
    <r>
      <t>2021</t>
    </r>
    <r>
      <rPr>
        <b/>
        <vertAlign val="superscript"/>
        <sz val="10"/>
        <rFont val="Cambria"/>
        <family val="1"/>
      </rPr>
      <t>b</t>
    </r>
  </si>
  <si>
    <r>
      <t>2022</t>
    </r>
    <r>
      <rPr>
        <b/>
        <vertAlign val="superscript"/>
        <sz val="10"/>
        <rFont val="Cambria"/>
        <family val="1"/>
      </rPr>
      <t>c</t>
    </r>
  </si>
  <si>
    <r>
      <t>2023</t>
    </r>
    <r>
      <rPr>
        <b/>
        <vertAlign val="superscript"/>
        <sz val="10"/>
        <rFont val="Cambria"/>
        <family val="1"/>
      </rPr>
      <t>d</t>
    </r>
  </si>
  <si>
    <t>Adjusted limited for 2025=302(initial quota)+55.93(carryover 2023)=357.93</t>
  </si>
  <si>
    <t>2025 adjusted quota is 6425.33 t (=5521.1+4416.9*0.25-200)  due to the inclusion of 2022 underage and 2024 initial catch quota and the deduction of transfers of 200 t to Belize.</t>
  </si>
  <si>
    <t>Limit 2025 + 2023 balance</t>
  </si>
  <si>
    <t>(9)</t>
  </si>
  <si>
    <t>Adjusted limit for 2025 = 889.4  + (.25)(889,4) = 1111.75******</t>
  </si>
  <si>
    <t>******reflects that 25% of the 2024 initial quota may be carried forward to 2025</t>
  </si>
  <si>
    <t>(9) Límite ajustado 2025 = Límite 2025 + Saldo 2024 (hasta MAX 25% Q2024)</t>
  </si>
  <si>
    <t>Limit 2026 + 25%  2024 limit</t>
  </si>
  <si>
    <t>2026*</t>
  </si>
  <si>
    <t>IQ(2025)+125% BALANCE(2023)</t>
  </si>
  <si>
    <t>[9] = 2025 limit + 125% 2024 Balance</t>
  </si>
  <si>
    <t>[9]= Límite de 2025 + 125% BALANCE de 2024</t>
  </si>
  <si>
    <t>IQ(2025)+ BALANCE(2024)</t>
  </si>
  <si>
    <t>(9) Límite ajustado 2025 = Límite 2025 + 125% Saldo 2024</t>
  </si>
  <si>
    <t>2025: In accordance with paragraph 6 of Rec. 22-08, Algeria requests a transfer of 29,65 t (1.44%) of its 2024 unused quota to 2025. therefore, the total adjusted national quota will be 2,052,65 t</t>
  </si>
  <si>
    <t>Q2025+ max 5%Q2024=2023+34,65</t>
  </si>
  <si>
    <t>n.a</t>
  </si>
  <si>
    <t>JAPAN-E-BFT: Japan's 2025 adjusted limit = 3114.00t(Limit)(Para 4 of Rec.24-05)+155.7t(2024 carry over (Para 6 of Rec. 24-05))</t>
  </si>
  <si>
    <t>JAPAN-W-BFT: Japan's 2025 adjusted limit = 664.52t(Limit)+19.14t(2024 carry over(Para 6 of Rec. 22-10))</t>
    <phoneticPr fontId="1" type="noConversion"/>
  </si>
  <si>
    <t>221+50+(278.72-273.55)</t>
  </si>
  <si>
    <t>221+50+(276.17-267.99)</t>
  </si>
  <si>
    <t>Quota ajusté 2025: 3870 tonnes = quota initial alloué au Maroc 2025 (3700 t) + 120 tonnes (reliquat de l'année 2024) + 50 t (transféré de la Namibie au Maroc) Rec. 22-08, 23-06</t>
  </si>
  <si>
    <t>Pour l'année 2025, le quota ajusté est de 3030 (le quota initial 3000T+quota non consommé  des prises accessoires 2024 (20,62T)</t>
  </si>
  <si>
    <t>=10340+450+2135-1425.02</t>
  </si>
  <si>
    <t>2025 adjusted quota is 11499.98 t (=10340+450) due to the inclusion of 2023 underage and 2025 initial catch quota + 2135 t (Rec. 22-06 Para 4b) as complement from total underage from the TAC - 1425.02 t (overage in 2024)</t>
  </si>
  <si>
    <t xml:space="preserve">9 : limite 2023 + 40% limite de capture initiale (Rec.22-03) + 40 tonnes transférées de l'Union Européenne (REC 17-02)=40+(40*0.4)+40=96 </t>
  </si>
  <si>
    <t>IQ(2025)+125% BALANCE(2024)</t>
  </si>
  <si>
    <t>Transfer of 200t from Chinese Taipei to Belize in 2022, 2023 and 2024</t>
  </si>
  <si>
    <t>50+(0.40*50)</t>
  </si>
  <si>
    <t>IQ2026 -308-balance 2024</t>
  </si>
  <si>
    <t>SMA</t>
  </si>
  <si>
    <t>Adjusted limit for 2025=initial quota(111)+available balance of 202 (10t)=121t</t>
  </si>
  <si>
    <t>Adjusted limit for 2025=initial quota(313)+313*10%(carryover 2023)= 344.3</t>
  </si>
  <si>
    <t>Adjusted limit for 2025=initial quota(4624.07)+ (IQ2023)50.15+350 t transfer from Japan=5024.22</t>
  </si>
  <si>
    <t>=270*(1+40%)</t>
  </si>
  <si>
    <t>2025 adjusted quota is 378 t (=270+270*40%) due to the inclusion of 2023 underage and 2025 initial catch quota.</t>
  </si>
  <si>
    <t>No carryover from 2025 underage to 2027 (Rec 22-06, para 5)</t>
  </si>
  <si>
    <t>2024 adjusted quota is 504.9 t (=459 + 459*10%) due to the inclusion of 2023 underage and 2024 initial catch quota.</t>
  </si>
  <si>
    <t>2025 adjusted quota is 504.9 t (=459 + 459*10%) due to the inclusion of 2024 underage and 2025 initial catch quota.</t>
  </si>
  <si>
    <t>'=101-50</t>
  </si>
  <si>
    <t>2025 adjusted quota is 51 t (=101-50) due to the transfer of 50t to Korea.</t>
  </si>
  <si>
    <t>=9226.41+(11679*10%)+223</t>
  </si>
  <si>
    <t>=9226.41+(9226.41*10%)+223</t>
  </si>
  <si>
    <t>2021 adjusted quota is 10671.31 t = 9226.41 (initial quota) + 11679*10% (carry over of 10% of 2019 initial quota pursuant to Rec.19-02) +223 (transfer from Korea)</t>
  </si>
  <si>
    <t>2022 adjusted quota is 10372.05 t = 9226.41 (initial quota) + 9226.41*10% (carry over of 10% of 2020 initial quota pursuant to Rec.21-01) +223 (transfer from Korea).</t>
  </si>
  <si>
    <t>2023 adjusted quota is 10372.05 t = 9226.41 (initial quota) + 9226.41*10% (carry over of 10% of 2021 initial quota pursuant to Rec.22-01) +223 (transfer from Korea).</t>
  </si>
  <si>
    <t>2024 adjusted quota is 10372.05 t = 9226.41 (initial quota) + 9226.41*10% (carry over of 10% of 2022 initial quota pursuant to Rec.23-01) +223 (transfer from Korea).</t>
  </si>
  <si>
    <t>[10]</t>
  </si>
  <si>
    <t>[10]= Límite de 2025 + trasferencia de Estados Unidos (300 t) + balance de 2024</t>
  </si>
  <si>
    <t>50 + Balance 2022</t>
  </si>
  <si>
    <t>2023(***)</t>
  </si>
  <si>
    <t>2024(***)</t>
  </si>
  <si>
    <t>2025(***)</t>
  </si>
  <si>
    <t>2024 limit + 0,15*2022 limit - 40t SPM -280 CAN</t>
  </si>
  <si>
    <t>2025 limit + 2023 balance - 40t SPM -200 CAN</t>
  </si>
  <si>
    <t xml:space="preserve">Limit 2025 +  2023 balance </t>
  </si>
  <si>
    <t>In 2024, the underharvest for the EU was 1712,73 t, which is more than the maximum allowed 5% provided in the Rec. 22-08. Therefore, the EU is entitled to carry over 1075,15t to 2025 if the current management arrangments are maintained.</t>
  </si>
  <si>
    <t>2025 Limit - 2t</t>
  </si>
  <si>
    <t>9(A) = Limit 2024 + Carry over from Balance 2022 MAX. 10% 393.648 (393.648) Rec. 22-01 Para 12</t>
  </si>
  <si>
    <t>JAPAN-N-ALB: Japan's 2024 adjusted limit = BET 2024 catch * 4.5% (Para 8 of Rec.23-05)</t>
  </si>
  <si>
    <t>JAPAN-N-ALB: Japan's 2025 adjusted limit = BET 2025 catch * 4.5% (Para 8 of Rec.23-05)</t>
  </si>
  <si>
    <t>JAPAN-S-ALB: 2025 adjusted limit = 1,630t(Limit)+259.35t(2023 carry over(Para 4 of Rec. 22-06))+100t(transfer from Brazil (Para 3 of Rec. 22-06))+100t(transfer from Uruguay(Para 3 of Rec. 22-06))+100t(transfer from South Africa (Para 3 of Rec. 22-06))+148.15t(up to 25% of initial quita(407.5-259.35)(Para 4b) of Rec. 22-06))</t>
  </si>
  <si>
    <t>JAPAN-N-SWO: Japan’s 2025 adjusted limit = 842t(Limit)+1,991.26t(2024 carry over(Para 12 of Rec.24-10))-150t(transfer to Morocco(Para 7 of Rec. 24-10))-25t(transfer to Mauritania(Para 7 of Rec. 24-10))</t>
  </si>
  <si>
    <t>JAPAN-BUM: Japan's 2025 adjusted limit = 328.1t(Limit)(Para 2 of Rec.19-05)</t>
  </si>
  <si>
    <t>JAPAN-WHM・SPF: Japan's 2024 adjusted limit =35t(Limit)(Para 2 of Rec.19-05)</t>
  </si>
  <si>
    <t>JAPAN-WHM・SPF: Japan's 2025 adjusted limit =35t(Limit)(Para 2 of Rec.19-05)</t>
  </si>
  <si>
    <t>JAPAN-S-SMA: Japan's 2025 adjusted limit = 62t(Para 2 of Rec.22-11)</t>
  </si>
  <si>
    <t>2025**</t>
    <phoneticPr fontId="24" type="noConversion"/>
  </si>
  <si>
    <t>50+(50*0.4)</t>
    <phoneticPr fontId="1" type="noConversion"/>
  </si>
  <si>
    <t>50+(50*0.1)</t>
    <phoneticPr fontId="1" type="noConversion"/>
  </si>
  <si>
    <t>2025*</t>
    <phoneticPr fontId="1" type="noConversion"/>
  </si>
  <si>
    <t>Quota ajusté 2026: 377,50 tonnes  = quota initial alloué au Maroc 2026 (302 t) + 75,50 tonnes ( reliquat= 25% du quota initial 2024 (302 tonnes) ). Rec ICCAT 21-04, 23-05</t>
  </si>
  <si>
    <t>Quota ajusté 2026: 1488,5 tonnes = quota initial alloué au Maroc (1186 t) + 127,5 t (reliquat= 15% du quota initial 2024 (850 t) + 150 t (transférées par le Japon au Maroc)+ 25 t (transférées par le Trinité-et-Tobago). Rec ICCAT  24-10</t>
  </si>
  <si>
    <t>Quota ajusté 2025: 08 tonnes = quota initial alloué au Maroc 2025 (10t) -02 tonnes (surconsommation). Recommandation ICCAT 19-05/para 3 amendant la Rec 15-05</t>
  </si>
  <si>
    <t>2021=(58.90)</t>
  </si>
  <si>
    <t>2022=(58.90)</t>
  </si>
  <si>
    <t>2023=(58.90)</t>
  </si>
  <si>
    <t>2024=(58.90)</t>
  </si>
  <si>
    <r>
      <t>2024</t>
    </r>
    <r>
      <rPr>
        <b/>
        <vertAlign val="superscript"/>
        <sz val="10"/>
        <rFont val="Cambria"/>
        <family val="1"/>
      </rPr>
      <t>e</t>
    </r>
  </si>
  <si>
    <t>e) According to Recommendation 22-08 paragraph 4, Norway was initially  allocated a quota of 368 tonnes eastern BFT in 2024. Referring to Recommendation 22-08 Paragraph 6, Norway requested in panel 2 to transfer a maximum of 5 % of its 2023 quota to 2024. A total of 117,44 tonnes of the Adjusted Norwegian catch quota (368 tonnes) was utilised in 2023, and 18,4 tonnes (5 % of 368 tonnes) may, according to Paragraph 6, be transferred to 2024.</t>
  </si>
  <si>
    <t>le calcul du quota ajusté 2025 prend en compte le solde  MAX de 2024 (Limite 2024 * 0.2 = 417*0,1=41.7) auquel est ajouté la limite 2025 (417 t) ce qui donne (41,7+417=458,70) t</t>
  </si>
  <si>
    <t>le calcul du quota ajusté 2025 prend en compte le solde  MAX de 2024 (Limite 2024 * 0.2 = 417*0.2=83.4) auquel est ajouté la limite 2025 (417 t) ce qui donne (83.4+417=500.4) t</t>
  </si>
  <si>
    <t>Limite ajustée 2025: limite initiale (2546, t) à laquelle est soustraite 137, 77 t en application pour 2025 du plan de remboursement de 137,77 t sur 10 ans (2023-2032): 1322,73 t-137, 77 t= 2408, 23 t</t>
  </si>
  <si>
    <t>[1] = QI2025-Balance2024</t>
  </si>
  <si>
    <t>* Adjusted limit 2026 = initial limit 2026 (5280) + available balance 2024(not to exceed 25% of initial quota, i.e. max.25% of 5280t = 1320t) (297.7) - 100t transferred to Japan</t>
  </si>
  <si>
    <r>
      <t>From 2016 to</t>
    </r>
    <r>
      <rPr>
        <sz val="10"/>
        <color rgb="FFFF0000"/>
        <rFont val="Cambria"/>
        <family val="1"/>
      </rPr>
      <t xml:space="preserve"> 2024</t>
    </r>
    <r>
      <rPr>
        <sz val="10"/>
        <rFont val="Cambria"/>
        <family val="1"/>
      </rPr>
      <t>, South Africa has transferred 50t to Namibia in accordance with Recs. 16-04/17-03/22-04.</t>
    </r>
  </si>
  <si>
    <t>(**)</t>
  </si>
  <si>
    <t>2026: For 2026 the UK's initial quota is 752.8t. The UK's catches in 2024 were 8.23t. As a result, the UK has a remaining balance of 855.13. The UK is permitted to carry over to 2026 25% of its initial 2024 quota which equals 188.2. The quota for 2026 is therefore 752.8+188.2 = 941</t>
  </si>
  <si>
    <t>2026</t>
  </si>
  <si>
    <t>IQ2026+MAX 25% IQ 2024</t>
  </si>
  <si>
    <t>2026: The UK wishes to carry over 25% of its 2024 quota into 2026, 25% of 120 is 30 with the adjusted quota for 2025 therefore being 120+30=150</t>
  </si>
  <si>
    <t>=IQ2026+MAX. 0.25*IQ2024</t>
  </si>
  <si>
    <t>IQ2025+MAX 40% IQ 2024</t>
  </si>
  <si>
    <t>2026: The UK will carry over 40% of its 2024 quota 14.7t into 2025 which means 14.7 + 35.67 = 49.94</t>
  </si>
  <si>
    <t>2026: The UK will carry over 10% of its 2023 quota into 2025 this results in an adjusted quota of 30t. Initial quota of 25+2.5=27.5</t>
  </si>
  <si>
    <t xml:space="preserve">2025: The UK’s initial quota for 2025 was 63t and this was supplemented by 5% of the UK’s 2024 quota which equals 3.15 giving a total of 66.15t. </t>
  </si>
  <si>
    <t>=IQ2025+MAX. 0.10*IQ2024</t>
  </si>
  <si>
    <t>IQ2026+IQ2025</t>
  </si>
  <si>
    <t>IQ2025+MAX 40% IQ 2025</t>
  </si>
  <si>
    <t xml:space="preserve">2025: The UK's initial quota for BFT-W in 2025 is 6.18. The UK can carry over 100% of the 2024 quota over in to 2025 this means 6.18+6.18=12.36. </t>
  </si>
  <si>
    <t>Adjusted limit for 2025 = 3907.0 - (300 t to Costa Rica) + (0.15)(3907)  = 4193.05 t</t>
  </si>
  <si>
    <t>Adjusted limit for 2025 = 100.0 - (100 t (Namibia (50 t), Cote d'Ivoire (25 t), Belize (25 t)) + 100.0</t>
  </si>
  <si>
    <t>Adjusted limit for 2025 = 1341.14 - 141.18 = 1,199.96 t</t>
  </si>
  <si>
    <t>2025 adjusted quota is 10283.48 t = 9152.6 (initial quota) +9152.6*10% (carry over of 10% of 2022 initial quota pursuant to Rec.22-01) +223 (transfer from Korea).</t>
  </si>
  <si>
    <t>=9151.19+9.48+223</t>
  </si>
  <si>
    <t>Limit 2025+limit 2023*0,10</t>
  </si>
  <si>
    <t>JAPAN-BIGEYE:Japan's 2025 adjusted limit = 13865.86(Para 4 of Rec.22-01)+984.02(2023 carry over)(Para12 of Rec22-01)-350(transfer to China (Para.12 of Rec.24-01))</t>
  </si>
  <si>
    <t>[2] IQ(2025)+125% BALANCE(2024)</t>
  </si>
  <si>
    <t>(1) Límite ajustado en 2026 = Límite 2024 + Saldo 2024 (hasta 25% limite original de 2024)</t>
  </si>
  <si>
    <t>(2) Límite ajustado en 2026 = Límite 2024 + Saldo 2024 (hasta 25% limite original de 2024)</t>
  </si>
  <si>
    <t>JAPAN-N-ALB: Japan's 2026 adjusted limit = BET 2026 catch * 4.5% (Para 8 of Rec.23-05)</t>
    <phoneticPr fontId="1" type="noConversion"/>
  </si>
  <si>
    <t>JAPAN-S-ALB: 2026 adjusted limit = 1,630t(Limit)+21.05t(2024 carry over(Para 4 of Rec. 22-06))+100t(transfer from Brazil (Para 3 of Rec. 22-06))+100t(transfer from Uruguay(Para 3 of Rec. 22-06))+100t(transfer from South Africa (Para 3 of Rec. 22-06))+386.45t(up to 25% of initial quita(407.5-21.05)(Para 4b) of Rec. 22-06))</t>
  </si>
  <si>
    <t>JAPAN-N-SWO: Japan’s 2026 adjusted limit = 842t(Limit)+NAt(2025 carry over(Para 12 of Rec.24-10))-150t(transfer to Morocco(Para 7 of Rec. 24-10))-25t(transfer to Mauritania(Para 7 of Rec. 24-10))</t>
    <phoneticPr fontId="1" type="noConversion"/>
  </si>
  <si>
    <t>JAPAN-N-BSH: Japan's 2026 adjusted limit = 3,055t(Para 3 of Rec.23-10)-43t(transfer to Morocco(Para 3 of Rec.23-10))</t>
    <phoneticPr fontId="1" type="noConversion"/>
  </si>
  <si>
    <t>JAPAN-S-SMA: Japan's 2026 adjusted limit = 62t(Para 2 of Rec.22-11)</t>
    <phoneticPr fontId="1" type="noConversion"/>
  </si>
  <si>
    <t>S-BSH</t>
  </si>
  <si>
    <t>JAPAN-S-BSH: Japan's 2026 adjusted limit = 1,520t (para 4 a) of Rec. 23-11)</t>
  </si>
  <si>
    <t>(3) Adjusted quota for 2025 = 2600 t (Quota) + 128t from SYR = 2728.00t</t>
  </si>
  <si>
    <r>
      <t>2025</t>
    </r>
    <r>
      <rPr>
        <b/>
        <vertAlign val="superscript"/>
        <sz val="10"/>
        <rFont val="Cambria"/>
        <family val="1"/>
      </rPr>
      <t>f</t>
    </r>
  </si>
  <si>
    <t>SWOMed</t>
  </si>
  <si>
    <t>=AQ2024-catches2024+1/2reserve2024</t>
  </si>
  <si>
    <t>=AQ2023-catches2023+1/2reserve2023</t>
  </si>
  <si>
    <t>=1/2reserve2022-catches2022</t>
  </si>
  <si>
    <t>LIBYA</t>
  </si>
  <si>
    <t>=1/2reserve2019-catches2019</t>
  </si>
  <si>
    <t>=AQ2020-catches2020+1/2reserve2020</t>
  </si>
  <si>
    <t>=AQ2021-catches2021+1/2reserve2021</t>
  </si>
  <si>
    <t>=AQ2022-catches2022+1/2reserve2022</t>
  </si>
  <si>
    <t>JAPAN-S-SWO: Japan's 2026 adjusted limit  = 901t(Limit)+600.00t(2024 carry over(Para 1(2) of Rec.22-04))-50t(transfer to Namibia(Para 5 of Rec.17-03))</t>
  </si>
  <si>
    <t>JAPAN-BIGEYE: Japan's 2026 adjusted limit = 13,865.86t(Para 6 of Rec.24-01)+4,147.16t(2024 carry over(Para 12 of Rec.22-01))-350t(transfer to China (Para 12 of Rec.24-01))</t>
  </si>
  <si>
    <t>(**) Türkiye transfers to EU 0.05 t in 2025</t>
  </si>
  <si>
    <t>ANGOLA</t>
  </si>
  <si>
    <t>2025**</t>
  </si>
  <si>
    <t>50 + Balance 2023</t>
  </si>
  <si>
    <t>11 : limite 2025 + 40% limite de capture initiale (Rec.23-04) + 40 tonnes transférées de l'Union Européenne (REC 17-02)=40+(40*0.4)+40=96</t>
  </si>
  <si>
    <t>12 : limite 2025 + 25% quota de capture initial 2024 (REC 23-05)</t>
  </si>
  <si>
    <t>10(A)=IQ2024+2t EU transfer provided by Rec. 19-05.</t>
  </si>
  <si>
    <t>=1168+10%1168+50+50+50</t>
  </si>
  <si>
    <t>=1168+10%1168+50+50</t>
  </si>
  <si>
    <t>302+(0.25*302)</t>
  </si>
  <si>
    <t xml:space="preserve">*Belize is carrying forward 25% of its initial balance (75 t) from its balance of 302.72 in 2024 to be used in 2026.  </t>
  </si>
  <si>
    <r>
      <t xml:space="preserve">2026: IQ2024 + 25% MAX2024 </t>
    </r>
    <r>
      <rPr>
        <b/>
        <sz val="10"/>
        <color rgb="FFFF0000"/>
        <rFont val="Cambria"/>
        <family val="1"/>
      </rPr>
      <t>- 100t transferred to JPN</t>
    </r>
  </si>
  <si>
    <t xml:space="preserve">2026 adjusted quota is 120+30 due to the inclusion of 2024 underage (MAX 25% IQ 2024) and 2026 initial catch quota.  </t>
  </si>
  <si>
    <t>Adjusted limit for 2026=initial quota(240)+240*25%(not exceeding the balance of 2023)=300</t>
  </si>
  <si>
    <t>The underharvest of the EU in 2024 was of 2065.47t.  In line with Rec 22-06, the EU is entitled to carry over  441.25 t to 2026, corresponding to 25% of its initial quota for 2024.</t>
  </si>
  <si>
    <t>=4320+25%4320</t>
  </si>
  <si>
    <t>* Adjusted limit 2026 = initial limit 2024 (530) + available balance 2023 (not to exceed 25% of initial quota) (132.5) - 100t transferred to JPN</t>
  </si>
  <si>
    <t>2025 = Initial allocation + underharvest from 2024 (49.814) + Mexican transfer (60t)</t>
  </si>
  <si>
    <t>11:  limite 2025+ 100% allocation de quota initiale = 6.18+4.46= 12.36</t>
  </si>
  <si>
    <t>2025= 149.34+149.34-transfer to Canada (60t) por Rec. 22-10</t>
  </si>
  <si>
    <t xml:space="preserve">COC-304/25 Annex 1_REV6: APPLICATION OF OVER/UNDERHARVEST / APPLICATION DE SUR/SOUSONSOMMATION / APLICACIÓN DE EXCESO/REMANENTE DE CAPTURA </t>
  </si>
  <si>
    <t>2025 adjusted limit: IQ-OH2024</t>
  </si>
  <si>
    <t>Limit 2025 + MAX5% 2024 (1075,15)</t>
  </si>
  <si>
    <t>In 2025, the underharvest for the EU was 1116,99 t, which is more than the maximum allowed 5% provided in the Rec. 22-08. Therefore, the EU is entitled to carry over 1075,15t to 2025 if the current management arrangments are maintained. Transfer of 200 t received from Iceland</t>
  </si>
  <si>
    <r>
      <t>Limit 202</t>
    </r>
    <r>
      <rPr>
        <sz val="10"/>
        <color rgb="FFFF0000"/>
        <rFont val="Cambria"/>
        <family val="1"/>
      </rPr>
      <t>5</t>
    </r>
    <r>
      <rPr>
        <sz val="10"/>
        <rFont val="Cambria"/>
        <family val="1"/>
      </rPr>
      <t xml:space="preserve"> + MAX5% 202</t>
    </r>
    <r>
      <rPr>
        <sz val="10"/>
        <color rgb="FFFF0000"/>
        <rFont val="Cambria"/>
        <family val="1"/>
      </rPr>
      <t>4</t>
    </r>
    <r>
      <rPr>
        <sz val="10"/>
        <rFont val="Cambria"/>
        <family val="1"/>
      </rPr>
      <t xml:space="preserve"> (1075,15) * 200t (transfert ISL)</t>
    </r>
  </si>
  <si>
    <t>f) According to Recommendation 22-08 paragraph 4, Norway was initially  allocated a quota of 368 tonnes eastern BFT in 2024. Referring to Recommendation 22-08 Paragraph 6, Norway requested in panel 2 to transfer a maximum of 5 % of its 2024 quota to 2025. A total of 152,574 tonnes of the Adjusted Norwegian catch quota (368 tonnes) was utilised in 2024, and 18,4 tonnes (5 % of 368 tonnes) may, according to Paragraph 6, be transferred to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</si>
</sst>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0_-;\-* #,##0_-;_-* &quot;-&quot;_-;_-@_-"/>
    <numFmt numFmtId="43" formatCode="_-* #,##0.00_-;\-* #,##0.00_-;_-* &quot;-&quot;??_-;_-@_-"/>
    <numFmt numFmtId="164" formatCode="0.0_ "/>
    <numFmt numFmtId="165" formatCode="#,##0.00_ "/>
    <numFmt numFmtId="166" formatCode="0.0%"/>
    <numFmt numFmtId="167" formatCode="0.00_);[Red]\(0.00\)"/>
    <numFmt numFmtId="168" formatCode="0.00_);\(0.00\)"/>
    <numFmt numFmtId="169" formatCode="0.000"/>
  </numFmts>
  <fonts count="32" x14ac:knownFonts="1">
    <font>
      <sz val="11"/>
      <color theme="1"/>
      <name val="Calibri"/>
      <family val="2"/>
      <scheme val="minor"/>
    </font>
    <font>
      <sz val="10"/>
      <name val="Arial"/>
      <family val="2"/>
    </font>
    <font>
      <sz val="12"/>
      <name val="Times New Roman"/>
      <family val="1"/>
    </font>
    <font>
      <sz val="10"/>
      <color rgb="FF000000"/>
      <name val="Arial"/>
      <family val="2"/>
    </font>
    <font>
      <sz val="10"/>
      <name val="Arial"/>
      <family val="2"/>
    </font>
    <font>
      <b/>
      <sz val="10"/>
      <name val="Cambria"/>
      <family val="1"/>
    </font>
    <font>
      <sz val="10"/>
      <color rgb="FFFF0000"/>
      <name val="Cambria"/>
      <family val="1"/>
    </font>
    <font>
      <sz val="10"/>
      <color theme="1"/>
      <name val="Cambria"/>
      <family val="1"/>
    </font>
    <font>
      <sz val="10"/>
      <name val="Arial"/>
      <family val="2"/>
    </font>
    <font>
      <sz val="11"/>
      <color theme="1"/>
      <name val="Calibri"/>
      <family val="2"/>
      <scheme val="minor"/>
    </font>
    <font>
      <sz val="8"/>
      <name val="Calibri"/>
      <family val="2"/>
      <scheme val="minor"/>
    </font>
    <font>
      <sz val="10"/>
      <name val="Cambria"/>
      <family val="1"/>
    </font>
    <font>
      <sz val="10"/>
      <name val="Times New Roman"/>
      <family val="1"/>
    </font>
    <font>
      <b/>
      <sz val="10"/>
      <name val="Times New Roman"/>
      <family val="1"/>
    </font>
    <font>
      <vertAlign val="superscript"/>
      <sz val="10"/>
      <name val="Cambria"/>
      <family val="1"/>
    </font>
    <font>
      <sz val="11"/>
      <name val="Times New Roman"/>
      <family val="1"/>
    </font>
    <font>
      <sz val="11"/>
      <name val="Calibri"/>
      <family val="2"/>
      <scheme val="minor"/>
    </font>
    <font>
      <b/>
      <sz val="10"/>
      <name val="Calibri"/>
      <family val="2"/>
      <scheme val="minor"/>
    </font>
    <font>
      <sz val="11"/>
      <name val="Cambria"/>
      <family val="1"/>
    </font>
    <font>
      <b/>
      <sz val="11"/>
      <name val="Cambria"/>
      <family val="1"/>
    </font>
    <font>
      <sz val="10"/>
      <name val="Calibri Light"/>
      <family val="1"/>
      <scheme val="major"/>
    </font>
    <font>
      <strike/>
      <sz val="10"/>
      <name val="Cambria"/>
      <family val="1"/>
    </font>
    <font>
      <b/>
      <sz val="12"/>
      <name val="Cambria"/>
      <family val="1"/>
    </font>
    <font>
      <b/>
      <vertAlign val="superscript"/>
      <sz val="10"/>
      <name val="Cambria"/>
      <family val="1"/>
    </font>
    <font>
      <b/>
      <sz val="10"/>
      <color theme="1"/>
      <name val="Cambria"/>
      <family val="1"/>
    </font>
    <font>
      <b/>
      <sz val="10"/>
      <name val="Cambria"/>
      <family val="1"/>
      <charset val="1"/>
    </font>
    <font>
      <sz val="10"/>
      <name val="Cambria"/>
      <family val="1"/>
      <charset val="1"/>
    </font>
    <font>
      <sz val="11"/>
      <color rgb="FFFF0000"/>
      <name val="Calibri"/>
      <family val="2"/>
      <scheme val="minor"/>
    </font>
    <font>
      <sz val="10"/>
      <color rgb="FFFF0000"/>
      <name val="Times New Roman"/>
      <family val="1"/>
    </font>
    <font>
      <sz val="11"/>
      <color rgb="FFFF0000"/>
      <name val="Cambria"/>
      <family val="1"/>
    </font>
    <font>
      <sz val="10"/>
      <color rgb="FFFF0000"/>
      <name val="Calibri Light"/>
      <family val="1"/>
      <scheme val="major"/>
    </font>
    <font>
      <b/>
      <sz val="10"/>
      <color rgb="FFFF0000"/>
      <name val="Cambria"/>
      <family val="1"/>
    </font>
  </fonts>
  <fills count="2">
    <fill>
      <patternFill patternType="none"/>
    </fill>
    <fill>
      <patternFill patternType="gray125"/>
    </fill>
  </fills>
  <borders count="47">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style="thin">
        <color indexed="64"/>
      </left>
      <right/>
      <top/>
      <bottom/>
      <diagonal/>
    </border>
    <border>
      <left style="hair">
        <color indexed="64"/>
      </left>
      <right style="thin">
        <color indexed="64"/>
      </right>
      <top style="thin">
        <color indexed="64"/>
      </top>
      <bottom style="thin">
        <color indexed="64"/>
      </bottom>
      <diagonal/>
    </border>
    <border>
      <left style="thin">
        <color theme="1"/>
      </left>
      <right style="thin">
        <color theme="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right/>
      <top style="thin">
        <color rgb="FF000000"/>
      </top>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right style="thin">
        <color indexed="8"/>
      </right>
      <top style="thin">
        <color indexed="8"/>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11">
    <xf numFmtId="0" fontId="0" fillId="0" borderId="0"/>
    <xf numFmtId="0" fontId="1" fillId="0" borderId="0"/>
    <xf numFmtId="0" fontId="1" fillId="0" borderId="0"/>
    <xf numFmtId="0" fontId="1" fillId="0" borderId="0"/>
    <xf numFmtId="0" fontId="3" fillId="0" borderId="0"/>
    <xf numFmtId="0" fontId="4" fillId="0" borderId="0"/>
    <xf numFmtId="0" fontId="8" fillId="0" borderId="0"/>
    <xf numFmtId="0" fontId="1" fillId="0" borderId="0"/>
    <xf numFmtId="41" fontId="9" fillId="0" borderId="0" applyFont="0" applyFill="0" applyBorder="0" applyAlignment="0" applyProtection="0"/>
    <xf numFmtId="38" fontId="1" fillId="0" borderId="0" applyFont="0" applyFill="0" applyBorder="0" applyAlignment="0" applyProtection="0">
      <alignment vertical="center"/>
    </xf>
    <xf numFmtId="0" fontId="9" fillId="0" borderId="0"/>
  </cellStyleXfs>
  <cellXfs count="737">
    <xf numFmtId="0" fontId="0" fillId="0" borderId="0" xfId="0"/>
    <xf numFmtId="0" fontId="17" fillId="0" borderId="0" xfId="0" applyFont="1"/>
    <xf numFmtId="0" fontId="5" fillId="0" borderId="0" xfId="0" applyFont="1"/>
    <xf numFmtId="0" fontId="11" fillId="0" borderId="0" xfId="0" applyFont="1"/>
    <xf numFmtId="0" fontId="11" fillId="0" borderId="0" xfId="0" applyFont="1" applyAlignment="1">
      <alignment wrapText="1"/>
    </xf>
    <xf numFmtId="0" fontId="20" fillId="0" borderId="0" xfId="0" applyFont="1" applyAlignment="1">
      <alignment horizontal="left" wrapText="1"/>
    </xf>
    <xf numFmtId="0" fontId="5" fillId="0" borderId="1" xfId="0" applyFont="1" applyBorder="1"/>
    <xf numFmtId="0" fontId="5" fillId="0" borderId="2" xfId="0" applyFont="1" applyBorder="1"/>
    <xf numFmtId="0" fontId="11" fillId="0" borderId="0" xfId="1" applyFont="1"/>
    <xf numFmtId="0" fontId="5" fillId="0" borderId="4" xfId="0" applyFont="1" applyBorder="1"/>
    <xf numFmtId="0" fontId="11" fillId="0" borderId="1" xfId="0" applyFont="1" applyBorder="1"/>
    <xf numFmtId="0" fontId="11" fillId="0" borderId="4" xfId="0" applyFont="1" applyBorder="1"/>
    <xf numFmtId="2" fontId="11" fillId="0" borderId="4" xfId="0" applyNumberFormat="1" applyFont="1" applyBorder="1"/>
    <xf numFmtId="1" fontId="11" fillId="0" borderId="4" xfId="0" applyNumberFormat="1" applyFont="1" applyBorder="1"/>
    <xf numFmtId="1" fontId="11" fillId="0" borderId="4" xfId="0" applyNumberFormat="1" applyFont="1" applyBorder="1" applyAlignment="1">
      <alignment wrapText="1"/>
    </xf>
    <xf numFmtId="2" fontId="5" fillId="0" borderId="4" xfId="0" applyNumberFormat="1" applyFont="1" applyBorder="1"/>
    <xf numFmtId="0" fontId="11" fillId="0" borderId="7" xfId="0" applyFont="1" applyBorder="1"/>
    <xf numFmtId="0" fontId="11" fillId="0" borderId="15" xfId="0" applyFont="1" applyBorder="1"/>
    <xf numFmtId="0" fontId="11" fillId="0" borderId="34" xfId="0" applyFont="1" applyBorder="1"/>
    <xf numFmtId="0" fontId="11" fillId="0" borderId="36" xfId="0" applyFont="1" applyBorder="1"/>
    <xf numFmtId="0" fontId="17" fillId="0" borderId="36" xfId="0" applyFont="1" applyBorder="1"/>
    <xf numFmtId="0" fontId="5" fillId="0" borderId="37" xfId="0" applyFont="1" applyBorder="1"/>
    <xf numFmtId="0" fontId="11" fillId="0" borderId="6" xfId="0" applyFont="1" applyBorder="1" applyAlignment="1">
      <alignment horizontal="left" wrapText="1"/>
    </xf>
    <xf numFmtId="0" fontId="17" fillId="0" borderId="6" xfId="0" applyFont="1" applyBorder="1"/>
    <xf numFmtId="0" fontId="5" fillId="0" borderId="3" xfId="0" applyFont="1" applyBorder="1"/>
    <xf numFmtId="0" fontId="6" fillId="0" borderId="4" xfId="0" applyFont="1" applyBorder="1"/>
    <xf numFmtId="2" fontId="6" fillId="0" borderId="4" xfId="0" applyNumberFormat="1" applyFont="1" applyBorder="1"/>
    <xf numFmtId="2" fontId="24" fillId="0" borderId="4" xfId="0" applyNumberFormat="1" applyFont="1" applyBorder="1"/>
    <xf numFmtId="1" fontId="24" fillId="0" borderId="4" xfId="0" applyNumberFormat="1" applyFont="1" applyBorder="1" applyAlignment="1">
      <alignment wrapText="1"/>
    </xf>
    <xf numFmtId="0" fontId="11" fillId="0" borderId="38" xfId="0" applyFont="1" applyBorder="1"/>
    <xf numFmtId="0" fontId="11" fillId="0" borderId="39" xfId="0" applyFont="1" applyBorder="1"/>
    <xf numFmtId="0" fontId="17" fillId="0" borderId="33" xfId="0" applyFont="1" applyBorder="1"/>
    <xf numFmtId="0" fontId="11" fillId="0" borderId="0" xfId="0" applyFont="1" applyAlignment="1">
      <alignment horizontal="left" wrapText="1"/>
    </xf>
    <xf numFmtId="0" fontId="5" fillId="0" borderId="6" xfId="0" applyFont="1" applyBorder="1"/>
    <xf numFmtId="0" fontId="11" fillId="0" borderId="6" xfId="0" applyFont="1" applyBorder="1"/>
    <xf numFmtId="0" fontId="6" fillId="0" borderId="0" xfId="0" applyFont="1" applyAlignment="1">
      <alignment horizontal="left" wrapText="1"/>
    </xf>
    <xf numFmtId="0" fontId="11" fillId="0" borderId="5" xfId="0" applyFont="1" applyBorder="1"/>
    <xf numFmtId="0" fontId="11" fillId="0" borderId="2" xfId="0" applyFont="1" applyBorder="1"/>
    <xf numFmtId="0" fontId="6" fillId="0" borderId="2" xfId="0" applyFont="1" applyBorder="1"/>
    <xf numFmtId="0" fontId="11" fillId="0" borderId="12" xfId="0" applyFont="1" applyBorder="1"/>
    <xf numFmtId="0" fontId="6" fillId="0" borderId="10" xfId="0" applyFont="1" applyBorder="1"/>
    <xf numFmtId="0" fontId="11" fillId="0" borderId="11" xfId="0" applyFont="1" applyBorder="1"/>
    <xf numFmtId="0" fontId="6" fillId="0" borderId="11" xfId="0" applyFont="1" applyBorder="1"/>
    <xf numFmtId="0" fontId="6" fillId="0" borderId="6" xfId="0" applyFont="1" applyBorder="1"/>
    <xf numFmtId="0" fontId="6" fillId="0" borderId="3" xfId="0" applyFont="1" applyBorder="1"/>
    <xf numFmtId="0" fontId="6" fillId="0" borderId="0" xfId="0" applyFont="1"/>
    <xf numFmtId="0" fontId="11" fillId="0" borderId="8" xfId="0" applyFont="1" applyBorder="1"/>
    <xf numFmtId="0" fontId="11" fillId="0" borderId="9" xfId="0" applyFont="1" applyBorder="1"/>
    <xf numFmtId="0" fontId="11" fillId="0" borderId="3" xfId="0" applyFont="1" applyBorder="1"/>
    <xf numFmtId="0" fontId="11" fillId="0" borderId="0" xfId="0" applyFont="1" applyAlignment="1">
      <alignment vertical="center"/>
    </xf>
    <xf numFmtId="0" fontId="16" fillId="0" borderId="0" xfId="0" applyFont="1"/>
    <xf numFmtId="0" fontId="11" fillId="0" borderId="4" xfId="0" applyFont="1" applyBorder="1" applyAlignment="1">
      <alignment vertical="center"/>
    </xf>
    <xf numFmtId="0" fontId="11" fillId="0" borderId="4" xfId="0" applyFont="1" applyBorder="1" applyAlignment="1">
      <alignment horizontal="right" vertical="center"/>
    </xf>
    <xf numFmtId="0" fontId="11" fillId="0" borderId="36" xfId="0" applyFont="1" applyBorder="1" applyAlignment="1">
      <alignment vertical="center"/>
    </xf>
    <xf numFmtId="0" fontId="16" fillId="0" borderId="36" xfId="0" applyFont="1" applyBorder="1"/>
    <xf numFmtId="0" fontId="16" fillId="0" borderId="37" xfId="0" applyFont="1" applyBorder="1"/>
    <xf numFmtId="0" fontId="11" fillId="0" borderId="12" xfId="0" applyFont="1" applyBorder="1" applyAlignment="1">
      <alignment vertical="center"/>
    </xf>
    <xf numFmtId="0" fontId="16" fillId="0" borderId="10" xfId="0" applyFont="1" applyBorder="1"/>
    <xf numFmtId="0" fontId="11" fillId="0" borderId="6" xfId="0" applyFont="1" applyBorder="1" applyAlignment="1">
      <alignment vertical="center"/>
    </xf>
    <xf numFmtId="0" fontId="16" fillId="0" borderId="6" xfId="0" applyFont="1" applyBorder="1"/>
    <xf numFmtId="0" fontId="16" fillId="0" borderId="3" xfId="0" applyFont="1" applyBorder="1"/>
    <xf numFmtId="0" fontId="11" fillId="0" borderId="8" xfId="0" applyFont="1" applyBorder="1" applyAlignment="1">
      <alignment vertical="center"/>
    </xf>
    <xf numFmtId="0" fontId="11" fillId="0" borderId="35" xfId="0" applyFont="1" applyBorder="1"/>
    <xf numFmtId="0" fontId="11" fillId="0" borderId="37" xfId="0" applyFont="1" applyBorder="1"/>
    <xf numFmtId="0" fontId="11" fillId="0" borderId="10" xfId="0" applyFont="1" applyBorder="1"/>
    <xf numFmtId="0" fontId="5" fillId="0" borderId="24" xfId="1" applyFont="1" applyBorder="1"/>
    <xf numFmtId="0" fontId="5" fillId="0" borderId="2" xfId="1" applyFont="1" applyBorder="1"/>
    <xf numFmtId="0" fontId="5" fillId="0" borderId="4" xfId="1" applyFont="1" applyBorder="1"/>
    <xf numFmtId="0" fontId="11" fillId="0" borderId="1" xfId="1" applyFont="1" applyBorder="1"/>
    <xf numFmtId="0" fontId="11" fillId="0" borderId="4" xfId="1" applyFont="1" applyBorder="1"/>
    <xf numFmtId="0" fontId="5" fillId="0" borderId="5" xfId="1" applyFont="1" applyBorder="1"/>
    <xf numFmtId="2" fontId="11" fillId="0" borderId="5" xfId="1" applyNumberFormat="1" applyFont="1" applyBorder="1"/>
    <xf numFmtId="2" fontId="11" fillId="0" borderId="4" xfId="1" applyNumberFormat="1" applyFont="1" applyBorder="1"/>
    <xf numFmtId="0" fontId="11" fillId="0" borderId="7" xfId="1" applyFont="1" applyBorder="1"/>
    <xf numFmtId="0" fontId="11" fillId="0" borderId="15" xfId="1" applyFont="1" applyBorder="1"/>
    <xf numFmtId="0" fontId="11" fillId="0" borderId="8" xfId="1" applyFont="1" applyBorder="1"/>
    <xf numFmtId="0" fontId="11" fillId="0" borderId="7" xfId="1" applyFont="1" applyBorder="1" applyAlignment="1">
      <alignment horizontal="left"/>
    </xf>
    <xf numFmtId="0" fontId="11" fillId="0" borderId="8" xfId="1" applyFont="1" applyBorder="1" applyAlignment="1">
      <alignment horizontal="left"/>
    </xf>
    <xf numFmtId="0" fontId="12" fillId="0" borderId="12" xfId="0" applyFont="1" applyBorder="1" applyAlignment="1">
      <alignment horizontal="left"/>
    </xf>
    <xf numFmtId="0" fontId="12" fillId="0" borderId="0" xfId="0" applyFont="1" applyAlignment="1">
      <alignment horizontal="left"/>
    </xf>
    <xf numFmtId="0" fontId="11" fillId="0" borderId="0" xfId="1" applyFont="1" applyAlignment="1">
      <alignment horizontal="left"/>
    </xf>
    <xf numFmtId="0" fontId="12" fillId="0" borderId="12" xfId="0" applyFont="1" applyBorder="1"/>
    <xf numFmtId="0" fontId="28" fillId="0" borderId="12" xfId="0" applyFont="1" applyBorder="1"/>
    <xf numFmtId="0" fontId="12" fillId="0" borderId="0" xfId="0" applyFont="1"/>
    <xf numFmtId="0" fontId="12" fillId="0" borderId="11" xfId="0" applyFont="1" applyBorder="1"/>
    <xf numFmtId="0" fontId="11" fillId="0" borderId="6" xfId="1" applyFont="1" applyBorder="1"/>
    <xf numFmtId="0" fontId="28" fillId="0" borderId="0" xfId="0" applyFont="1"/>
    <xf numFmtId="0" fontId="11" fillId="0" borderId="24" xfId="1" applyFont="1" applyBorder="1"/>
    <xf numFmtId="0" fontId="11" fillId="0" borderId="33" xfId="0" applyFont="1" applyBorder="1"/>
    <xf numFmtId="2" fontId="11" fillId="0" borderId="16" xfId="1" applyNumberFormat="1" applyFont="1" applyBorder="1"/>
    <xf numFmtId="0" fontId="11" fillId="0" borderId="32" xfId="0" applyFont="1" applyBorder="1"/>
    <xf numFmtId="0" fontId="11" fillId="0" borderId="25" xfId="1" applyFont="1" applyBorder="1"/>
    <xf numFmtId="0" fontId="11" fillId="0" borderId="34" xfId="1" applyFont="1" applyBorder="1"/>
    <xf numFmtId="0" fontId="11" fillId="0" borderId="36" xfId="1" applyFont="1" applyBorder="1"/>
    <xf numFmtId="0" fontId="11" fillId="0" borderId="12" xfId="1" applyFont="1" applyBorder="1"/>
    <xf numFmtId="0" fontId="11" fillId="0" borderId="11" xfId="1" applyFont="1" applyBorder="1"/>
    <xf numFmtId="2" fontId="11" fillId="0" borderId="1" xfId="1" applyNumberFormat="1" applyFont="1" applyBorder="1"/>
    <xf numFmtId="2" fontId="11" fillId="0" borderId="2" xfId="1" applyNumberFormat="1" applyFont="1" applyBorder="1"/>
    <xf numFmtId="0" fontId="5" fillId="0" borderId="1" xfId="1" applyFont="1" applyBorder="1"/>
    <xf numFmtId="39" fontId="11" fillId="0" borderId="4" xfId="1" applyNumberFormat="1" applyFont="1" applyBorder="1"/>
    <xf numFmtId="39" fontId="11" fillId="0" borderId="2" xfId="1" applyNumberFormat="1" applyFont="1" applyBorder="1"/>
    <xf numFmtId="43" fontId="11" fillId="0" borderId="4" xfId="1" applyNumberFormat="1" applyFont="1" applyBorder="1"/>
    <xf numFmtId="1" fontId="11" fillId="0" borderId="15" xfId="1" applyNumberFormat="1" applyFont="1" applyBorder="1"/>
    <xf numFmtId="0" fontId="5" fillId="0" borderId="11" xfId="1" applyFont="1" applyBorder="1"/>
    <xf numFmtId="0" fontId="5" fillId="0" borderId="3" xfId="1" applyFont="1" applyBorder="1"/>
    <xf numFmtId="0" fontId="5" fillId="0" borderId="16" xfId="1" applyFont="1" applyBorder="1"/>
    <xf numFmtId="168" fontId="11" fillId="0" borderId="4" xfId="1" applyNumberFormat="1" applyFont="1" applyBorder="1"/>
    <xf numFmtId="168" fontId="11" fillId="0" borderId="2" xfId="1" applyNumberFormat="1" applyFont="1" applyBorder="1"/>
    <xf numFmtId="43" fontId="11" fillId="0" borderId="4" xfId="1" applyNumberFormat="1" applyFont="1" applyBorder="1" applyAlignment="1">
      <alignment wrapText="1"/>
    </xf>
    <xf numFmtId="0" fontId="11" fillId="0" borderId="12" xfId="1" applyFont="1" applyBorder="1" applyAlignment="1">
      <alignment horizontal="left"/>
    </xf>
    <xf numFmtId="0" fontId="11" fillId="0" borderId="11" xfId="1" applyFont="1" applyBorder="1" applyAlignment="1">
      <alignment horizontal="left"/>
    </xf>
    <xf numFmtId="0" fontId="11" fillId="0" borderId="6" xfId="1" applyFont="1" applyBorder="1" applyAlignment="1">
      <alignment horizontal="left"/>
    </xf>
    <xf numFmtId="0" fontId="13" fillId="0" borderId="32" xfId="0" applyFont="1" applyBorder="1"/>
    <xf numFmtId="0" fontId="12" fillId="0" borderId="32" xfId="0" applyFont="1" applyBorder="1"/>
    <xf numFmtId="0" fontId="12" fillId="0" borderId="32" xfId="0" applyFont="1" applyBorder="1" applyAlignment="1">
      <alignment horizontal="right"/>
    </xf>
    <xf numFmtId="0" fontId="12" fillId="0" borderId="33" xfId="0" applyFont="1" applyBorder="1"/>
    <xf numFmtId="0" fontId="12" fillId="0" borderId="6" xfId="0" applyFont="1" applyBorder="1"/>
    <xf numFmtId="0" fontId="11" fillId="0" borderId="9" xfId="1" applyFont="1" applyBorder="1"/>
    <xf numFmtId="0" fontId="11" fillId="0" borderId="12" xfId="1" applyFont="1" applyBorder="1" applyAlignment="1">
      <alignment vertical="top"/>
    </xf>
    <xf numFmtId="0" fontId="11" fillId="0" borderId="0" xfId="1" applyFont="1" applyAlignment="1">
      <alignment wrapText="1"/>
    </xf>
    <xf numFmtId="0" fontId="11" fillId="0" borderId="11" xfId="1" applyFont="1" applyBorder="1" applyAlignment="1">
      <alignment vertical="top"/>
    </xf>
    <xf numFmtId="0" fontId="11" fillId="0" borderId="6" xfId="1" applyFont="1" applyBorder="1" applyAlignment="1">
      <alignment vertical="top" wrapText="1"/>
    </xf>
    <xf numFmtId="0" fontId="11" fillId="0" borderId="6" xfId="1" applyFont="1" applyBorder="1" applyAlignment="1">
      <alignment wrapText="1"/>
    </xf>
    <xf numFmtId="0" fontId="11" fillId="0" borderId="0" xfId="0" applyFont="1" applyAlignment="1">
      <alignment horizontal="left"/>
    </xf>
    <xf numFmtId="0" fontId="5" fillId="0" borderId="35" xfId="1" applyFont="1" applyBorder="1"/>
    <xf numFmtId="0" fontId="5" fillId="0" borderId="36" xfId="1" applyFont="1" applyBorder="1"/>
    <xf numFmtId="0" fontId="5" fillId="0" borderId="37" xfId="1" applyFont="1" applyBorder="1"/>
    <xf numFmtId="0" fontId="5" fillId="0" borderId="35" xfId="0" applyFont="1" applyBorder="1"/>
    <xf numFmtId="0" fontId="5" fillId="0" borderId="32" xfId="0" applyFont="1" applyBorder="1"/>
    <xf numFmtId="0" fontId="11" fillId="0" borderId="32" xfId="1" applyFont="1" applyBorder="1"/>
    <xf numFmtId="2" fontId="11" fillId="0" borderId="32" xfId="1" applyNumberFormat="1" applyFont="1" applyBorder="1"/>
    <xf numFmtId="2" fontId="11" fillId="0" borderId="32" xfId="0" applyNumberFormat="1" applyFont="1" applyBorder="1"/>
    <xf numFmtId="2" fontId="11" fillId="0" borderId="32" xfId="1" applyNumberFormat="1" applyFont="1" applyBorder="1" applyAlignment="1">
      <alignment horizontal="right"/>
    </xf>
    <xf numFmtId="43" fontId="11" fillId="0" borderId="32" xfId="1" applyNumberFormat="1" applyFont="1" applyBorder="1"/>
    <xf numFmtId="1" fontId="11" fillId="0" borderId="32" xfId="1" applyNumberFormat="1" applyFont="1" applyBorder="1"/>
    <xf numFmtId="43" fontId="11" fillId="0" borderId="2" xfId="1" applyNumberFormat="1" applyFont="1" applyBorder="1"/>
    <xf numFmtId="0" fontId="11" fillId="0" borderId="5" xfId="1" applyFont="1" applyBorder="1"/>
    <xf numFmtId="0" fontId="11" fillId="0" borderId="2" xfId="1" applyFont="1" applyBorder="1"/>
    <xf numFmtId="0" fontId="11" fillId="0" borderId="0" xfId="1" applyFont="1" applyAlignment="1">
      <alignment horizontal="left" wrapText="1"/>
    </xf>
    <xf numFmtId="0" fontId="11" fillId="0" borderId="7" xfId="0" applyFont="1" applyBorder="1" applyAlignment="1">
      <alignment vertical="center"/>
    </xf>
    <xf numFmtId="0" fontId="11" fillId="0" borderId="10" xfId="0" applyFont="1" applyBorder="1" applyAlignment="1">
      <alignment vertical="center"/>
    </xf>
    <xf numFmtId="0" fontId="6" fillId="0" borderId="6" xfId="0" applyFont="1" applyBorder="1" applyAlignment="1">
      <alignment vertical="center"/>
    </xf>
    <xf numFmtId="0" fontId="5" fillId="0" borderId="5" xfId="0" applyFont="1" applyBorder="1"/>
    <xf numFmtId="169" fontId="11" fillId="0" borderId="0" xfId="0" applyNumberFormat="1" applyFont="1"/>
    <xf numFmtId="0" fontId="5" fillId="0" borderId="4" xfId="0" applyFont="1" applyBorder="1" applyAlignment="1">
      <alignment horizontal="right" vertical="center"/>
    </xf>
    <xf numFmtId="2" fontId="11" fillId="0" borderId="4" xfId="0" applyNumberFormat="1" applyFont="1" applyBorder="1" applyAlignment="1">
      <alignment horizontal="right" vertical="center"/>
    </xf>
    <xf numFmtId="2" fontId="11" fillId="0" borderId="4" xfId="0" applyNumberFormat="1" applyFont="1" applyBorder="1" applyAlignment="1">
      <alignment vertical="center"/>
    </xf>
    <xf numFmtId="0" fontId="11" fillId="0" borderId="15" xfId="0" applyFont="1" applyBorder="1" applyAlignment="1">
      <alignment horizontal="right" vertical="center"/>
    </xf>
    <xf numFmtId="0" fontId="11" fillId="0" borderId="15" xfId="0" applyFont="1" applyBorder="1" applyAlignment="1">
      <alignment vertical="center"/>
    </xf>
    <xf numFmtId="0" fontId="11" fillId="0" borderId="8" xfId="0" applyFont="1" applyBorder="1" applyAlignment="1">
      <alignment horizontal="right" vertical="center"/>
    </xf>
    <xf numFmtId="0" fontId="6" fillId="0" borderId="12" xfId="0" applyFont="1" applyBorder="1"/>
    <xf numFmtId="0" fontId="5" fillId="0" borderId="11" xfId="0" applyFont="1" applyBorder="1"/>
    <xf numFmtId="0" fontId="11" fillId="0" borderId="4" xfId="0" applyFont="1" applyBorder="1" applyAlignment="1">
      <alignment horizontal="left" vertical="center" wrapText="1"/>
    </xf>
    <xf numFmtId="0" fontId="5" fillId="0" borderId="4" xfId="0" applyFont="1" applyBorder="1" applyAlignment="1">
      <alignment horizontal="center" vertical="center" wrapText="1"/>
    </xf>
    <xf numFmtId="0" fontId="5" fillId="0" borderId="4" xfId="0" applyFont="1" applyBorder="1" applyAlignment="1">
      <alignment horizontal="center"/>
    </xf>
    <xf numFmtId="2" fontId="11" fillId="0" borderId="4" xfId="0" applyNumberFormat="1" applyFont="1" applyBorder="1" applyAlignment="1">
      <alignment horizontal="right" vertical="center" wrapText="1"/>
    </xf>
    <xf numFmtId="2" fontId="11" fillId="0" borderId="4" xfId="0" applyNumberFormat="1" applyFont="1" applyBorder="1" applyAlignment="1">
      <alignment horizontal="right"/>
    </xf>
    <xf numFmtId="0" fontId="11" fillId="0" borderId="15" xfId="0" applyFont="1" applyBorder="1" applyAlignment="1">
      <alignment horizontal="left" vertical="center" wrapText="1"/>
    </xf>
    <xf numFmtId="0" fontId="11" fillId="0" borderId="15" xfId="0" applyFont="1" applyBorder="1" applyAlignment="1">
      <alignment horizontal="center" vertical="center" wrapText="1"/>
    </xf>
    <xf numFmtId="0" fontId="11" fillId="0" borderId="15" xfId="0" applyFont="1" applyBorder="1" applyAlignment="1">
      <alignment horizontal="center"/>
    </xf>
    <xf numFmtId="0" fontId="11" fillId="0" borderId="34" xfId="0" applyFont="1" applyBorder="1" applyAlignment="1">
      <alignment horizontal="left"/>
    </xf>
    <xf numFmtId="0" fontId="11" fillId="0" borderId="12" xfId="0" applyFont="1" applyBorder="1" applyAlignment="1">
      <alignment horizontal="left"/>
    </xf>
    <xf numFmtId="0" fontId="6" fillId="0" borderId="11" xfId="0" applyFont="1" applyBorder="1" applyAlignment="1">
      <alignment horizontal="left"/>
    </xf>
    <xf numFmtId="2" fontId="11" fillId="0" borderId="4" xfId="0" applyNumberFormat="1" applyFont="1" applyBorder="1" applyAlignment="1">
      <alignment horizontal="left" vertical="center" wrapText="1"/>
    </xf>
    <xf numFmtId="0" fontId="11" fillId="0" borderId="16" xfId="0" applyFont="1" applyBorder="1" applyAlignment="1">
      <alignment horizontal="left" vertical="center" wrapText="1"/>
    </xf>
    <xf numFmtId="0" fontId="5" fillId="0" borderId="16" xfId="0" applyFont="1" applyBorder="1" applyAlignment="1">
      <alignment horizontal="center" vertical="center" wrapText="1"/>
    </xf>
    <xf numFmtId="2" fontId="11" fillId="0" borderId="16" xfId="0" applyNumberFormat="1" applyFont="1" applyBorder="1" applyAlignment="1">
      <alignment horizontal="right"/>
    </xf>
    <xf numFmtId="0" fontId="11" fillId="0" borderId="35" xfId="0" applyFont="1" applyBorder="1" applyAlignment="1">
      <alignment horizontal="left" vertical="center" wrapText="1"/>
    </xf>
    <xf numFmtId="0" fontId="5" fillId="0" borderId="35" xfId="0" applyFont="1" applyBorder="1" applyAlignment="1">
      <alignment horizontal="center" vertical="center" wrapText="1"/>
    </xf>
    <xf numFmtId="0" fontId="5" fillId="0" borderId="35" xfId="0" applyFont="1" applyBorder="1" applyAlignment="1">
      <alignment horizontal="center"/>
    </xf>
    <xf numFmtId="0" fontId="11" fillId="0" borderId="16" xfId="0" applyFont="1" applyBorder="1"/>
    <xf numFmtId="0" fontId="6" fillId="0" borderId="6" xfId="0" applyFont="1" applyBorder="1" applyAlignment="1">
      <alignment horizontal="left"/>
    </xf>
    <xf numFmtId="0" fontId="5" fillId="0" borderId="5" xfId="0" applyFont="1" applyBorder="1" applyAlignment="1">
      <alignment horizontal="center"/>
    </xf>
    <xf numFmtId="0" fontId="5" fillId="0" borderId="2" xfId="0" applyFont="1" applyBorder="1" applyAlignment="1">
      <alignment horizontal="center"/>
    </xf>
    <xf numFmtId="2" fontId="11" fillId="0" borderId="5" xfId="0" applyNumberFormat="1" applyFont="1" applyBorder="1" applyAlignment="1">
      <alignment horizontal="right"/>
    </xf>
    <xf numFmtId="2" fontId="11" fillId="0" borderId="2" xfId="0" applyNumberFormat="1" applyFont="1" applyBorder="1" applyAlignment="1">
      <alignment horizontal="right"/>
    </xf>
    <xf numFmtId="49" fontId="11" fillId="0" borderId="4" xfId="0" applyNumberFormat="1" applyFont="1" applyBorder="1" applyAlignment="1">
      <alignment wrapText="1"/>
    </xf>
    <xf numFmtId="49" fontId="11" fillId="0" borderId="2" xfId="0" applyNumberFormat="1" applyFont="1" applyBorder="1" applyAlignment="1">
      <alignment wrapText="1"/>
    </xf>
    <xf numFmtId="0" fontId="11" fillId="0" borderId="8" xfId="0" applyFont="1" applyBorder="1" applyAlignment="1">
      <alignment horizontal="center"/>
    </xf>
    <xf numFmtId="0" fontId="11" fillId="0" borderId="9" xfId="0" applyFont="1" applyBorder="1" applyAlignment="1">
      <alignment horizontal="center"/>
    </xf>
    <xf numFmtId="0" fontId="11" fillId="0" borderId="32" xfId="0" applyFont="1" applyBorder="1" applyAlignment="1">
      <alignment horizontal="center"/>
    </xf>
    <xf numFmtId="0" fontId="11" fillId="0" borderId="6" xfId="0" applyFont="1" applyBorder="1" applyAlignment="1">
      <alignment horizontal="left"/>
    </xf>
    <xf numFmtId="2" fontId="6" fillId="0" borderId="4" xfId="0" applyNumberFormat="1" applyFont="1" applyBorder="1" applyAlignment="1">
      <alignment horizontal="right"/>
    </xf>
    <xf numFmtId="0" fontId="11" fillId="0" borderId="4" xfId="0" quotePrefix="1" applyFont="1" applyBorder="1"/>
    <xf numFmtId="0" fontId="11" fillId="0" borderId="4" xfId="0" quotePrefix="1" applyFont="1" applyBorder="1" applyAlignment="1">
      <alignment wrapText="1"/>
    </xf>
    <xf numFmtId="0" fontId="6" fillId="0" borderId="9" xfId="0" applyFont="1" applyBorder="1" applyAlignment="1">
      <alignment horizontal="center" vertical="center" wrapText="1"/>
    </xf>
    <xf numFmtId="0" fontId="11" fillId="0" borderId="39" xfId="0" applyFont="1" applyBorder="1" applyAlignment="1">
      <alignment horizontal="center"/>
    </xf>
    <xf numFmtId="2" fontId="11" fillId="0" borderId="35" xfId="0" applyNumberFormat="1" applyFont="1" applyBorder="1" applyAlignment="1">
      <alignment horizontal="right"/>
    </xf>
    <xf numFmtId="2" fontId="11" fillId="0" borderId="5" xfId="0" applyNumberFormat="1" applyFont="1" applyBorder="1"/>
    <xf numFmtId="2" fontId="11" fillId="0" borderId="2" xfId="0" applyNumberFormat="1" applyFont="1" applyBorder="1"/>
    <xf numFmtId="49" fontId="11" fillId="0" borderId="4" xfId="0" applyNumberFormat="1" applyFont="1" applyBorder="1"/>
    <xf numFmtId="49" fontId="11" fillId="0" borderId="2" xfId="0" applyNumberFormat="1" applyFont="1" applyBorder="1"/>
    <xf numFmtId="49" fontId="6" fillId="0" borderId="4" xfId="0" applyNumberFormat="1" applyFont="1" applyBorder="1" applyAlignment="1">
      <alignment wrapText="1"/>
    </xf>
    <xf numFmtId="0" fontId="6" fillId="0" borderId="4" xfId="0" quotePrefix="1" applyFont="1" applyBorder="1" applyAlignment="1">
      <alignment wrapText="1"/>
    </xf>
    <xf numFmtId="0" fontId="6" fillId="0" borderId="32" xfId="0" applyFont="1" applyBorder="1" applyAlignment="1">
      <alignment horizontal="center"/>
    </xf>
    <xf numFmtId="0" fontId="11" fillId="0" borderId="4" xfId="0" applyFont="1" applyBorder="1" applyAlignment="1">
      <alignment wrapText="1"/>
    </xf>
    <xf numFmtId="0" fontId="6" fillId="0" borderId="12" xfId="0" applyFont="1" applyBorder="1" applyAlignment="1">
      <alignment horizontal="left"/>
    </xf>
    <xf numFmtId="0" fontId="11" fillId="0" borderId="4" xfId="0" applyFont="1" applyBorder="1" applyAlignment="1">
      <alignment horizontal="center"/>
    </xf>
    <xf numFmtId="0" fontId="12" fillId="0" borderId="1" xfId="0" applyFont="1" applyBorder="1"/>
    <xf numFmtId="0" fontId="13" fillId="0" borderId="4" xfId="0" applyFont="1" applyBorder="1"/>
    <xf numFmtId="0" fontId="13" fillId="0" borderId="5" xfId="0" applyFont="1" applyBorder="1"/>
    <xf numFmtId="0" fontId="13" fillId="0" borderId="2" xfId="0" applyFont="1" applyBorder="1"/>
    <xf numFmtId="0" fontId="1" fillId="0" borderId="0" xfId="0" applyFont="1"/>
    <xf numFmtId="2" fontId="12" fillId="0" borderId="4" xfId="0" applyNumberFormat="1" applyFont="1" applyBorder="1" applyAlignment="1">
      <alignment horizontal="right" vertical="center"/>
    </xf>
    <xf numFmtId="2" fontId="12" fillId="0" borderId="2" xfId="0" applyNumberFormat="1" applyFont="1" applyBorder="1" applyAlignment="1">
      <alignment horizontal="right" vertical="center"/>
    </xf>
    <xf numFmtId="0" fontId="12" fillId="0" borderId="4" xfId="0" applyFont="1" applyBorder="1" applyAlignment="1">
      <alignment horizontal="right"/>
    </xf>
    <xf numFmtId="2" fontId="12" fillId="0" borderId="4" xfId="0" applyNumberFormat="1" applyFont="1" applyBorder="1" applyAlignment="1">
      <alignment horizontal="right"/>
    </xf>
    <xf numFmtId="0" fontId="12" fillId="0" borderId="5" xfId="0" applyFont="1" applyBorder="1" applyAlignment="1">
      <alignment horizontal="right"/>
    </xf>
    <xf numFmtId="0" fontId="12" fillId="0" borderId="2" xfId="0" applyFont="1" applyBorder="1" applyAlignment="1">
      <alignment horizontal="right"/>
    </xf>
    <xf numFmtId="0" fontId="12" fillId="0" borderId="7" xfId="0" applyFont="1" applyBorder="1"/>
    <xf numFmtId="0" fontId="12" fillId="0" borderId="15" xfId="0" applyFont="1" applyBorder="1" applyAlignment="1">
      <alignment horizontal="right"/>
    </xf>
    <xf numFmtId="0" fontId="12" fillId="0" borderId="8" xfId="0" applyFont="1" applyBorder="1" applyAlignment="1">
      <alignment horizontal="right"/>
    </xf>
    <xf numFmtId="0" fontId="12" fillId="0" borderId="9" xfId="0" applyFont="1" applyBorder="1" applyAlignment="1">
      <alignment horizontal="right"/>
    </xf>
    <xf numFmtId="0" fontId="12" fillId="0" borderId="8" xfId="0" applyFont="1" applyBorder="1"/>
    <xf numFmtId="0" fontId="12" fillId="0" borderId="9" xfId="0" applyFont="1" applyBorder="1"/>
    <xf numFmtId="0" fontId="12" fillId="0" borderId="10" xfId="0" applyFont="1" applyBorder="1"/>
    <xf numFmtId="0" fontId="12" fillId="0" borderId="3" xfId="0" applyFont="1" applyBorder="1"/>
    <xf numFmtId="2" fontId="12" fillId="0" borderId="4" xfId="0" applyNumberFormat="1" applyFont="1" applyBorder="1" applyAlignment="1">
      <alignment vertical="center"/>
    </xf>
    <xf numFmtId="2" fontId="12" fillId="0" borderId="2" xfId="0" applyNumberFormat="1" applyFont="1" applyBorder="1" applyAlignment="1">
      <alignment vertical="center"/>
    </xf>
    <xf numFmtId="0" fontId="1" fillId="0" borderId="32" xfId="0" applyFont="1" applyBorder="1"/>
    <xf numFmtId="0" fontId="12" fillId="0" borderId="4" xfId="0" applyFont="1" applyBorder="1"/>
    <xf numFmtId="2" fontId="12" fillId="0" borderId="4" xfId="0" applyNumberFormat="1" applyFont="1" applyBorder="1"/>
    <xf numFmtId="2" fontId="12" fillId="0" borderId="32" xfId="0" applyNumberFormat="1" applyFont="1" applyBorder="1"/>
    <xf numFmtId="0" fontId="12" fillId="0" borderId="2" xfId="0" applyFont="1" applyBorder="1"/>
    <xf numFmtId="2" fontId="28" fillId="0" borderId="4" xfId="0" applyNumberFormat="1" applyFont="1" applyBorder="1" applyAlignment="1">
      <alignment horizontal="right"/>
    </xf>
    <xf numFmtId="0" fontId="12" fillId="0" borderId="15" xfId="0" applyFont="1" applyBorder="1"/>
    <xf numFmtId="0" fontId="12" fillId="0" borderId="38" xfId="0" applyFont="1" applyBorder="1"/>
    <xf numFmtId="0" fontId="12" fillId="0" borderId="39" xfId="0" applyFont="1" applyBorder="1"/>
    <xf numFmtId="0" fontId="1" fillId="0" borderId="33" xfId="0" applyFont="1" applyBorder="1"/>
    <xf numFmtId="20" fontId="12" fillId="0" borderId="34" xfId="0" applyNumberFormat="1" applyFont="1" applyBorder="1"/>
    <xf numFmtId="0" fontId="12" fillId="0" borderId="36" xfId="0" applyFont="1" applyBorder="1"/>
    <xf numFmtId="0" fontId="12" fillId="0" borderId="37" xfId="0" applyFont="1" applyBorder="1"/>
    <xf numFmtId="0" fontId="1" fillId="0" borderId="37" xfId="0" applyFont="1" applyBorder="1"/>
    <xf numFmtId="20" fontId="12" fillId="0" borderId="12" xfId="0" applyNumberFormat="1" applyFont="1" applyBorder="1"/>
    <xf numFmtId="0" fontId="1" fillId="0" borderId="10" xfId="0" applyFont="1" applyBorder="1"/>
    <xf numFmtId="20" fontId="28" fillId="0" borderId="11" xfId="0" applyNumberFormat="1" applyFont="1" applyBorder="1"/>
    <xf numFmtId="0" fontId="1" fillId="0" borderId="3" xfId="0" applyFont="1" applyBorder="1"/>
    <xf numFmtId="0" fontId="13" fillId="0" borderId="4" xfId="0" applyFont="1" applyBorder="1" applyAlignment="1">
      <alignment horizontal="right"/>
    </xf>
    <xf numFmtId="0" fontId="13" fillId="0" borderId="5" xfId="0" applyFont="1" applyBorder="1" applyAlignment="1">
      <alignment horizontal="right"/>
    </xf>
    <xf numFmtId="0" fontId="13" fillId="0" borderId="2" xfId="0" applyFont="1" applyBorder="1" applyAlignment="1">
      <alignment horizontal="right"/>
    </xf>
    <xf numFmtId="2" fontId="12" fillId="0" borderId="4" xfId="0" applyNumberFormat="1" applyFont="1" applyBorder="1" applyAlignment="1">
      <alignment horizontal="right" vertical="center" wrapText="1"/>
    </xf>
    <xf numFmtId="2" fontId="12" fillId="0" borderId="2" xfId="0" applyNumberFormat="1" applyFont="1" applyBorder="1" applyAlignment="1">
      <alignment horizontal="right" vertical="center" wrapText="1"/>
    </xf>
    <xf numFmtId="2" fontId="12" fillId="0" borderId="2" xfId="0" applyNumberFormat="1" applyFont="1" applyBorder="1" applyAlignment="1">
      <alignment horizontal="right"/>
    </xf>
    <xf numFmtId="0" fontId="12" fillId="0" borderId="34" xfId="0" applyFont="1" applyBorder="1"/>
    <xf numFmtId="0" fontId="11" fillId="0" borderId="10" xfId="0" applyFont="1" applyBorder="1" applyAlignment="1">
      <alignment horizontal="left" wrapText="1"/>
    </xf>
    <xf numFmtId="0" fontId="11" fillId="0" borderId="11" xfId="0" applyFont="1" applyBorder="1" applyAlignment="1">
      <alignment horizontal="left"/>
    </xf>
    <xf numFmtId="0" fontId="11" fillId="0" borderId="3" xfId="0" applyFont="1" applyBorder="1" applyAlignment="1">
      <alignment horizontal="left" wrapText="1"/>
    </xf>
    <xf numFmtId="0" fontId="11" fillId="0" borderId="16" xfId="1" applyFont="1" applyBorder="1"/>
    <xf numFmtId="0" fontId="11" fillId="0" borderId="4" xfId="1" applyFont="1" applyBorder="1" applyAlignment="1">
      <alignment horizontal="center"/>
    </xf>
    <xf numFmtId="0" fontId="11" fillId="0" borderId="32" xfId="0" applyFont="1" applyBorder="1" applyAlignment="1">
      <alignment horizontal="center" vertical="center"/>
    </xf>
    <xf numFmtId="164" fontId="11" fillId="0" borderId="4" xfId="1" applyNumberFormat="1" applyFont="1" applyBorder="1"/>
    <xf numFmtId="164" fontId="11" fillId="0" borderId="4" xfId="1" applyNumberFormat="1" applyFont="1" applyBorder="1" applyAlignment="1">
      <alignment horizontal="right"/>
    </xf>
    <xf numFmtId="0" fontId="11" fillId="0" borderId="4" xfId="1" applyFont="1" applyBorder="1" applyAlignment="1">
      <alignment horizontal="right" wrapText="1"/>
    </xf>
    <xf numFmtId="0" fontId="11" fillId="0" borderId="4" xfId="1" applyFont="1" applyBorder="1" applyAlignment="1">
      <alignment horizontal="right"/>
    </xf>
    <xf numFmtId="0" fontId="11" fillId="0" borderId="15" xfId="1" applyFont="1" applyBorder="1" applyAlignment="1">
      <alignment horizontal="center"/>
    </xf>
    <xf numFmtId="0" fontId="11" fillId="0" borderId="36" xfId="1" applyFont="1" applyBorder="1" applyAlignment="1">
      <alignment horizontal="center"/>
    </xf>
    <xf numFmtId="0" fontId="11" fillId="0" borderId="11" xfId="1" applyFont="1" applyBorder="1" applyAlignment="1">
      <alignment horizontal="left" vertical="center"/>
    </xf>
    <xf numFmtId="0" fontId="11" fillId="0" borderId="6" xfId="1" applyFont="1" applyBorder="1" applyAlignment="1">
      <alignment horizontal="left" vertical="center"/>
    </xf>
    <xf numFmtId="0" fontId="11" fillId="0" borderId="36" xfId="1" applyFont="1" applyBorder="1" applyAlignment="1">
      <alignment wrapText="1"/>
    </xf>
    <xf numFmtId="0" fontId="11" fillId="0" borderId="6" xfId="1" applyFont="1" applyBorder="1" applyAlignment="1">
      <alignment horizontal="left" wrapText="1"/>
    </xf>
    <xf numFmtId="0" fontId="5" fillId="0" borderId="12" xfId="1" applyFont="1" applyBorder="1"/>
    <xf numFmtId="0" fontId="5" fillId="0" borderId="10" xfId="1" applyFont="1" applyBorder="1"/>
    <xf numFmtId="0" fontId="5" fillId="0" borderId="9" xfId="1" applyFont="1" applyBorder="1"/>
    <xf numFmtId="0" fontId="5" fillId="0" borderId="4" xfId="1" applyFont="1" applyBorder="1" applyAlignment="1">
      <alignment horizontal="center"/>
    </xf>
    <xf numFmtId="2" fontId="11" fillId="0" borderId="4" xfId="1" applyNumberFormat="1" applyFont="1" applyBorder="1" applyAlignment="1">
      <alignment horizontal="right"/>
    </xf>
    <xf numFmtId="49" fontId="11" fillId="0" borderId="4" xfId="1" applyNumberFormat="1" applyFont="1" applyBorder="1" applyAlignment="1">
      <alignment horizontal="right"/>
    </xf>
    <xf numFmtId="2" fontId="6" fillId="0" borderId="4" xfId="1" applyNumberFormat="1" applyFont="1" applyBorder="1"/>
    <xf numFmtId="0" fontId="11" fillId="0" borderId="15" xfId="1" applyFont="1" applyBorder="1" applyAlignment="1">
      <alignment wrapText="1"/>
    </xf>
    <xf numFmtId="0" fontId="11" fillId="0" borderId="3" xfId="1" applyFont="1" applyBorder="1" applyAlignment="1">
      <alignment wrapText="1"/>
    </xf>
    <xf numFmtId="2" fontId="11" fillId="0" borderId="0" xfId="0" applyNumberFormat="1" applyFont="1"/>
    <xf numFmtId="0" fontId="5" fillId="0" borderId="16" xfId="1" applyFont="1" applyBorder="1" applyAlignment="1">
      <alignment horizontal="center"/>
    </xf>
    <xf numFmtId="0" fontId="5" fillId="0" borderId="32" xfId="1" applyFont="1" applyBorder="1" applyAlignment="1">
      <alignment horizontal="center"/>
    </xf>
    <xf numFmtId="0" fontId="11" fillId="0" borderId="35" xfId="1" applyFont="1" applyBorder="1"/>
    <xf numFmtId="0" fontId="5" fillId="0" borderId="3" xfId="0" applyFont="1" applyBorder="1" applyAlignment="1">
      <alignment horizontal="center"/>
    </xf>
    <xf numFmtId="0" fontId="5" fillId="0" borderId="16" xfId="0" applyFont="1" applyBorder="1" applyAlignment="1">
      <alignment horizontal="center"/>
    </xf>
    <xf numFmtId="2" fontId="11" fillId="0" borderId="4" xfId="1" applyNumberFormat="1" applyFont="1" applyBorder="1" applyProtection="1">
      <protection locked="0"/>
    </xf>
    <xf numFmtId="2" fontId="11" fillId="0" borderId="4" xfId="1" applyNumberFormat="1" applyFont="1" applyBorder="1" applyAlignment="1" applyProtection="1">
      <alignment horizontal="center" vertical="center" wrapText="1"/>
      <protection locked="0"/>
    </xf>
    <xf numFmtId="2" fontId="11" fillId="0" borderId="4" xfId="0" applyNumberFormat="1" applyFont="1" applyBorder="1" applyAlignment="1">
      <alignment horizontal="center" vertical="center" wrapText="1"/>
    </xf>
    <xf numFmtId="2" fontId="11" fillId="0" borderId="4" xfId="0" applyNumberFormat="1" applyFont="1" applyBorder="1" applyAlignment="1">
      <alignment horizontal="center" wrapText="1"/>
    </xf>
    <xf numFmtId="0" fontId="5" fillId="0" borderId="36" xfId="0" applyFont="1" applyBorder="1" applyAlignment="1">
      <alignment horizontal="center"/>
    </xf>
    <xf numFmtId="0" fontId="5" fillId="0" borderId="0" xfId="0" applyFont="1" applyAlignment="1">
      <alignment horizontal="center"/>
    </xf>
    <xf numFmtId="0" fontId="5" fillId="0" borderId="6" xfId="0" applyFont="1" applyBorder="1" applyAlignment="1">
      <alignment horizontal="center"/>
    </xf>
    <xf numFmtId="49" fontId="11" fillId="0" borderId="4" xfId="0" applyNumberFormat="1" applyFont="1" applyBorder="1" applyAlignment="1">
      <alignment horizontal="center" wrapText="1"/>
    </xf>
    <xf numFmtId="0" fontId="5" fillId="0" borderId="32" xfId="0" applyFont="1" applyBorder="1" applyAlignment="1">
      <alignment horizontal="center" vertical="center"/>
    </xf>
    <xf numFmtId="2" fontId="11" fillId="0" borderId="4" xfId="0" applyNumberFormat="1" applyFont="1" applyBorder="1" applyAlignment="1">
      <alignment wrapText="1"/>
    </xf>
    <xf numFmtId="0" fontId="11" fillId="0" borderId="32" xfId="0" applyFont="1" applyBorder="1" applyAlignment="1">
      <alignment horizontal="left" wrapText="1"/>
    </xf>
    <xf numFmtId="2" fontId="11" fillId="0" borderId="1" xfId="0" applyNumberFormat="1" applyFont="1" applyBorder="1"/>
    <xf numFmtId="0" fontId="5" fillId="0" borderId="36" xfId="0" applyFont="1" applyBorder="1"/>
    <xf numFmtId="0" fontId="11" fillId="0" borderId="11" xfId="0" applyFont="1" applyBorder="1" applyProtection="1">
      <protection locked="0"/>
    </xf>
    <xf numFmtId="0" fontId="11" fillId="0" borderId="6" xfId="0" applyFont="1" applyBorder="1" applyAlignment="1" applyProtection="1">
      <alignment wrapText="1"/>
      <protection locked="0"/>
    </xf>
    <xf numFmtId="2" fontId="26" fillId="0" borderId="40" xfId="1" applyNumberFormat="1" applyFont="1" applyBorder="1" applyProtection="1">
      <protection locked="0"/>
    </xf>
    <xf numFmtId="0" fontId="11" fillId="0" borderId="4" xfId="0" applyFont="1" applyBorder="1" applyAlignment="1">
      <alignment horizontal="center" vertical="center" wrapText="1"/>
    </xf>
    <xf numFmtId="0" fontId="26" fillId="0" borderId="40" xfId="0" applyFont="1" applyBorder="1" applyAlignment="1">
      <alignment wrapText="1"/>
    </xf>
    <xf numFmtId="2" fontId="26" fillId="0" borderId="40" xfId="0" applyNumberFormat="1" applyFont="1" applyBorder="1"/>
    <xf numFmtId="0" fontId="26" fillId="0" borderId="40" xfId="0" applyFont="1" applyBorder="1"/>
    <xf numFmtId="0" fontId="26" fillId="0" borderId="41" xfId="0" applyFont="1" applyBorder="1" applyAlignment="1">
      <alignment horizontal="center"/>
    </xf>
    <xf numFmtId="0" fontId="11" fillId="0" borderId="11" xfId="1" applyFont="1" applyBorder="1" applyAlignment="1">
      <alignment horizontal="left" vertical="top"/>
    </xf>
    <xf numFmtId="0" fontId="11" fillId="0" borderId="6" xfId="1" applyFont="1" applyBorder="1" applyAlignment="1">
      <alignment horizontal="left" vertical="top" wrapText="1"/>
    </xf>
    <xf numFmtId="2" fontId="11" fillId="0" borderId="4" xfId="1" applyNumberFormat="1" applyFont="1" applyBorder="1" applyAlignment="1" applyProtection="1">
      <alignment horizontal="right"/>
      <protection locked="0"/>
    </xf>
    <xf numFmtId="0" fontId="11" fillId="0" borderId="4" xfId="0" applyFont="1" applyBorder="1" applyAlignment="1">
      <alignment horizontal="center" wrapText="1"/>
    </xf>
    <xf numFmtId="0" fontId="5" fillId="0" borderId="15" xfId="0" applyFont="1" applyBorder="1" applyAlignment="1">
      <alignment horizontal="center"/>
    </xf>
    <xf numFmtId="0" fontId="5" fillId="0" borderId="37" xfId="0" applyFont="1" applyBorder="1" applyAlignment="1">
      <alignment horizontal="center"/>
    </xf>
    <xf numFmtId="0" fontId="5" fillId="0" borderId="10" xfId="0" applyFont="1" applyBorder="1" applyAlignment="1">
      <alignment horizontal="center"/>
    </xf>
    <xf numFmtId="0" fontId="11" fillId="0" borderId="12" xfId="0" applyFont="1" applyBorder="1" applyAlignment="1">
      <alignment vertical="top"/>
    </xf>
    <xf numFmtId="0" fontId="11" fillId="0" borderId="0" xfId="0" applyFont="1" applyAlignment="1">
      <alignment vertical="top" wrapText="1"/>
    </xf>
    <xf numFmtId="0" fontId="11" fillId="0" borderId="10" xfId="0" applyFont="1" applyBorder="1" applyAlignment="1">
      <alignment vertical="top" wrapText="1"/>
    </xf>
    <xf numFmtId="0" fontId="6" fillId="0" borderId="11" xfId="0" applyFont="1" applyBorder="1" applyAlignment="1">
      <alignment vertical="top"/>
    </xf>
    <xf numFmtId="0" fontId="11" fillId="0" borderId="6" xfId="0" applyFont="1" applyBorder="1" applyAlignment="1">
      <alignment vertical="top" wrapText="1"/>
    </xf>
    <xf numFmtId="0" fontId="11" fillId="0" borderId="3" xfId="0" applyFont="1" applyBorder="1" applyAlignment="1">
      <alignment vertical="top" wrapText="1"/>
    </xf>
    <xf numFmtId="0" fontId="11" fillId="0" borderId="4" xfId="1" applyFont="1" applyBorder="1" applyAlignment="1" applyProtection="1">
      <alignment horizontal="right"/>
      <protection locked="0"/>
    </xf>
    <xf numFmtId="2" fontId="11" fillId="0" borderId="7" xfId="0" applyNumberFormat="1" applyFont="1" applyBorder="1"/>
    <xf numFmtId="2" fontId="11" fillId="0" borderId="15" xfId="0" applyNumberFormat="1" applyFont="1" applyBorder="1"/>
    <xf numFmtId="0" fontId="11" fillId="0" borderId="11" xfId="0" applyFont="1" applyBorder="1" applyAlignment="1">
      <alignment vertical="center"/>
    </xf>
    <xf numFmtId="0" fontId="11" fillId="0" borderId="6" xfId="0" applyFont="1" applyBorder="1" applyAlignment="1">
      <alignment vertical="center" wrapText="1"/>
    </xf>
    <xf numFmtId="2" fontId="11" fillId="0" borderId="4" xfId="1" applyNumberFormat="1" applyFont="1" applyBorder="1" applyAlignment="1" applyProtection="1">
      <alignment horizontal="right" vertical="center" wrapText="1"/>
      <protection locked="0"/>
    </xf>
    <xf numFmtId="0" fontId="11" fillId="0" borderId="0" xfId="0" applyFont="1" applyAlignment="1">
      <alignment horizontal="left" vertical="center" wrapText="1"/>
    </xf>
    <xf numFmtId="1" fontId="11" fillId="0" borderId="5" xfId="0" applyNumberFormat="1" applyFont="1" applyBorder="1"/>
    <xf numFmtId="1" fontId="11" fillId="0" borderId="2" xfId="0" applyNumberFormat="1" applyFont="1" applyBorder="1"/>
    <xf numFmtId="1" fontId="11" fillId="0" borderId="15" xfId="0" applyNumberFormat="1" applyFont="1" applyBorder="1" applyAlignment="1">
      <alignment horizontal="right"/>
    </xf>
    <xf numFmtId="1" fontId="11" fillId="0" borderId="32" xfId="0" applyNumberFormat="1" applyFont="1" applyBorder="1" applyAlignment="1">
      <alignment horizontal="right"/>
    </xf>
    <xf numFmtId="0" fontId="5" fillId="0" borderId="1" xfId="0" applyFont="1" applyBorder="1" applyAlignment="1">
      <alignment wrapText="1"/>
    </xf>
    <xf numFmtId="0" fontId="5" fillId="0" borderId="2" xfId="0" applyFont="1" applyBorder="1" applyAlignment="1">
      <alignment wrapText="1"/>
    </xf>
    <xf numFmtId="0" fontId="5" fillId="0" borderId="4" xfId="0" applyFont="1" applyBorder="1" applyAlignment="1">
      <alignment wrapText="1"/>
    </xf>
    <xf numFmtId="0" fontId="11" fillId="0" borderId="1" xfId="0" applyFont="1" applyBorder="1" applyAlignment="1">
      <alignment wrapText="1"/>
    </xf>
    <xf numFmtId="0" fontId="5" fillId="0" borderId="4" xfId="0" applyFont="1" applyBorder="1" applyAlignment="1">
      <alignment horizontal="center" wrapText="1"/>
    </xf>
    <xf numFmtId="0" fontId="5" fillId="0" borderId="5" xfId="0" applyFont="1" applyBorder="1" applyAlignment="1">
      <alignment horizontal="center" wrapText="1"/>
    </xf>
    <xf numFmtId="2" fontId="11" fillId="0" borderId="5" xfId="0" applyNumberFormat="1" applyFont="1" applyBorder="1" applyAlignment="1">
      <alignment wrapText="1"/>
    </xf>
    <xf numFmtId="2" fontId="11" fillId="0" borderId="2" xfId="0" applyNumberFormat="1" applyFont="1" applyBorder="1" applyAlignment="1">
      <alignment wrapText="1"/>
    </xf>
    <xf numFmtId="2" fontId="6" fillId="0" borderId="4" xfId="0" applyNumberFormat="1" applyFont="1" applyBorder="1" applyAlignment="1">
      <alignment wrapText="1"/>
    </xf>
    <xf numFmtId="0" fontId="11" fillId="0" borderId="5" xfId="0" applyFont="1" applyBorder="1" applyAlignment="1">
      <alignment wrapText="1"/>
    </xf>
    <xf numFmtId="0" fontId="11" fillId="0" borderId="2" xfId="0" applyFont="1" applyBorder="1" applyAlignment="1">
      <alignment wrapText="1"/>
    </xf>
    <xf numFmtId="0" fontId="11" fillId="0" borderId="7" xfId="0" applyFont="1" applyBorder="1" applyAlignment="1">
      <alignment wrapText="1"/>
    </xf>
    <xf numFmtId="0" fontId="11" fillId="0" borderId="15" xfId="0" applyFont="1" applyBorder="1" applyAlignment="1">
      <alignment wrapText="1"/>
    </xf>
    <xf numFmtId="0" fontId="11" fillId="0" borderId="10" xfId="0" applyFont="1" applyBorder="1" applyAlignment="1">
      <alignment wrapText="1"/>
    </xf>
    <xf numFmtId="0" fontId="7" fillId="0" borderId="12" xfId="0" applyFont="1" applyBorder="1" applyAlignment="1">
      <alignment horizontal="left"/>
    </xf>
    <xf numFmtId="0" fontId="7" fillId="0" borderId="0" xfId="0" applyFont="1" applyAlignment="1">
      <alignment wrapText="1"/>
    </xf>
    <xf numFmtId="0" fontId="7" fillId="0" borderId="10" xfId="0" applyFont="1" applyBorder="1" applyAlignment="1">
      <alignment wrapText="1"/>
    </xf>
    <xf numFmtId="0" fontId="11" fillId="0" borderId="6" xfId="0" applyFont="1" applyBorder="1" applyAlignment="1">
      <alignment wrapText="1"/>
    </xf>
    <xf numFmtId="0" fontId="11" fillId="0" borderId="3" xfId="0" applyFont="1" applyBorder="1" applyAlignment="1">
      <alignment wrapText="1"/>
    </xf>
    <xf numFmtId="0" fontId="11" fillId="0" borderId="0" xfId="2" applyFont="1"/>
    <xf numFmtId="0" fontId="5" fillId="0" borderId="5" xfId="1" applyFont="1" applyBorder="1" applyAlignment="1">
      <alignment horizontal="center"/>
    </xf>
    <xf numFmtId="0" fontId="5" fillId="0" borderId="2" xfId="1" applyFont="1" applyBorder="1" applyAlignment="1">
      <alignment horizontal="center"/>
    </xf>
    <xf numFmtId="0" fontId="5" fillId="0" borderId="33" xfId="1" applyFont="1" applyBorder="1" applyAlignment="1">
      <alignment horizontal="center"/>
    </xf>
    <xf numFmtId="1" fontId="11" fillId="0" borderId="32" xfId="0" applyNumberFormat="1" applyFont="1" applyBorder="1"/>
    <xf numFmtId="1" fontId="11" fillId="0" borderId="15" xfId="1" applyNumberFormat="1" applyFont="1" applyBorder="1" applyAlignment="1">
      <alignment horizontal="center"/>
    </xf>
    <xf numFmtId="1" fontId="11" fillId="0" borderId="35" xfId="1" applyNumberFormat="1" applyFont="1" applyBorder="1" applyAlignment="1">
      <alignment horizontal="center"/>
    </xf>
    <xf numFmtId="0" fontId="11" fillId="0" borderId="34" xfId="0" applyFont="1" applyBorder="1" applyAlignment="1">
      <alignment horizontal="left" vertical="center" wrapText="1"/>
    </xf>
    <xf numFmtId="0" fontId="11" fillId="0" borderId="36" xfId="0" applyFont="1" applyBorder="1" applyAlignment="1">
      <alignment vertical="center" wrapText="1"/>
    </xf>
    <xf numFmtId="0" fontId="11" fillId="0" borderId="0" xfId="0" applyFont="1" applyAlignment="1">
      <alignment vertical="center" wrapText="1"/>
    </xf>
    <xf numFmtId="0" fontId="12" fillId="0" borderId="0" xfId="0" applyFont="1" applyAlignment="1">
      <alignment vertical="center"/>
    </xf>
    <xf numFmtId="2" fontId="22" fillId="0" borderId="4" xfId="0" applyNumberFormat="1" applyFont="1" applyBorder="1" applyAlignment="1">
      <alignment horizontal="right" vertical="center"/>
    </xf>
    <xf numFmtId="2" fontId="22" fillId="0" borderId="4" xfId="0" applyNumberFormat="1" applyFont="1" applyBorder="1" applyAlignment="1">
      <alignment vertical="center"/>
    </xf>
    <xf numFmtId="0" fontId="5" fillId="0" borderId="1" xfId="2" applyFont="1" applyBorder="1"/>
    <xf numFmtId="0" fontId="5" fillId="0" borderId="2" xfId="2" applyFont="1" applyBorder="1"/>
    <xf numFmtId="0" fontId="21" fillId="0" borderId="0" xfId="2" applyFont="1"/>
    <xf numFmtId="0" fontId="5" fillId="0" borderId="11" xfId="2" applyFont="1" applyBorder="1"/>
    <xf numFmtId="0" fontId="5" fillId="0" borderId="3" xfId="2" applyFont="1" applyBorder="1"/>
    <xf numFmtId="0" fontId="11" fillId="0" borderId="11" xfId="2" applyFont="1" applyBorder="1"/>
    <xf numFmtId="1" fontId="5" fillId="0" borderId="16" xfId="2" applyNumberFormat="1" applyFont="1" applyBorder="1" applyAlignment="1">
      <alignment horizontal="center" vertical="top"/>
    </xf>
    <xf numFmtId="1" fontId="5" fillId="0" borderId="4" xfId="2" applyNumberFormat="1" applyFont="1" applyBorder="1" applyAlignment="1">
      <alignment horizontal="center" vertical="top"/>
    </xf>
    <xf numFmtId="0" fontId="11" fillId="0" borderId="1" xfId="2" applyFont="1" applyBorder="1"/>
    <xf numFmtId="40" fontId="11" fillId="0" borderId="4" xfId="2" applyNumberFormat="1" applyFont="1" applyBorder="1"/>
    <xf numFmtId="0" fontId="16" fillId="0" borderId="32" xfId="0" applyFont="1" applyBorder="1"/>
    <xf numFmtId="0" fontId="18" fillId="0" borderId="32" xfId="0" applyFont="1" applyBorder="1"/>
    <xf numFmtId="0" fontId="11" fillId="0" borderId="7" xfId="2" applyFont="1" applyBorder="1"/>
    <xf numFmtId="40" fontId="11" fillId="0" borderId="15" xfId="2" applyNumberFormat="1" applyFont="1" applyBorder="1"/>
    <xf numFmtId="0" fontId="11" fillId="0" borderId="34" xfId="2" applyFont="1" applyBorder="1"/>
    <xf numFmtId="40" fontId="11" fillId="0" borderId="36" xfId="2" applyNumberFormat="1" applyFont="1" applyBorder="1"/>
    <xf numFmtId="0" fontId="11" fillId="0" borderId="36" xfId="2" applyFont="1" applyBorder="1"/>
    <xf numFmtId="0" fontId="11" fillId="0" borderId="12" xfId="2" applyFont="1" applyBorder="1"/>
    <xf numFmtId="0" fontId="11" fillId="0" borderId="0" xfId="2" applyFont="1" applyAlignment="1">
      <alignment horizontal="left"/>
    </xf>
    <xf numFmtId="166" fontId="11" fillId="0" borderId="0" xfId="2" applyNumberFormat="1" applyFont="1"/>
    <xf numFmtId="0" fontId="11" fillId="0" borderId="0" xfId="2" applyFont="1" applyAlignment="1">
      <alignment horizontal="center"/>
    </xf>
    <xf numFmtId="0" fontId="11" fillId="0" borderId="6" xfId="2" applyFont="1" applyBorder="1"/>
    <xf numFmtId="0" fontId="12" fillId="0" borderId="6" xfId="2" applyFont="1" applyBorder="1"/>
    <xf numFmtId="0" fontId="18" fillId="0" borderId="0" xfId="0" applyFont="1"/>
    <xf numFmtId="2" fontId="11" fillId="0" borderId="4" xfId="2" applyNumberFormat="1" applyFont="1" applyBorder="1"/>
    <xf numFmtId="0" fontId="11" fillId="0" borderId="15" xfId="2" applyFont="1" applyBorder="1"/>
    <xf numFmtId="0" fontId="11" fillId="0" borderId="15" xfId="2" applyFont="1" applyBorder="1" applyAlignment="1">
      <alignment horizontal="center"/>
    </xf>
    <xf numFmtId="0" fontId="11" fillId="0" borderId="38" xfId="2" applyFont="1" applyBorder="1"/>
    <xf numFmtId="0" fontId="11" fillId="0" borderId="39" xfId="2" applyFont="1" applyBorder="1"/>
    <xf numFmtId="0" fontId="18" fillId="0" borderId="33" xfId="0" applyFont="1" applyBorder="1"/>
    <xf numFmtId="0" fontId="18" fillId="0" borderId="37" xfId="0" applyFont="1" applyBorder="1"/>
    <xf numFmtId="0" fontId="18" fillId="0" borderId="10" xfId="0" applyFont="1" applyBorder="1"/>
    <xf numFmtId="0" fontId="11" fillId="0" borderId="12" xfId="3" applyFont="1" applyBorder="1" applyAlignment="1">
      <alignment horizontal="left"/>
    </xf>
    <xf numFmtId="0" fontId="21" fillId="0" borderId="0" xfId="2" applyFont="1" applyAlignment="1">
      <alignment horizontal="center"/>
    </xf>
    <xf numFmtId="0" fontId="21" fillId="0" borderId="10" xfId="0" applyFont="1" applyBorder="1"/>
    <xf numFmtId="0" fontId="21" fillId="0" borderId="0" xfId="0" applyFont="1"/>
    <xf numFmtId="164" fontId="21" fillId="0" borderId="0" xfId="2" applyNumberFormat="1" applyFont="1" applyAlignment="1">
      <alignment horizontal="center"/>
    </xf>
    <xf numFmtId="0" fontId="11" fillId="0" borderId="12" xfId="3" applyFont="1" applyBorder="1"/>
    <xf numFmtId="0" fontId="11" fillId="0" borderId="0" xfId="3" applyFont="1"/>
    <xf numFmtId="0" fontId="6" fillId="0" borderId="12" xfId="3" applyFont="1" applyBorder="1"/>
    <xf numFmtId="0" fontId="5" fillId="0" borderId="16" xfId="2" applyFont="1" applyBorder="1" applyAlignment="1">
      <alignment horizontal="center" vertical="top"/>
    </xf>
    <xf numFmtId="0" fontId="5" fillId="0" borderId="4" xfId="2" applyFont="1" applyBorder="1" applyAlignment="1">
      <alignment horizontal="center" vertical="top"/>
    </xf>
    <xf numFmtId="40" fontId="11" fillId="0" borderId="32" xfId="8" applyNumberFormat="1" applyFont="1" applyFill="1" applyBorder="1" applyAlignment="1"/>
    <xf numFmtId="1" fontId="11" fillId="0" borderId="4" xfId="2" applyNumberFormat="1" applyFont="1" applyBorder="1"/>
    <xf numFmtId="4" fontId="11" fillId="0" borderId="32" xfId="8" applyNumberFormat="1" applyFont="1" applyFill="1" applyBorder="1" applyAlignment="1">
      <alignment horizontal="center"/>
    </xf>
    <xf numFmtId="0" fontId="11" fillId="0" borderId="37" xfId="2" applyFont="1" applyBorder="1"/>
    <xf numFmtId="0" fontId="11" fillId="0" borderId="10" xfId="2" applyFont="1" applyBorder="1"/>
    <xf numFmtId="0" fontId="11" fillId="0" borderId="12" xfId="2" applyFont="1" applyBorder="1" applyAlignment="1">
      <alignment horizontal="left"/>
    </xf>
    <xf numFmtId="164" fontId="11" fillId="0" borderId="0" xfId="2" applyNumberFormat="1" applyFont="1" applyAlignment="1">
      <alignment horizontal="center"/>
    </xf>
    <xf numFmtId="0" fontId="6" fillId="0" borderId="11" xfId="3" applyFont="1" applyBorder="1"/>
    <xf numFmtId="0" fontId="11" fillId="0" borderId="8" xfId="2" applyFont="1" applyBorder="1"/>
    <xf numFmtId="0" fontId="11" fillId="0" borderId="9" xfId="2" applyFont="1" applyBorder="1"/>
    <xf numFmtId="0" fontId="11" fillId="0" borderId="11" xfId="3" applyFont="1" applyBorder="1" applyAlignment="1">
      <alignment horizontal="left"/>
    </xf>
    <xf numFmtId="0" fontId="5" fillId="0" borderId="4" xfId="2" applyFont="1" applyBorder="1"/>
    <xf numFmtId="2" fontId="11" fillId="0" borderId="4" xfId="2" applyNumberFormat="1" applyFont="1" applyBorder="1" applyAlignment="1">
      <alignment horizontal="right"/>
    </xf>
    <xf numFmtId="0" fontId="16" fillId="0" borderId="33" xfId="0" applyFont="1" applyBorder="1"/>
    <xf numFmtId="0" fontId="11" fillId="0" borderId="6" xfId="2" applyFont="1" applyBorder="1" applyAlignment="1">
      <alignment horizontal="center"/>
    </xf>
    <xf numFmtId="0" fontId="20" fillId="0" borderId="6" xfId="0" applyFont="1" applyBorder="1"/>
    <xf numFmtId="0" fontId="20" fillId="0" borderId="3" xfId="0" applyFont="1" applyBorder="1"/>
    <xf numFmtId="0" fontId="20" fillId="0" borderId="0" xfId="0" applyFont="1"/>
    <xf numFmtId="0" fontId="5" fillId="0" borderId="7" xfId="2" applyFont="1" applyBorder="1"/>
    <xf numFmtId="0" fontId="11" fillId="0" borderId="4" xfId="2" applyFont="1" applyBorder="1"/>
    <xf numFmtId="1" fontId="5" fillId="0" borderId="2" xfId="2" applyNumberFormat="1" applyFont="1" applyBorder="1" applyAlignment="1">
      <alignment horizontal="center" vertical="top"/>
    </xf>
    <xf numFmtId="1" fontId="5" fillId="0" borderId="13" xfId="2" applyNumberFormat="1" applyFont="1" applyBorder="1" applyAlignment="1">
      <alignment horizontal="center" vertical="top"/>
    </xf>
    <xf numFmtId="2" fontId="11" fillId="0" borderId="2" xfId="2" applyNumberFormat="1" applyFont="1" applyBorder="1" applyAlignment="1">
      <alignment horizontal="right"/>
    </xf>
    <xf numFmtId="2" fontId="11" fillId="0" borderId="2" xfId="2" applyNumberFormat="1" applyFont="1" applyBorder="1"/>
    <xf numFmtId="0" fontId="6" fillId="0" borderId="11" xfId="2" applyFont="1" applyBorder="1" applyAlignment="1">
      <alignment horizontal="left"/>
    </xf>
    <xf numFmtId="0" fontId="11" fillId="0" borderId="6" xfId="2" applyFont="1" applyBorder="1" applyAlignment="1">
      <alignment horizontal="left"/>
    </xf>
    <xf numFmtId="2" fontId="11" fillId="0" borderId="5" xfId="2" applyNumberFormat="1" applyFont="1" applyBorder="1"/>
    <xf numFmtId="40" fontId="11" fillId="0" borderId="9" xfId="2" applyNumberFormat="1" applyFont="1" applyBorder="1"/>
    <xf numFmtId="0" fontId="11" fillId="0" borderId="5" xfId="2" applyFont="1" applyBorder="1"/>
    <xf numFmtId="0" fontId="6" fillId="0" borderId="11" xfId="2" applyFont="1" applyBorder="1"/>
    <xf numFmtId="164" fontId="11" fillId="0" borderId="6" xfId="2" applyNumberFormat="1" applyFont="1" applyBorder="1" applyAlignment="1">
      <alignment horizontal="center"/>
    </xf>
    <xf numFmtId="40" fontId="11" fillId="0" borderId="8" xfId="2" applyNumberFormat="1" applyFont="1" applyBorder="1"/>
    <xf numFmtId="0" fontId="6" fillId="0" borderId="12" xfId="2" applyFont="1" applyBorder="1"/>
    <xf numFmtId="0" fontId="6" fillId="0" borderId="12" xfId="0" applyFont="1" applyBorder="1" applyAlignment="1">
      <alignment horizontal="left" vertical="center"/>
    </xf>
    <xf numFmtId="0" fontId="6" fillId="0" borderId="11" xfId="0" applyFont="1" applyBorder="1" applyAlignment="1">
      <alignment horizontal="left" vertical="center"/>
    </xf>
    <xf numFmtId="0" fontId="11" fillId="0" borderId="0" xfId="0" applyFont="1" applyAlignment="1">
      <alignment horizontal="left" vertical="center"/>
    </xf>
    <xf numFmtId="1" fontId="11" fillId="0" borderId="4" xfId="2" applyNumberFormat="1" applyFont="1" applyBorder="1" applyAlignment="1">
      <alignment horizontal="center" vertical="top"/>
    </xf>
    <xf numFmtId="1" fontId="11" fillId="0" borderId="1" xfId="2" applyNumberFormat="1" applyFont="1" applyBorder="1" applyAlignment="1">
      <alignment horizontal="center" vertical="top"/>
    </xf>
    <xf numFmtId="40" fontId="11" fillId="0" borderId="1" xfId="2" applyNumberFormat="1" applyFont="1" applyBorder="1"/>
    <xf numFmtId="40" fontId="11" fillId="0" borderId="7" xfId="2" applyNumberFormat="1" applyFont="1" applyBorder="1"/>
    <xf numFmtId="164" fontId="11" fillId="0" borderId="4" xfId="1" applyNumberFormat="1" applyFont="1" applyBorder="1" applyAlignment="1">
      <alignment horizontal="right" vertical="center"/>
    </xf>
    <xf numFmtId="0" fontId="11" fillId="0" borderId="9" xfId="1" applyFont="1" applyBorder="1" applyAlignment="1">
      <alignment horizontal="center"/>
    </xf>
    <xf numFmtId="0" fontId="11" fillId="0" borderId="38" xfId="1" applyFont="1" applyBorder="1" applyAlignment="1">
      <alignment horizontal="left"/>
    </xf>
    <xf numFmtId="0" fontId="11" fillId="0" borderId="39" xfId="1" applyFont="1" applyBorder="1" applyAlignment="1">
      <alignment horizontal="left"/>
    </xf>
    <xf numFmtId="2" fontId="11" fillId="0" borderId="4" xfId="1" applyNumberFormat="1" applyFont="1" applyBorder="1" applyAlignment="1">
      <alignment vertical="center" wrapText="1"/>
    </xf>
    <xf numFmtId="0" fontId="11" fillId="0" borderId="36" xfId="0" applyFont="1" applyBorder="1" applyAlignment="1">
      <alignment horizontal="center"/>
    </xf>
    <xf numFmtId="0" fontId="6" fillId="0" borderId="11" xfId="1" applyFont="1" applyBorder="1" applyAlignment="1">
      <alignment horizontal="left"/>
    </xf>
    <xf numFmtId="0" fontId="24" fillId="0" borderId="32" xfId="1" applyFont="1" applyBorder="1" applyAlignment="1">
      <alignment horizontal="center"/>
    </xf>
    <xf numFmtId="2" fontId="7" fillId="0" borderId="32" xfId="0" applyNumberFormat="1" applyFont="1" applyBorder="1"/>
    <xf numFmtId="0" fontId="7" fillId="0" borderId="32" xfId="0" applyFont="1" applyBorder="1" applyAlignment="1">
      <alignment horizontal="right"/>
    </xf>
    <xf numFmtId="0" fontId="7" fillId="0" borderId="32" xfId="0" applyFont="1" applyBorder="1" applyAlignment="1">
      <alignment horizontal="center"/>
    </xf>
    <xf numFmtId="0" fontId="11" fillId="0" borderId="0" xfId="1" applyFont="1" applyAlignment="1">
      <alignment horizontal="center"/>
    </xf>
    <xf numFmtId="0" fontId="11" fillId="0" borderId="0" xfId="0" applyFont="1" applyAlignment="1">
      <alignment horizontal="center"/>
    </xf>
    <xf numFmtId="0" fontId="24" fillId="0" borderId="32" xfId="0" applyFont="1" applyBorder="1" applyAlignment="1">
      <alignment horizontal="center"/>
    </xf>
    <xf numFmtId="0" fontId="7" fillId="0" borderId="32" xfId="1" applyFont="1" applyBorder="1" applyAlignment="1">
      <alignment horizontal="right"/>
    </xf>
    <xf numFmtId="0" fontId="7" fillId="0" borderId="35" xfId="0" applyFont="1" applyBorder="1" applyAlignment="1">
      <alignment horizontal="center"/>
    </xf>
    <xf numFmtId="0" fontId="7" fillId="0" borderId="32" xfId="0" applyFont="1" applyBorder="1" applyAlignment="1">
      <alignment wrapText="1"/>
    </xf>
    <xf numFmtId="2" fontId="11" fillId="0" borderId="4" xfId="1" applyNumberFormat="1" applyFont="1" applyBorder="1" applyAlignment="1">
      <alignment horizontal="right" wrapText="1"/>
    </xf>
    <xf numFmtId="2" fontId="7" fillId="0" borderId="32" xfId="1" applyNumberFormat="1" applyFont="1" applyBorder="1"/>
    <xf numFmtId="2" fontId="7" fillId="0" borderId="32" xfId="1" applyNumberFormat="1" applyFont="1" applyBorder="1" applyAlignment="1">
      <alignment horizontal="right"/>
    </xf>
    <xf numFmtId="2" fontId="11" fillId="0" borderId="4" xfId="0" applyNumberFormat="1" applyFont="1" applyBorder="1" applyAlignment="1">
      <alignment horizontal="center" vertical="center"/>
    </xf>
    <xf numFmtId="2" fontId="11" fillId="0" borderId="2" xfId="0" applyNumberFormat="1" applyFont="1" applyBorder="1" applyAlignment="1">
      <alignment horizontal="center" vertical="center"/>
    </xf>
    <xf numFmtId="1" fontId="11" fillId="0" borderId="15" xfId="0" applyNumberFormat="1" applyFont="1" applyBorder="1" applyAlignment="1">
      <alignment horizontal="center"/>
    </xf>
    <xf numFmtId="0" fontId="25" fillId="0" borderId="40" xfId="0" applyFont="1" applyBorder="1" applyAlignment="1">
      <alignment horizontal="center"/>
    </xf>
    <xf numFmtId="2" fontId="26" fillId="0" borderId="42" xfId="0" applyNumberFormat="1" applyFont="1" applyBorder="1" applyAlignment="1">
      <alignment horizontal="right"/>
    </xf>
    <xf numFmtId="0" fontId="26" fillId="0" borderId="43" xfId="0" applyFont="1" applyBorder="1" applyAlignment="1">
      <alignment horizontal="center"/>
    </xf>
    <xf numFmtId="0" fontId="1" fillId="0" borderId="39" xfId="0" applyFont="1" applyBorder="1"/>
    <xf numFmtId="0" fontId="1" fillId="0" borderId="36" xfId="0" applyFont="1" applyBorder="1"/>
    <xf numFmtId="0" fontId="11" fillId="0" borderId="12" xfId="0" applyFont="1" applyBorder="1" applyAlignment="1">
      <alignment horizontal="left" vertical="center"/>
    </xf>
    <xf numFmtId="0" fontId="11" fillId="0" borderId="6" xfId="0" applyFont="1" applyBorder="1" applyAlignment="1">
      <alignment horizontal="left" vertical="center" wrapText="1"/>
    </xf>
    <xf numFmtId="2" fontId="11" fillId="0" borderId="42" xfId="0" applyNumberFormat="1" applyFont="1" applyBorder="1" applyAlignment="1">
      <alignment horizontal="right"/>
    </xf>
    <xf numFmtId="0" fontId="25" fillId="0" borderId="30" xfId="0" applyFont="1" applyBorder="1" applyAlignment="1">
      <alignment horizontal="center"/>
    </xf>
    <xf numFmtId="2" fontId="11" fillId="0" borderId="4" xfId="0" applyNumberFormat="1" applyFont="1" applyBorder="1" applyAlignment="1">
      <alignment horizontal="center"/>
    </xf>
    <xf numFmtId="2" fontId="11" fillId="0" borderId="31" xfId="0" applyNumberFormat="1" applyFont="1" applyBorder="1"/>
    <xf numFmtId="1" fontId="11" fillId="0" borderId="31" xfId="0" applyNumberFormat="1" applyFont="1" applyBorder="1"/>
    <xf numFmtId="0" fontId="5" fillId="0" borderId="16" xfId="0" applyFont="1" applyBorder="1"/>
    <xf numFmtId="2" fontId="26" fillId="0" borderId="42" xfId="0" applyNumberFormat="1" applyFont="1" applyBorder="1"/>
    <xf numFmtId="0" fontId="26" fillId="0" borderId="43" xfId="0" applyFont="1" applyBorder="1"/>
    <xf numFmtId="0" fontId="11" fillId="0" borderId="34" xfId="0" applyFont="1" applyBorder="1" applyAlignment="1">
      <alignment vertical="center"/>
    </xf>
    <xf numFmtId="0" fontId="5" fillId="0" borderId="2" xfId="0" applyFont="1" applyBorder="1" applyAlignment="1">
      <alignment horizontal="left"/>
    </xf>
    <xf numFmtId="0" fontId="5" fillId="0" borderId="1" xfId="0" applyFont="1" applyBorder="1" applyAlignment="1">
      <alignment horizontal="center"/>
    </xf>
    <xf numFmtId="0" fontId="11" fillId="0" borderId="7" xfId="0" applyFont="1" applyBorder="1" applyAlignment="1">
      <alignment horizontal="center"/>
    </xf>
    <xf numFmtId="0" fontId="15" fillId="0" borderId="0" xfId="0" applyFont="1"/>
    <xf numFmtId="2" fontId="11" fillId="0" borderId="1" xfId="0" applyNumberFormat="1" applyFont="1" applyBorder="1" applyAlignment="1">
      <alignment horizontal="right" vertical="center" wrapText="1"/>
    </xf>
    <xf numFmtId="2" fontId="11" fillId="0" borderId="1" xfId="0" applyNumberFormat="1" applyFont="1" applyBorder="1" applyAlignment="1">
      <alignment horizontal="right"/>
    </xf>
    <xf numFmtId="1" fontId="11" fillId="0" borderId="32" xfId="0" applyNumberFormat="1" applyFont="1" applyBorder="1" applyAlignment="1">
      <alignment horizontal="center"/>
    </xf>
    <xf numFmtId="2" fontId="11" fillId="0" borderId="4" xfId="1" quotePrefix="1" applyNumberFormat="1" applyFont="1" applyBorder="1" applyAlignment="1">
      <alignment horizontal="right"/>
    </xf>
    <xf numFmtId="2" fontId="11" fillId="0" borderId="4" xfId="1" quotePrefix="1" applyNumberFormat="1" applyFont="1" applyBorder="1" applyAlignment="1">
      <alignment horizontal="right" wrapText="1"/>
    </xf>
    <xf numFmtId="0" fontId="11" fillId="0" borderId="39" xfId="1" applyFont="1" applyBorder="1"/>
    <xf numFmtId="0" fontId="25" fillId="0" borderId="32" xfId="1" applyFont="1" applyBorder="1" applyAlignment="1">
      <alignment horizontal="center"/>
    </xf>
    <xf numFmtId="2" fontId="26" fillId="0" borderId="32" xfId="1" applyNumberFormat="1" applyFont="1" applyBorder="1"/>
    <xf numFmtId="0" fontId="26" fillId="0" borderId="32" xfId="1" applyFont="1" applyBorder="1"/>
    <xf numFmtId="49" fontId="11" fillId="0" borderId="4" xfId="1" applyNumberFormat="1" applyFont="1" applyBorder="1" applyAlignment="1">
      <alignment horizontal="center" wrapText="1"/>
    </xf>
    <xf numFmtId="0" fontId="11" fillId="0" borderId="6" xfId="0" applyFont="1" applyBorder="1" applyAlignment="1">
      <alignment horizontal="center"/>
    </xf>
    <xf numFmtId="2" fontId="11" fillId="0" borderId="13" xfId="0" applyNumberFormat="1" applyFont="1" applyBorder="1" applyAlignment="1">
      <alignment horizontal="right"/>
    </xf>
    <xf numFmtId="2" fontId="11" fillId="0" borderId="36" xfId="0" applyNumberFormat="1" applyFont="1" applyBorder="1"/>
    <xf numFmtId="0" fontId="6" fillId="0" borderId="11" xfId="0" applyFont="1" applyBorder="1" applyAlignment="1">
      <alignment vertical="center"/>
    </xf>
    <xf numFmtId="2" fontId="22" fillId="0" borderId="4" xfId="0" applyNumberFormat="1" applyFont="1" applyBorder="1"/>
    <xf numFmtId="2" fontId="22" fillId="0" borderId="4" xfId="0" applyNumberFormat="1" applyFont="1" applyBorder="1" applyAlignment="1">
      <alignment horizontal="right"/>
    </xf>
    <xf numFmtId="0" fontId="5" fillId="0" borderId="32" xfId="0" applyFont="1" applyBorder="1" applyAlignment="1">
      <alignment horizontal="center"/>
    </xf>
    <xf numFmtId="0" fontId="11" fillId="0" borderId="10" xfId="0" applyFont="1" applyBorder="1" applyAlignment="1">
      <alignment horizontal="left"/>
    </xf>
    <xf numFmtId="0" fontId="11" fillId="0" borderId="3" xfId="0" applyFont="1" applyBorder="1" applyAlignment="1">
      <alignment horizontal="left"/>
    </xf>
    <xf numFmtId="49" fontId="11" fillId="0" borderId="4" xfId="0" applyNumberFormat="1" applyFont="1" applyBorder="1" applyAlignment="1">
      <alignment horizontal="center"/>
    </xf>
    <xf numFmtId="0" fontId="11" fillId="0" borderId="7" xfId="1" applyFont="1" applyBorder="1" applyAlignment="1">
      <alignment horizontal="left" vertical="top"/>
    </xf>
    <xf numFmtId="0" fontId="11" fillId="0" borderId="8" xfId="1" applyFont="1" applyBorder="1" applyAlignment="1">
      <alignment horizontal="left" vertical="top"/>
    </xf>
    <xf numFmtId="0" fontId="11" fillId="0" borderId="9" xfId="1" applyFont="1" applyBorder="1" applyAlignment="1">
      <alignment horizontal="left" vertical="top"/>
    </xf>
    <xf numFmtId="0" fontId="11" fillId="0" borderId="12" xfId="1" applyFont="1" applyBorder="1" applyAlignment="1">
      <alignment horizontal="left" vertical="top"/>
    </xf>
    <xf numFmtId="0" fontId="11" fillId="0" borderId="0" xfId="1" applyFont="1" applyAlignment="1">
      <alignment horizontal="left" vertical="top"/>
    </xf>
    <xf numFmtId="0" fontId="11" fillId="0" borderId="10" xfId="1" applyFont="1" applyBorder="1" applyAlignment="1">
      <alignment horizontal="left" vertical="top"/>
    </xf>
    <xf numFmtId="2" fontId="11" fillId="0" borderId="32" xfId="0" applyNumberFormat="1" applyFont="1" applyBorder="1" applyAlignment="1">
      <alignment horizontal="right"/>
    </xf>
    <xf numFmtId="0" fontId="11" fillId="0" borderId="32" xfId="0" quotePrefix="1" applyFont="1" applyBorder="1" applyAlignment="1">
      <alignment horizontal="center"/>
    </xf>
    <xf numFmtId="0" fontId="11" fillId="0" borderId="32" xfId="0" applyFont="1" applyBorder="1" applyAlignment="1">
      <alignment horizontal="left"/>
    </xf>
    <xf numFmtId="0" fontId="11" fillId="0" borderId="37" xfId="0" applyFont="1" applyBorder="1" applyAlignment="1">
      <alignment horizontal="left"/>
    </xf>
    <xf numFmtId="1" fontId="5" fillId="0" borderId="4" xfId="0" applyNumberFormat="1" applyFont="1" applyBorder="1" applyAlignment="1">
      <alignment horizontal="center"/>
    </xf>
    <xf numFmtId="1" fontId="5" fillId="0" borderId="5" xfId="0" applyNumberFormat="1" applyFont="1" applyBorder="1" applyAlignment="1">
      <alignment horizontal="center"/>
    </xf>
    <xf numFmtId="1" fontId="5" fillId="0" borderId="2" xfId="0" applyNumberFormat="1" applyFont="1" applyBorder="1" applyAlignment="1">
      <alignment horizontal="center"/>
    </xf>
    <xf numFmtId="49" fontId="11" fillId="0" borderId="2" xfId="0" applyNumberFormat="1" applyFont="1" applyBorder="1" applyAlignment="1">
      <alignment horizontal="center"/>
    </xf>
    <xf numFmtId="0" fontId="5" fillId="0" borderId="9" xfId="0" applyFont="1" applyBorder="1" applyAlignment="1">
      <alignment horizontal="left"/>
    </xf>
    <xf numFmtId="0" fontId="5" fillId="0" borderId="15" xfId="0" applyFont="1" applyBorder="1"/>
    <xf numFmtId="0" fontId="5" fillId="0" borderId="6" xfId="0" applyFont="1" applyBorder="1" applyAlignment="1">
      <alignment horizontal="right"/>
    </xf>
    <xf numFmtId="0" fontId="5" fillId="0" borderId="2" xfId="0" applyFont="1" applyBorder="1" applyAlignment="1">
      <alignment horizontal="center" vertical="top" wrapText="1"/>
    </xf>
    <xf numFmtId="0" fontId="5" fillId="0" borderId="13" xfId="0" applyFont="1" applyBorder="1" applyAlignment="1">
      <alignment horizontal="center" vertical="top" wrapText="1"/>
    </xf>
    <xf numFmtId="2" fontId="11" fillId="0" borderId="14" xfId="0" applyNumberFormat="1" applyFont="1" applyBorder="1"/>
    <xf numFmtId="2" fontId="5" fillId="0" borderId="2" xfId="0" applyNumberFormat="1" applyFont="1" applyBorder="1"/>
    <xf numFmtId="0" fontId="6" fillId="0" borderId="6" xfId="0" applyFont="1" applyBorder="1" applyAlignment="1">
      <alignment horizontal="left" wrapText="1"/>
    </xf>
    <xf numFmtId="0" fontId="5" fillId="0" borderId="17" xfId="4" applyFont="1" applyBorder="1"/>
    <xf numFmtId="0" fontId="5" fillId="0" borderId="18" xfId="4" applyFont="1" applyBorder="1"/>
    <xf numFmtId="0" fontId="11" fillId="0" borderId="0" xfId="4" applyFont="1"/>
    <xf numFmtId="0" fontId="5" fillId="0" borderId="20" xfId="4" applyFont="1" applyBorder="1"/>
    <xf numFmtId="0" fontId="5" fillId="0" borderId="4" xfId="4" applyFont="1" applyBorder="1"/>
    <xf numFmtId="0" fontId="11" fillId="0" borderId="17" xfId="4" applyFont="1" applyBorder="1"/>
    <xf numFmtId="0" fontId="11" fillId="0" borderId="19" xfId="4" applyFont="1" applyBorder="1"/>
    <xf numFmtId="0" fontId="5" fillId="0" borderId="26" xfId="4" applyFont="1" applyBorder="1" applyAlignment="1">
      <alignment horizontal="center"/>
    </xf>
    <xf numFmtId="0" fontId="5" fillId="0" borderId="18" xfId="4" applyFont="1" applyBorder="1" applyAlignment="1">
      <alignment horizontal="center"/>
    </xf>
    <xf numFmtId="2" fontId="11" fillId="0" borderId="19" xfId="4" applyNumberFormat="1" applyFont="1" applyBorder="1" applyAlignment="1">
      <alignment horizontal="right"/>
    </xf>
    <xf numFmtId="2" fontId="11" fillId="0" borderId="19" xfId="4" applyNumberFormat="1" applyFont="1" applyBorder="1" applyAlignment="1">
      <alignment horizontal="left"/>
    </xf>
    <xf numFmtId="2" fontId="11" fillId="0" borderId="19" xfId="4" applyNumberFormat="1" applyFont="1" applyBorder="1"/>
    <xf numFmtId="2" fontId="11" fillId="0" borderId="22" xfId="4" applyNumberFormat="1" applyFont="1" applyBorder="1" applyAlignment="1">
      <alignment horizontal="center"/>
    </xf>
    <xf numFmtId="2" fontId="11" fillId="0" borderId="22" xfId="4" applyNumberFormat="1" applyFont="1" applyBorder="1"/>
    <xf numFmtId="0" fontId="11" fillId="0" borderId="27" xfId="4" applyFont="1" applyBorder="1"/>
    <xf numFmtId="0" fontId="11" fillId="0" borderId="28" xfId="4" applyFont="1" applyBorder="1"/>
    <xf numFmtId="0" fontId="11" fillId="0" borderId="28" xfId="4" applyFont="1" applyBorder="1" applyAlignment="1">
      <alignment horizontal="center"/>
    </xf>
    <xf numFmtId="0" fontId="11" fillId="0" borderId="23" xfId="4" applyFont="1" applyBorder="1" applyAlignment="1">
      <alignment horizontal="center"/>
    </xf>
    <xf numFmtId="0" fontId="11" fillId="0" borderId="6" xfId="4" applyFont="1" applyBorder="1"/>
    <xf numFmtId="0" fontId="11" fillId="0" borderId="6" xfId="4" applyFont="1" applyBorder="1" applyAlignment="1">
      <alignment horizontal="center"/>
    </xf>
    <xf numFmtId="2" fontId="11" fillId="0" borderId="19" xfId="4" applyNumberFormat="1" applyFont="1" applyBorder="1" applyAlignment="1">
      <alignment horizontal="center"/>
    </xf>
    <xf numFmtId="0" fontId="5" fillId="0" borderId="19" xfId="4" applyFont="1" applyBorder="1" applyAlignment="1">
      <alignment horizontal="center"/>
    </xf>
    <xf numFmtId="2" fontId="11" fillId="0" borderId="19" xfId="0" applyNumberFormat="1" applyFont="1" applyBorder="1"/>
    <xf numFmtId="0" fontId="11" fillId="0" borderId="19" xfId="0" applyFont="1" applyBorder="1"/>
    <xf numFmtId="0" fontId="11" fillId="0" borderId="28" xfId="0" applyFont="1" applyBorder="1" applyAlignment="1">
      <alignment horizontal="center"/>
    </xf>
    <xf numFmtId="0" fontId="11" fillId="0" borderId="34" xfId="4" applyFont="1" applyBorder="1"/>
    <xf numFmtId="0" fontId="11" fillId="0" borderId="36" xfId="4" applyFont="1" applyBorder="1" applyAlignment="1">
      <alignment wrapText="1"/>
    </xf>
    <xf numFmtId="0" fontId="11" fillId="0" borderId="12" xfId="4" applyFont="1" applyBorder="1"/>
    <xf numFmtId="0" fontId="11" fillId="0" borderId="0" xfId="4" applyFont="1" applyAlignment="1">
      <alignment wrapText="1"/>
    </xf>
    <xf numFmtId="0" fontId="11" fillId="0" borderId="12" xfId="4" applyFont="1" applyBorder="1" applyAlignment="1">
      <alignment horizontal="left"/>
    </xf>
    <xf numFmtId="0" fontId="11" fillId="0" borderId="0" xfId="4" applyFont="1" applyAlignment="1">
      <alignment horizontal="left" wrapText="1"/>
    </xf>
    <xf numFmtId="0" fontId="6" fillId="0" borderId="11" xfId="4" applyFont="1" applyBorder="1"/>
    <xf numFmtId="0" fontId="11" fillId="0" borderId="6" xfId="4" applyFont="1" applyBorder="1" applyAlignment="1">
      <alignment wrapText="1"/>
    </xf>
    <xf numFmtId="0" fontId="11" fillId="0" borderId="6" xfId="4" applyFont="1" applyBorder="1" applyAlignment="1">
      <alignment horizontal="left" wrapText="1"/>
    </xf>
    <xf numFmtId="2" fontId="11" fillId="0" borderId="19" xfId="4" quotePrefix="1" applyNumberFormat="1" applyFont="1" applyBorder="1"/>
    <xf numFmtId="0" fontId="11" fillId="0" borderId="36" xfId="4" applyFont="1" applyBorder="1"/>
    <xf numFmtId="0" fontId="11" fillId="0" borderId="36" xfId="4" applyFont="1" applyBorder="1" applyAlignment="1">
      <alignment horizontal="center"/>
    </xf>
    <xf numFmtId="0" fontId="11" fillId="0" borderId="0" xfId="4" applyFont="1" applyAlignment="1">
      <alignment horizontal="center"/>
    </xf>
    <xf numFmtId="2" fontId="11" fillId="0" borderId="19" xfId="4" applyNumberFormat="1" applyFont="1" applyBorder="1" applyAlignment="1">
      <alignment wrapText="1"/>
    </xf>
    <xf numFmtId="0" fontId="5" fillId="0" borderId="20" xfId="4" applyFont="1" applyBorder="1" applyAlignment="1">
      <alignment horizontal="center"/>
    </xf>
    <xf numFmtId="0" fontId="5" fillId="0" borderId="4" xfId="4" applyFont="1" applyBorder="1" applyAlignment="1">
      <alignment horizontal="center"/>
    </xf>
    <xf numFmtId="2" fontId="11" fillId="0" borderId="20" xfId="4" applyNumberFormat="1" applyFont="1" applyBorder="1"/>
    <xf numFmtId="2" fontId="11" fillId="0" borderId="4" xfId="4" applyNumberFormat="1" applyFont="1" applyBorder="1"/>
    <xf numFmtId="2" fontId="7" fillId="0" borderId="19" xfId="0" applyNumberFormat="1" applyFont="1" applyBorder="1"/>
    <xf numFmtId="0" fontId="11" fillId="0" borderId="29" xfId="4" applyFont="1" applyBorder="1" applyAlignment="1">
      <alignment horizontal="center"/>
    </xf>
    <xf numFmtId="0" fontId="11" fillId="0" borderId="15" xfId="4" applyFont="1" applyBorder="1" applyAlignment="1">
      <alignment horizontal="center"/>
    </xf>
    <xf numFmtId="0" fontId="11" fillId="0" borderId="4" xfId="4" applyFont="1" applyBorder="1" applyAlignment="1">
      <alignment horizontal="center"/>
    </xf>
    <xf numFmtId="0" fontId="11" fillId="0" borderId="38" xfId="4" applyFont="1" applyBorder="1"/>
    <xf numFmtId="0" fontId="11" fillId="0" borderId="39" xfId="4" applyFont="1" applyBorder="1"/>
    <xf numFmtId="0" fontId="5" fillId="0" borderId="21" xfId="4" applyFont="1" applyBorder="1" applyAlignment="1">
      <alignment horizontal="center"/>
    </xf>
    <xf numFmtId="0" fontId="24" fillId="0" borderId="19" xfId="0" applyFont="1" applyBorder="1" applyAlignment="1">
      <alignment horizontal="center"/>
    </xf>
    <xf numFmtId="2" fontId="11" fillId="0" borderId="21" xfId="4" applyNumberFormat="1" applyFont="1" applyBorder="1"/>
    <xf numFmtId="2" fontId="11" fillId="0" borderId="22" xfId="4" applyNumberFormat="1" applyFont="1" applyBorder="1" applyAlignment="1">
      <alignment horizontal="right"/>
    </xf>
    <xf numFmtId="0" fontId="7" fillId="0" borderId="28" xfId="0" applyFont="1" applyBorder="1" applyAlignment="1">
      <alignment horizontal="center"/>
    </xf>
    <xf numFmtId="0" fontId="5" fillId="0" borderId="0" xfId="4" applyFont="1" applyAlignment="1">
      <alignment horizontal="center"/>
    </xf>
    <xf numFmtId="0" fontId="5" fillId="0" borderId="28" xfId="4" applyFont="1" applyBorder="1" applyAlignment="1">
      <alignment horizontal="center"/>
    </xf>
    <xf numFmtId="0" fontId="5" fillId="0" borderId="29" xfId="4" applyFont="1" applyBorder="1" applyAlignment="1">
      <alignment horizontal="center"/>
    </xf>
    <xf numFmtId="2" fontId="11" fillId="0" borderId="4" xfId="4" applyNumberFormat="1" applyFont="1" applyBorder="1" applyAlignment="1">
      <alignment horizontal="right"/>
    </xf>
    <xf numFmtId="2" fontId="11" fillId="0" borderId="26" xfId="4" applyNumberFormat="1" applyFont="1" applyBorder="1" applyAlignment="1">
      <alignment horizontal="right"/>
    </xf>
    <xf numFmtId="0" fontId="11" fillId="0" borderId="19" xfId="4" applyFont="1" applyBorder="1" applyAlignment="1">
      <alignment horizontal="right"/>
    </xf>
    <xf numFmtId="0" fontId="11" fillId="0" borderId="20" xfId="4" applyFont="1" applyBorder="1"/>
    <xf numFmtId="0" fontId="7" fillId="0" borderId="19" xfId="0" applyFont="1" applyBorder="1"/>
    <xf numFmtId="0" fontId="11" fillId="0" borderId="39" xfId="4" applyFont="1" applyBorder="1" applyAlignment="1">
      <alignment horizontal="center"/>
    </xf>
    <xf numFmtId="0" fontId="27" fillId="0" borderId="0" xfId="0" applyFont="1"/>
    <xf numFmtId="49" fontId="11" fillId="0" borderId="4" xfId="1" quotePrefix="1" applyNumberFormat="1" applyFont="1" applyBorder="1" applyAlignment="1">
      <alignment horizontal="center" wrapText="1"/>
    </xf>
    <xf numFmtId="0" fontId="12" fillId="0" borderId="32" xfId="0" applyFont="1" applyBorder="1" applyAlignment="1">
      <alignment horizontal="center"/>
    </xf>
    <xf numFmtId="0" fontId="11" fillId="0" borderId="36" xfId="0" applyFont="1" applyBorder="1" applyAlignment="1">
      <alignment wrapText="1"/>
    </xf>
    <xf numFmtId="49" fontId="11" fillId="0" borderId="4" xfId="1" applyNumberFormat="1" applyFont="1" applyBorder="1" applyAlignment="1">
      <alignment horizontal="right" wrapText="1"/>
    </xf>
    <xf numFmtId="0" fontId="7" fillId="0" borderId="4" xfId="0" applyFont="1" applyBorder="1"/>
    <xf numFmtId="2" fontId="7" fillId="0" borderId="4" xfId="0" applyNumberFormat="1" applyFont="1" applyBorder="1"/>
    <xf numFmtId="0" fontId="7" fillId="0" borderId="15" xfId="0" applyFont="1" applyBorder="1"/>
    <xf numFmtId="1" fontId="7" fillId="0" borderId="4" xfId="0" applyNumberFormat="1" applyFont="1" applyBorder="1" applyAlignment="1">
      <alignment wrapText="1"/>
    </xf>
    <xf numFmtId="0" fontId="6" fillId="0" borderId="37" xfId="0" applyFont="1" applyBorder="1"/>
    <xf numFmtId="0" fontId="6" fillId="0" borderId="36" xfId="0" applyFont="1" applyBorder="1"/>
    <xf numFmtId="1" fontId="11" fillId="0" borderId="35" xfId="1" applyNumberFormat="1" applyFont="1" applyBorder="1"/>
    <xf numFmtId="0" fontId="12" fillId="0" borderId="35" xfId="0" applyFont="1" applyBorder="1"/>
    <xf numFmtId="0" fontId="11" fillId="0" borderId="34" xfId="1" applyFont="1" applyBorder="1" applyAlignment="1">
      <alignment vertical="top" wrapText="1"/>
    </xf>
    <xf numFmtId="0" fontId="11" fillId="0" borderId="36" xfId="1" applyFont="1" applyBorder="1" applyAlignment="1">
      <alignment vertical="top" wrapText="1"/>
    </xf>
    <xf numFmtId="0" fontId="11" fillId="0" borderId="37" xfId="1" applyFont="1" applyBorder="1" applyAlignment="1">
      <alignment vertical="top" wrapText="1"/>
    </xf>
    <xf numFmtId="0" fontId="11" fillId="0" borderId="0" xfId="1" applyFont="1" applyAlignment="1">
      <alignment vertical="top" wrapText="1"/>
    </xf>
    <xf numFmtId="0" fontId="11" fillId="0" borderId="34" xfId="1" applyFont="1" applyBorder="1" applyAlignment="1">
      <alignment vertical="top"/>
    </xf>
    <xf numFmtId="0" fontId="5" fillId="0" borderId="32" xfId="1" applyFont="1" applyBorder="1"/>
    <xf numFmtId="0" fontId="11" fillId="0" borderId="38" xfId="1" applyFont="1" applyBorder="1"/>
    <xf numFmtId="0" fontId="11" fillId="0" borderId="33" xfId="1" applyFont="1" applyBorder="1"/>
    <xf numFmtId="0" fontId="5" fillId="0" borderId="33" xfId="0" applyFont="1" applyBorder="1" applyAlignment="1">
      <alignment horizontal="left"/>
    </xf>
    <xf numFmtId="49" fontId="11" fillId="0" borderId="32" xfId="1" applyNumberFormat="1" applyFont="1" applyBorder="1" applyAlignment="1">
      <alignment horizontal="center" wrapText="1"/>
    </xf>
    <xf numFmtId="0" fontId="20" fillId="0" borderId="10" xfId="0" applyFont="1" applyBorder="1"/>
    <xf numFmtId="0" fontId="12" fillId="0" borderId="36" xfId="2" applyFont="1" applyBorder="1"/>
    <xf numFmtId="0" fontId="12" fillId="0" borderId="0" xfId="2" applyFont="1"/>
    <xf numFmtId="40" fontId="11" fillId="0" borderId="35" xfId="2" applyNumberFormat="1" applyFont="1" applyBorder="1"/>
    <xf numFmtId="165" fontId="11" fillId="0" borderId="35" xfId="2" applyNumberFormat="1" applyFont="1" applyBorder="1"/>
    <xf numFmtId="0" fontId="18" fillId="0" borderId="35" xfId="0" applyFont="1" applyBorder="1"/>
    <xf numFmtId="0" fontId="16" fillId="0" borderId="35" xfId="0" applyFont="1" applyBorder="1"/>
    <xf numFmtId="0" fontId="6" fillId="0" borderId="0" xfId="2" applyFont="1"/>
    <xf numFmtId="2" fontId="11" fillId="0" borderId="0" xfId="2" applyNumberFormat="1" applyFont="1" applyAlignment="1">
      <alignment horizontal="center"/>
    </xf>
    <xf numFmtId="0" fontId="6" fillId="0" borderId="6" xfId="3" applyFont="1" applyBorder="1"/>
    <xf numFmtId="0" fontId="6" fillId="0" borderId="6" xfId="2" applyFont="1" applyBorder="1"/>
    <xf numFmtId="0" fontId="29" fillId="0" borderId="3" xfId="0" applyFont="1" applyBorder="1"/>
    <xf numFmtId="0" fontId="29" fillId="0" borderId="0" xfId="0" applyFont="1"/>
    <xf numFmtId="0" fontId="11" fillId="0" borderId="0" xfId="3" applyFont="1" applyAlignment="1">
      <alignment wrapText="1"/>
    </xf>
    <xf numFmtId="0" fontId="11" fillId="0" borderId="6" xfId="3" applyFont="1" applyBorder="1"/>
    <xf numFmtId="1" fontId="5" fillId="0" borderId="32" xfId="2" applyNumberFormat="1" applyFont="1" applyBorder="1" applyAlignment="1">
      <alignment horizontal="center" vertical="top"/>
    </xf>
    <xf numFmtId="167" fontId="11" fillId="0" borderId="35" xfId="2" applyNumberFormat="1" applyFont="1" applyBorder="1"/>
    <xf numFmtId="1" fontId="11" fillId="0" borderId="35" xfId="2" applyNumberFormat="1" applyFont="1" applyBorder="1"/>
    <xf numFmtId="0" fontId="11" fillId="0" borderId="35" xfId="2" applyFont="1" applyBorder="1"/>
    <xf numFmtId="0" fontId="20" fillId="0" borderId="37" xfId="0" applyFont="1" applyBorder="1"/>
    <xf numFmtId="0" fontId="6" fillId="0" borderId="6" xfId="1" applyFont="1" applyBorder="1"/>
    <xf numFmtId="0" fontId="5" fillId="0" borderId="38" xfId="2" applyFont="1" applyBorder="1"/>
    <xf numFmtId="0" fontId="5" fillId="0" borderId="32" xfId="2" applyFont="1" applyBorder="1"/>
    <xf numFmtId="0" fontId="11" fillId="0" borderId="33" xfId="2" applyFont="1" applyBorder="1"/>
    <xf numFmtId="0" fontId="11" fillId="0" borderId="10" xfId="1" applyFont="1" applyBorder="1"/>
    <xf numFmtId="0" fontId="6" fillId="0" borderId="3" xfId="1" applyFont="1" applyBorder="1"/>
    <xf numFmtId="0" fontId="30" fillId="0" borderId="0" xfId="0" applyFont="1"/>
    <xf numFmtId="40" fontId="11" fillId="0" borderId="32" xfId="2" applyNumberFormat="1" applyFont="1" applyBorder="1"/>
    <xf numFmtId="40" fontId="11" fillId="0" borderId="38" xfId="2" applyNumberFormat="1" applyFont="1" applyBorder="1"/>
    <xf numFmtId="4" fontId="11" fillId="0" borderId="32" xfId="9" applyNumberFormat="1" applyFont="1" applyFill="1" applyBorder="1" applyAlignment="1">
      <alignment horizontal="center"/>
    </xf>
    <xf numFmtId="40" fontId="11" fillId="0" borderId="34" xfId="2" applyNumberFormat="1" applyFont="1" applyBorder="1"/>
    <xf numFmtId="4" fontId="11" fillId="0" borderId="35" xfId="9" applyNumberFormat="1" applyFont="1" applyFill="1" applyBorder="1" applyAlignment="1">
      <alignment horizontal="center"/>
    </xf>
    <xf numFmtId="0" fontId="6" fillId="0" borderId="38" xfId="4" applyFont="1" applyBorder="1"/>
    <xf numFmtId="0" fontId="11" fillId="0" borderId="33" xfId="4" applyFont="1" applyBorder="1"/>
    <xf numFmtId="0" fontId="5" fillId="0" borderId="4" xfId="0" applyFont="1" applyBorder="1" applyAlignment="1">
      <alignment vertical="center"/>
    </xf>
    <xf numFmtId="0" fontId="5" fillId="0" borderId="32" xfId="0" applyFont="1" applyBorder="1" applyAlignment="1">
      <alignment vertical="center"/>
    </xf>
    <xf numFmtId="0" fontId="27" fillId="0" borderId="3" xfId="0" applyFont="1" applyBorder="1"/>
    <xf numFmtId="1" fontId="11" fillId="0" borderId="35" xfId="0" applyNumberFormat="1" applyFont="1" applyBorder="1" applyAlignment="1">
      <alignment horizontal="center"/>
    </xf>
    <xf numFmtId="0" fontId="11" fillId="0" borderId="35" xfId="0" applyFont="1" applyBorder="1" applyAlignment="1">
      <alignment horizontal="center"/>
    </xf>
    <xf numFmtId="0" fontId="11" fillId="0" borderId="34" xfId="1" applyFont="1" applyBorder="1" applyAlignment="1">
      <alignment horizontal="left"/>
    </xf>
    <xf numFmtId="0" fontId="11" fillId="0" borderId="36" xfId="1" applyFont="1" applyBorder="1" applyAlignment="1">
      <alignment horizontal="left"/>
    </xf>
    <xf numFmtId="43" fontId="7" fillId="0" borderId="4" xfId="1" applyNumberFormat="1" applyFont="1" applyBorder="1" applyAlignment="1">
      <alignment horizontal="right"/>
    </xf>
    <xf numFmtId="0" fontId="11" fillId="0" borderId="39" xfId="1" applyFont="1" applyBorder="1" applyAlignment="1">
      <alignment horizontal="left" wrapText="1"/>
    </xf>
    <xf numFmtId="0" fontId="5" fillId="0" borderId="38" xfId="1" applyFont="1" applyBorder="1"/>
    <xf numFmtId="0" fontId="5" fillId="0" borderId="33" xfId="1" applyFont="1" applyBorder="1"/>
    <xf numFmtId="0" fontId="11" fillId="0" borderId="32" xfId="1" applyFont="1" applyBorder="1" applyAlignment="1">
      <alignment horizontal="left" wrapText="1"/>
    </xf>
    <xf numFmtId="0" fontId="11" fillId="0" borderId="32" xfId="1" applyFont="1" applyBorder="1" applyAlignment="1">
      <alignment wrapText="1"/>
    </xf>
    <xf numFmtId="2" fontId="11" fillId="0" borderId="32" xfId="1" applyNumberFormat="1" applyFont="1" applyBorder="1" applyAlignment="1">
      <alignment horizontal="left" wrapText="1"/>
    </xf>
    <xf numFmtId="2" fontId="11" fillId="0" borderId="32" xfId="1" applyNumberFormat="1" applyFont="1" applyBorder="1" applyAlignment="1">
      <alignment horizontal="right" wrapText="1"/>
    </xf>
    <xf numFmtId="0" fontId="11" fillId="0" borderId="32" xfId="1" quotePrefix="1" applyFont="1" applyBorder="1" applyAlignment="1">
      <alignment horizontal="left" wrapText="1"/>
    </xf>
    <xf numFmtId="0" fontId="11" fillId="0" borderId="32" xfId="1" applyFont="1" applyBorder="1" applyAlignment="1">
      <alignment horizontal="left"/>
    </xf>
    <xf numFmtId="0" fontId="11" fillId="0" borderId="39" xfId="1" applyFont="1" applyBorder="1" applyAlignment="1">
      <alignment wrapText="1"/>
    </xf>
    <xf numFmtId="0" fontId="11" fillId="0" borderId="33" xfId="1" applyFont="1" applyBorder="1" applyAlignment="1">
      <alignment wrapText="1"/>
    </xf>
    <xf numFmtId="2" fontId="11" fillId="0" borderId="32" xfId="1" applyNumberFormat="1" applyFont="1" applyBorder="1" applyAlignment="1">
      <alignment wrapText="1"/>
    </xf>
    <xf numFmtId="0" fontId="11" fillId="0" borderId="35" xfId="1" applyFont="1" applyBorder="1" applyAlignment="1">
      <alignment horizontal="left" wrapText="1"/>
    </xf>
    <xf numFmtId="0" fontId="11" fillId="0" borderId="35" xfId="1" applyFont="1" applyBorder="1" applyAlignment="1">
      <alignment wrapText="1"/>
    </xf>
    <xf numFmtId="0" fontId="6" fillId="0" borderId="11" xfId="3" applyFont="1" applyBorder="1" applyAlignment="1">
      <alignment horizontal="left"/>
    </xf>
    <xf numFmtId="0" fontId="11" fillId="0" borderId="32" xfId="0" applyFont="1" applyBorder="1" applyAlignment="1">
      <alignment wrapText="1"/>
    </xf>
    <xf numFmtId="0" fontId="11" fillId="0" borderId="32" xfId="1" applyFont="1" applyBorder="1" applyAlignment="1">
      <alignment horizontal="right"/>
    </xf>
    <xf numFmtId="2" fontId="11" fillId="0" borderId="32" xfId="0" applyNumberFormat="1" applyFont="1" applyBorder="1" applyAlignment="1">
      <alignment wrapText="1"/>
    </xf>
    <xf numFmtId="0" fontId="11" fillId="0" borderId="35" xfId="1" applyFont="1" applyBorder="1" applyAlignment="1">
      <alignment horizontal="center"/>
    </xf>
    <xf numFmtId="0" fontId="11" fillId="0" borderId="35" xfId="0" applyFont="1" applyBorder="1" applyAlignment="1">
      <alignment wrapText="1"/>
    </xf>
    <xf numFmtId="0" fontId="11" fillId="0" borderId="39" xfId="0" applyFont="1" applyBorder="1" applyAlignment="1">
      <alignment wrapText="1"/>
    </xf>
    <xf numFmtId="0" fontId="11" fillId="0" borderId="33" xfId="0" applyFont="1" applyBorder="1" applyAlignment="1">
      <alignment wrapText="1"/>
    </xf>
    <xf numFmtId="0" fontId="6" fillId="0" borderId="32" xfId="0" applyFont="1" applyBorder="1" applyAlignment="1">
      <alignment wrapText="1"/>
    </xf>
    <xf numFmtId="0" fontId="11" fillId="0" borderId="37" xfId="0" applyFont="1" applyBorder="1" applyAlignment="1">
      <alignment wrapText="1"/>
    </xf>
    <xf numFmtId="0" fontId="7" fillId="0" borderId="0" xfId="0" applyFont="1" applyAlignment="1">
      <alignment horizontal="left" wrapText="1"/>
    </xf>
    <xf numFmtId="0" fontId="11" fillId="0" borderId="34" xfId="0" applyFont="1" applyBorder="1" applyAlignment="1">
      <alignment wrapText="1"/>
    </xf>
    <xf numFmtId="0" fontId="11" fillId="0" borderId="32" xfId="1" applyFont="1" applyBorder="1" applyAlignment="1">
      <alignment horizontal="center"/>
    </xf>
    <xf numFmtId="2" fontId="5" fillId="0" borderId="4" xfId="0" applyNumberFormat="1" applyFont="1" applyBorder="1" applyAlignment="1">
      <alignment horizontal="right"/>
    </xf>
    <xf numFmtId="0" fontId="5" fillId="0" borderId="0" xfId="0" applyFont="1" applyAlignment="1">
      <alignment horizontal="right"/>
    </xf>
    <xf numFmtId="0" fontId="5" fillId="0" borderId="36" xfId="0" applyFont="1" applyBorder="1" applyAlignment="1">
      <alignment horizontal="right"/>
    </xf>
    <xf numFmtId="0" fontId="11" fillId="0" borderId="44" xfId="1" applyFont="1" applyBorder="1" applyAlignment="1">
      <alignment wrapText="1"/>
    </xf>
    <xf numFmtId="0" fontId="11" fillId="0" borderId="45" xfId="1" applyFont="1" applyBorder="1" applyAlignment="1">
      <alignment wrapText="1"/>
    </xf>
    <xf numFmtId="0" fontId="11" fillId="0" borderId="46" xfId="1" applyFont="1" applyBorder="1" applyAlignment="1">
      <alignment wrapText="1"/>
    </xf>
    <xf numFmtId="0" fontId="11" fillId="0" borderId="44" xfId="1" applyFont="1" applyBorder="1"/>
    <xf numFmtId="0" fontId="11" fillId="0" borderId="45" xfId="1" applyFont="1" applyBorder="1"/>
    <xf numFmtId="0" fontId="11" fillId="0" borderId="45" xfId="0" applyFont="1" applyBorder="1"/>
    <xf numFmtId="0" fontId="11" fillId="0" borderId="46" xfId="0" applyFont="1" applyBorder="1"/>
    <xf numFmtId="0" fontId="11" fillId="0" borderId="44" xfId="0" applyFont="1" applyBorder="1"/>
    <xf numFmtId="0" fontId="11" fillId="0" borderId="38" xfId="1" applyFont="1" applyBorder="1" applyAlignment="1">
      <alignment horizontal="left" wrapText="1"/>
    </xf>
    <xf numFmtId="0" fontId="11" fillId="0" borderId="39" xfId="1" applyFont="1" applyBorder="1" applyAlignment="1">
      <alignment horizontal="left" wrapText="1"/>
    </xf>
    <xf numFmtId="0" fontId="11" fillId="0" borderId="33" xfId="1" applyFont="1" applyBorder="1" applyAlignment="1">
      <alignment horizontal="left" wrapText="1"/>
    </xf>
    <xf numFmtId="0" fontId="11" fillId="0" borderId="39" xfId="0" applyFont="1" applyBorder="1" applyAlignment="1">
      <alignment horizontal="center"/>
    </xf>
    <xf numFmtId="0" fontId="11" fillId="0" borderId="33" xfId="0" applyFont="1" applyBorder="1" applyAlignment="1">
      <alignment horizontal="center"/>
    </xf>
    <xf numFmtId="0" fontId="11" fillId="0" borderId="12" xfId="0" applyFont="1" applyBorder="1" applyAlignment="1">
      <alignment horizontal="left" wrapText="1"/>
    </xf>
    <xf numFmtId="0" fontId="11" fillId="0" borderId="0" xfId="0" applyFont="1" applyAlignment="1">
      <alignment horizontal="left" wrapText="1"/>
    </xf>
    <xf numFmtId="0" fontId="11" fillId="0" borderId="38" xfId="0" applyFont="1" applyBorder="1" applyAlignment="1">
      <alignment horizontal="left"/>
    </xf>
    <xf numFmtId="0" fontId="11" fillId="0" borderId="39" xfId="0" applyFont="1" applyBorder="1" applyAlignment="1">
      <alignment horizontal="left"/>
    </xf>
    <xf numFmtId="0" fontId="11" fillId="0" borderId="34" xfId="1" applyFont="1" applyBorder="1" applyAlignment="1">
      <alignment horizontal="left" wrapText="1"/>
    </xf>
    <xf numFmtId="0" fontId="11" fillId="0" borderId="36" xfId="1" applyFont="1" applyBorder="1" applyAlignment="1">
      <alignment horizontal="left" wrapText="1"/>
    </xf>
    <xf numFmtId="0" fontId="11" fillId="0" borderId="12" xfId="1" applyFont="1" applyBorder="1" applyAlignment="1">
      <alignment horizontal="left" vertical="top" wrapText="1"/>
    </xf>
    <xf numFmtId="0" fontId="11" fillId="0" borderId="0" xfId="1" applyFont="1" applyAlignment="1">
      <alignment horizontal="left" vertical="top" wrapText="1"/>
    </xf>
    <xf numFmtId="0" fontId="11" fillId="0" borderId="11" xfId="1" applyFont="1" applyBorder="1" applyAlignment="1">
      <alignment horizontal="left" wrapText="1"/>
    </xf>
    <xf numFmtId="0" fontId="11" fillId="0" borderId="6" xfId="1" applyFont="1" applyBorder="1" applyAlignment="1">
      <alignment horizontal="left" wrapText="1"/>
    </xf>
    <xf numFmtId="0" fontId="11" fillId="0" borderId="1" xfId="0" applyFont="1" applyBorder="1" applyAlignment="1">
      <alignment horizontal="left"/>
    </xf>
    <xf numFmtId="0" fontId="11" fillId="0" borderId="5" xfId="0" applyFont="1" applyBorder="1" applyAlignment="1">
      <alignment horizontal="left"/>
    </xf>
    <xf numFmtId="0" fontId="11" fillId="0" borderId="34" xfId="0" applyFont="1" applyBorder="1" applyAlignment="1">
      <alignment horizontal="left" wrapText="1"/>
    </xf>
    <xf numFmtId="0" fontId="11" fillId="0" borderId="36" xfId="0" applyFont="1" applyBorder="1" applyAlignment="1">
      <alignment horizontal="left" wrapText="1"/>
    </xf>
    <xf numFmtId="0" fontId="11" fillId="0" borderId="38" xfId="1" applyFont="1" applyBorder="1" applyAlignment="1">
      <alignment horizontal="left"/>
    </xf>
    <xf numFmtId="0" fontId="11" fillId="0" borderId="39" xfId="1" applyFont="1" applyBorder="1" applyAlignment="1">
      <alignment horizontal="left"/>
    </xf>
    <xf numFmtId="0" fontId="11" fillId="0" borderId="34" xfId="1" applyFont="1" applyBorder="1" applyAlignment="1">
      <alignment horizontal="left"/>
    </xf>
    <xf numFmtId="0" fontId="11" fillId="0" borderId="36" xfId="1" applyFont="1" applyBorder="1" applyAlignment="1">
      <alignment horizontal="left"/>
    </xf>
    <xf numFmtId="0" fontId="11" fillId="0" borderId="34" xfId="0" applyFont="1" applyBorder="1" applyAlignment="1">
      <alignment horizontal="left" vertical="center" wrapText="1"/>
    </xf>
    <xf numFmtId="0" fontId="11" fillId="0" borderId="36" xfId="0" applyFont="1" applyBorder="1" applyAlignment="1">
      <alignment horizontal="left" vertical="center" wrapText="1"/>
    </xf>
    <xf numFmtId="0" fontId="11" fillId="0" borderId="11" xfId="0" applyFont="1" applyBorder="1" applyAlignment="1">
      <alignment horizontal="left" wrapText="1"/>
    </xf>
    <xf numFmtId="0" fontId="11" fillId="0" borderId="6" xfId="0" applyFont="1" applyBorder="1" applyAlignment="1">
      <alignment horizontal="left" wrapText="1"/>
    </xf>
    <xf numFmtId="0" fontId="11" fillId="0" borderId="4" xfId="1" applyFont="1" applyBorder="1" applyAlignment="1">
      <alignment horizontal="left"/>
    </xf>
    <xf numFmtId="0" fontId="11" fillId="0" borderId="7" xfId="1" applyFont="1" applyBorder="1" applyAlignment="1">
      <alignment horizontal="left"/>
    </xf>
    <xf numFmtId="0" fontId="11" fillId="0" borderId="8" xfId="1" applyFont="1" applyBorder="1" applyAlignment="1">
      <alignment horizontal="left"/>
    </xf>
    <xf numFmtId="2" fontId="11" fillId="0" borderId="1" xfId="1" applyNumberFormat="1" applyFont="1" applyBorder="1" applyAlignment="1">
      <alignment horizontal="center"/>
    </xf>
    <xf numFmtId="2" fontId="11" fillId="0" borderId="5" xfId="1" applyNumberFormat="1" applyFont="1" applyBorder="1" applyAlignment="1">
      <alignment horizontal="center"/>
    </xf>
    <xf numFmtId="2" fontId="11" fillId="0" borderId="2" xfId="1" applyNumberFormat="1" applyFont="1" applyBorder="1" applyAlignment="1">
      <alignment horizontal="center"/>
    </xf>
    <xf numFmtId="2" fontId="11" fillId="0" borderId="38" xfId="1" applyNumberFormat="1" applyFont="1" applyBorder="1" applyAlignment="1">
      <alignment horizontal="center"/>
    </xf>
    <xf numFmtId="2" fontId="11" fillId="0" borderId="39" xfId="1" applyNumberFormat="1" applyFont="1" applyBorder="1" applyAlignment="1">
      <alignment horizontal="center"/>
    </xf>
    <xf numFmtId="2" fontId="11" fillId="0" borderId="33" xfId="1" applyNumberFormat="1" applyFont="1" applyBorder="1" applyAlignment="1">
      <alignment horizontal="center"/>
    </xf>
    <xf numFmtId="0" fontId="12" fillId="0" borderId="34" xfId="0" applyFont="1" applyBorder="1" applyAlignment="1">
      <alignment horizontal="left"/>
    </xf>
    <xf numFmtId="0" fontId="12" fillId="0" borderId="36" xfId="0" applyFont="1" applyBorder="1" applyAlignment="1">
      <alignment horizontal="left"/>
    </xf>
    <xf numFmtId="0" fontId="12" fillId="0" borderId="12" xfId="0" applyFont="1" applyBorder="1" applyAlignment="1">
      <alignment horizontal="left" wrapText="1"/>
    </xf>
    <xf numFmtId="0" fontId="12" fillId="0" borderId="0" xfId="0" applyFont="1" applyAlignment="1">
      <alignment horizontal="left" wrapText="1"/>
    </xf>
    <xf numFmtId="46" fontId="5" fillId="0" borderId="6" xfId="0" applyNumberFormat="1" applyFont="1" applyBorder="1" applyAlignment="1">
      <alignment horizontal="left" wrapText="1"/>
    </xf>
    <xf numFmtId="0" fontId="11" fillId="0" borderId="12" xfId="0" applyFont="1" applyBorder="1" applyAlignment="1">
      <alignment horizontal="left" vertical="center" wrapText="1"/>
    </xf>
    <xf numFmtId="0" fontId="11" fillId="0" borderId="0" xfId="0" applyFont="1" applyAlignment="1">
      <alignment horizontal="left" vertical="center" wrapText="1"/>
    </xf>
    <xf numFmtId="0" fontId="11" fillId="0" borderId="12" xfId="3" applyFont="1" applyBorder="1" applyAlignment="1">
      <alignment horizontal="left" wrapText="1"/>
    </xf>
    <xf numFmtId="0" fontId="11" fillId="0" borderId="0" xfId="3" applyFont="1" applyAlignment="1">
      <alignment horizontal="left" wrapText="1"/>
    </xf>
    <xf numFmtId="2" fontId="11" fillId="0" borderId="1" xfId="0" applyNumberFormat="1" applyFont="1" applyBorder="1" applyAlignment="1">
      <alignment horizontal="center"/>
    </xf>
    <xf numFmtId="2" fontId="11" fillId="0" borderId="5" xfId="0" applyNumberFormat="1" applyFont="1" applyBorder="1" applyAlignment="1">
      <alignment horizontal="center"/>
    </xf>
    <xf numFmtId="2" fontId="11" fillId="0" borderId="2" xfId="0" applyNumberFormat="1" applyFont="1" applyBorder="1" applyAlignment="1">
      <alignment horizontal="center"/>
    </xf>
    <xf numFmtId="0" fontId="11" fillId="0" borderId="7" xfId="0" applyFont="1" applyBorder="1" applyAlignment="1">
      <alignment horizontal="left" wrapText="1"/>
    </xf>
    <xf numFmtId="0" fontId="11" fillId="0" borderId="8" xfId="0" applyFont="1" applyBorder="1" applyAlignment="1">
      <alignment horizontal="left" wrapText="1"/>
    </xf>
    <xf numFmtId="0" fontId="6" fillId="0" borderId="11" xfId="0" applyFont="1" applyBorder="1" applyAlignment="1">
      <alignment horizontal="left" wrapText="1"/>
    </xf>
    <xf numFmtId="0" fontId="6" fillId="0" borderId="6" xfId="0" applyFont="1" applyBorder="1" applyAlignment="1">
      <alignment horizontal="left" wrapText="1"/>
    </xf>
  </cellXfs>
  <cellStyles count="11">
    <cellStyle name="Comma [0]" xfId="8" builtinId="6"/>
    <cellStyle name="Comma [0] 2" xfId="9" xr:uid="{15BE6873-DCEF-47FA-9EBF-7847D7F2AC03}"/>
    <cellStyle name="Normal" xfId="0" builtinId="0"/>
    <cellStyle name="Normal 2" xfId="1" xr:uid="{00000000-0005-0000-0000-000001000000}"/>
    <cellStyle name="Normal 3" xfId="4" xr:uid="{00000000-0005-0000-0000-000002000000}"/>
    <cellStyle name="Normal 3 2" xfId="10" xr:uid="{737AFF2C-E8F3-4F05-B0D3-ADE26FDD4D83}"/>
    <cellStyle name="Normal 4" xfId="5" xr:uid="{64DFD5AE-932A-43CB-89FD-77DBA7A77495}"/>
    <cellStyle name="Normal 5" xfId="6" xr:uid="{0B908675-5FC1-47F7-A420-9E22167CE1EC}"/>
    <cellStyle name="표준 3" xfId="7" xr:uid="{62E14E76-F9FB-4938-A6D0-9109D4D5C877}"/>
    <cellStyle name="標準 2" xfId="2" xr:uid="{00000000-0005-0000-0000-000003000000}"/>
    <cellStyle name="標準_COMP FORMS Japan" xfId="3"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RS2277"/>
  <sheetViews>
    <sheetView tabSelected="1" zoomScaleNormal="100" workbookViewId="0">
      <pane xSplit="2" ySplit="2" topLeftCell="F3" activePane="bottomRight" state="frozen"/>
      <selection pane="topRight" activeCell="C1" sqref="C1"/>
      <selection pane="bottomLeft" activeCell="A3" sqref="A3"/>
      <selection pane="bottomRight"/>
    </sheetView>
  </sheetViews>
  <sheetFormatPr defaultColWidth="9.109375" defaultRowHeight="13.2" x14ac:dyDescent="0.25"/>
  <cols>
    <col min="1" max="1" width="19.88671875" style="3" customWidth="1"/>
    <col min="2" max="4" width="28.5546875" style="3" customWidth="1"/>
    <col min="5" max="5" width="30.5546875" style="3" customWidth="1"/>
    <col min="6" max="9" width="28.5546875" style="3" customWidth="1"/>
    <col min="10" max="10" width="27.44140625" style="3" bestFit="1" customWidth="1"/>
    <col min="11" max="11" width="20.6640625" style="3" customWidth="1"/>
    <col min="12" max="12" width="19.109375" style="3" bestFit="1" customWidth="1"/>
    <col min="13" max="14" width="17.6640625" style="3" bestFit="1" customWidth="1"/>
    <col min="15" max="16" width="10.33203125" style="3" customWidth="1"/>
    <col min="17" max="16384" width="9.109375" style="3"/>
  </cols>
  <sheetData>
    <row r="1" spans="1:26" ht="13.8" x14ac:dyDescent="0.3">
      <c r="A1" s="1" t="s">
        <v>1269</v>
      </c>
      <c r="B1" s="2"/>
      <c r="C1" s="2"/>
      <c r="D1" s="2"/>
      <c r="E1" s="2"/>
      <c r="F1" s="1"/>
      <c r="G1" s="2"/>
    </row>
    <row r="2" spans="1:26" ht="13.8" x14ac:dyDescent="0.3">
      <c r="A2" s="1"/>
      <c r="B2" s="2"/>
      <c r="C2" s="2"/>
      <c r="D2" s="2"/>
      <c r="E2" s="2"/>
      <c r="F2" s="1"/>
      <c r="G2" s="2"/>
    </row>
    <row r="3" spans="1:26" ht="12.75" customHeight="1" x14ac:dyDescent="0.25">
      <c r="A3" s="3" t="s">
        <v>938</v>
      </c>
      <c r="B3" s="4"/>
      <c r="C3" s="4"/>
      <c r="D3" s="4"/>
      <c r="E3" s="4"/>
      <c r="F3" s="4"/>
      <c r="G3" s="4"/>
      <c r="H3" s="4"/>
      <c r="I3" s="4"/>
      <c r="J3" s="4"/>
      <c r="K3" s="4"/>
      <c r="L3" s="4"/>
      <c r="M3" s="4"/>
      <c r="N3" s="4"/>
      <c r="O3" s="4"/>
      <c r="P3" s="4"/>
      <c r="Q3" s="4"/>
      <c r="R3" s="4"/>
      <c r="S3" s="4"/>
      <c r="T3" s="4"/>
      <c r="U3" s="4"/>
      <c r="V3" s="4"/>
      <c r="W3" s="4"/>
      <c r="X3" s="4"/>
      <c r="Y3" s="4"/>
      <c r="Z3" s="4"/>
    </row>
    <row r="4" spans="1:26" ht="12.75" customHeight="1" x14ac:dyDescent="0.25">
      <c r="B4" s="4"/>
      <c r="C4" s="4"/>
      <c r="D4" s="4"/>
      <c r="E4" s="4"/>
      <c r="F4" s="4"/>
      <c r="G4" s="4"/>
      <c r="H4" s="4"/>
      <c r="I4" s="4"/>
      <c r="J4" s="4"/>
      <c r="K4" s="4"/>
      <c r="L4" s="4"/>
      <c r="M4" s="4"/>
      <c r="N4" s="4"/>
      <c r="O4" s="4"/>
      <c r="P4" s="4"/>
      <c r="Q4" s="4"/>
      <c r="R4" s="4"/>
      <c r="S4" s="4"/>
      <c r="T4" s="4"/>
      <c r="U4" s="4"/>
      <c r="V4" s="4"/>
      <c r="W4" s="4"/>
      <c r="X4" s="4"/>
      <c r="Y4" s="4"/>
      <c r="Z4" s="4"/>
    </row>
    <row r="5" spans="1:26" ht="12.75" customHeight="1" x14ac:dyDescent="0.25">
      <c r="A5" s="6" t="s">
        <v>12</v>
      </c>
      <c r="B5" s="7" t="s">
        <v>1250</v>
      </c>
      <c r="C5" s="4"/>
      <c r="D5" s="4"/>
      <c r="E5" s="4"/>
      <c r="F5" s="4"/>
      <c r="G5" s="4"/>
      <c r="H5" s="4"/>
      <c r="I5" s="4"/>
      <c r="J5" s="4"/>
      <c r="K5" s="4"/>
      <c r="L5" s="4"/>
      <c r="M5" s="4"/>
      <c r="N5" s="4"/>
      <c r="O5" s="4"/>
      <c r="P5" s="4"/>
      <c r="Q5" s="4"/>
      <c r="R5" s="4"/>
      <c r="S5" s="4"/>
      <c r="T5" s="4"/>
      <c r="U5" s="4"/>
      <c r="V5" s="4"/>
      <c r="W5" s="4"/>
      <c r="X5" s="4"/>
      <c r="Y5" s="4"/>
      <c r="Z5" s="4"/>
    </row>
    <row r="6" spans="1:26" ht="12.75" customHeight="1" x14ac:dyDescent="0.25">
      <c r="A6" s="98" t="s">
        <v>14</v>
      </c>
      <c r="B6" s="66" t="s">
        <v>641</v>
      </c>
      <c r="C6" s="137" t="s">
        <v>152</v>
      </c>
      <c r="D6" s="8"/>
      <c r="E6" s="8"/>
      <c r="F6" s="8"/>
      <c r="G6" s="4"/>
      <c r="H6" s="4"/>
      <c r="I6" s="4"/>
      <c r="J6" s="4"/>
      <c r="K6" s="4"/>
      <c r="L6" s="4"/>
      <c r="M6" s="4"/>
      <c r="N6" s="4"/>
      <c r="O6" s="4"/>
      <c r="P6" s="4"/>
      <c r="Q6" s="4"/>
      <c r="R6" s="4"/>
      <c r="S6" s="4"/>
      <c r="T6" s="4"/>
      <c r="U6" s="4"/>
      <c r="V6" s="4"/>
      <c r="W6" s="4"/>
      <c r="X6" s="4"/>
      <c r="Y6" s="4"/>
      <c r="Z6" s="4"/>
    </row>
    <row r="7" spans="1:26" ht="12.75" customHeight="1" x14ac:dyDescent="0.25">
      <c r="A7" s="129" t="s">
        <v>16</v>
      </c>
      <c r="B7" s="271">
        <v>2016</v>
      </c>
      <c r="C7" s="271">
        <v>2017</v>
      </c>
      <c r="D7" s="271">
        <v>2018</v>
      </c>
      <c r="E7" s="271">
        <v>2019</v>
      </c>
      <c r="F7" s="271">
        <v>2020</v>
      </c>
      <c r="G7" s="271">
        <v>2021</v>
      </c>
      <c r="H7" s="271">
        <v>2022</v>
      </c>
      <c r="I7" s="271">
        <v>2023</v>
      </c>
      <c r="J7" s="271">
        <v>2024</v>
      </c>
      <c r="K7" s="271">
        <v>2025</v>
      </c>
      <c r="L7" s="4"/>
      <c r="M7" s="4"/>
      <c r="N7" s="4"/>
      <c r="O7" s="4"/>
      <c r="P7" s="4"/>
      <c r="Q7" s="4"/>
      <c r="R7" s="4"/>
      <c r="S7" s="4"/>
      <c r="T7" s="4"/>
      <c r="U7" s="4"/>
      <c r="V7" s="4"/>
      <c r="W7" s="4"/>
      <c r="X7" s="4"/>
    </row>
    <row r="8" spans="1:26" ht="12.75" customHeight="1" x14ac:dyDescent="0.25">
      <c r="A8" s="129" t="s">
        <v>17</v>
      </c>
      <c r="B8" s="130">
        <v>100</v>
      </c>
      <c r="C8" s="130">
        <v>100</v>
      </c>
      <c r="D8" s="130">
        <v>100</v>
      </c>
      <c r="E8" s="662">
        <v>100</v>
      </c>
      <c r="F8" s="662">
        <v>100</v>
      </c>
      <c r="G8" s="662">
        <v>100</v>
      </c>
      <c r="H8" s="662">
        <v>100</v>
      </c>
      <c r="I8" s="662">
        <v>100</v>
      </c>
      <c r="J8" s="662">
        <v>100</v>
      </c>
      <c r="K8" s="662">
        <v>100</v>
      </c>
      <c r="L8" s="4"/>
      <c r="M8" s="4"/>
      <c r="N8" s="4"/>
      <c r="O8" s="4"/>
      <c r="P8" s="4"/>
      <c r="Q8" s="4"/>
      <c r="R8" s="4"/>
      <c r="S8" s="4"/>
      <c r="T8" s="4"/>
      <c r="U8" s="4"/>
      <c r="V8" s="4"/>
      <c r="W8" s="4"/>
      <c r="X8" s="4"/>
    </row>
    <row r="9" spans="1:26" ht="12.75" customHeight="1" x14ac:dyDescent="0.25">
      <c r="A9" s="129" t="s">
        <v>18</v>
      </c>
      <c r="B9" s="130"/>
      <c r="C9" s="130"/>
      <c r="D9" s="130"/>
      <c r="E9" s="662"/>
      <c r="F9" s="662"/>
      <c r="G9" s="662"/>
      <c r="H9" s="662"/>
      <c r="I9" s="662"/>
      <c r="J9" s="662">
        <f>J8+H12</f>
        <v>65.319999999999993</v>
      </c>
      <c r="K9" s="664"/>
      <c r="L9" s="4"/>
      <c r="M9" s="4"/>
      <c r="N9" s="4"/>
      <c r="O9" s="4"/>
      <c r="P9" s="4"/>
      <c r="Q9" s="4"/>
      <c r="R9" s="4"/>
      <c r="S9" s="4"/>
      <c r="T9" s="4"/>
      <c r="U9" s="4"/>
      <c r="V9" s="4"/>
      <c r="W9" s="4"/>
      <c r="X9" s="4"/>
    </row>
    <row r="10" spans="1:26" ht="12.75" customHeight="1" x14ac:dyDescent="0.25">
      <c r="A10" s="129" t="s">
        <v>19</v>
      </c>
      <c r="B10" s="663"/>
      <c r="C10" s="663"/>
      <c r="D10" s="663"/>
      <c r="E10" s="662"/>
      <c r="F10" s="662"/>
      <c r="G10" s="662"/>
      <c r="H10" s="662"/>
      <c r="I10" s="662"/>
      <c r="J10" s="662"/>
      <c r="K10" s="662"/>
      <c r="L10" s="4"/>
      <c r="M10" s="4"/>
      <c r="N10" s="4"/>
      <c r="O10" s="4"/>
      <c r="P10" s="4"/>
      <c r="Q10" s="4"/>
      <c r="R10" s="4"/>
      <c r="S10" s="4"/>
      <c r="T10" s="4"/>
      <c r="U10" s="4"/>
      <c r="V10" s="4"/>
      <c r="W10" s="4"/>
      <c r="X10" s="4"/>
    </row>
    <row r="11" spans="1:26" ht="12.6" customHeight="1" x14ac:dyDescent="0.25">
      <c r="A11" s="129" t="s">
        <v>20</v>
      </c>
      <c r="B11" s="130">
        <v>0</v>
      </c>
      <c r="C11" s="130">
        <v>13.5</v>
      </c>
      <c r="D11" s="130">
        <v>0</v>
      </c>
      <c r="E11" s="664">
        <v>0</v>
      </c>
      <c r="F11" s="664">
        <v>0</v>
      </c>
      <c r="G11" s="664">
        <v>45.082000000000001</v>
      </c>
      <c r="H11" s="664">
        <v>134.68</v>
      </c>
      <c r="I11" s="664">
        <v>22.178999999999998</v>
      </c>
      <c r="J11" s="664">
        <v>32.44</v>
      </c>
      <c r="K11" s="664"/>
      <c r="L11" s="4"/>
      <c r="M11" s="4"/>
      <c r="N11" s="4"/>
      <c r="O11" s="4"/>
      <c r="P11" s="4"/>
      <c r="Q11" s="4"/>
      <c r="R11" s="4"/>
      <c r="S11" s="4"/>
      <c r="T11" s="4"/>
      <c r="U11" s="4"/>
      <c r="V11" s="4"/>
      <c r="W11" s="4"/>
      <c r="X11" s="4"/>
    </row>
    <row r="12" spans="1:26" ht="12.75" customHeight="1" x14ac:dyDescent="0.25">
      <c r="A12" s="129" t="s">
        <v>21</v>
      </c>
      <c r="B12" s="130"/>
      <c r="C12" s="130">
        <v>86.5</v>
      </c>
      <c r="D12" s="130">
        <v>100</v>
      </c>
      <c r="E12" s="662">
        <v>100</v>
      </c>
      <c r="F12" s="662">
        <v>100</v>
      </c>
      <c r="G12" s="662">
        <v>54.917999999999999</v>
      </c>
      <c r="H12" s="669">
        <v>-34.680000000000007</v>
      </c>
      <c r="I12" s="664">
        <f>I8-I11</f>
        <v>77.820999999999998</v>
      </c>
      <c r="J12" s="664">
        <f>J9-J11</f>
        <v>32.879999999999995</v>
      </c>
      <c r="K12" s="664"/>
      <c r="L12" s="4"/>
      <c r="M12" s="4"/>
      <c r="N12" s="4"/>
      <c r="O12" s="4"/>
      <c r="P12" s="4"/>
      <c r="Q12" s="4"/>
      <c r="R12" s="4"/>
      <c r="S12" s="4"/>
      <c r="T12" s="4"/>
      <c r="U12" s="4"/>
      <c r="V12" s="4"/>
      <c r="W12" s="4"/>
      <c r="X12" s="4"/>
    </row>
    <row r="13" spans="1:26" ht="12.75" customHeight="1" x14ac:dyDescent="0.25">
      <c r="A13" s="272" t="s">
        <v>22</v>
      </c>
      <c r="B13" s="665"/>
      <c r="C13" s="665"/>
      <c r="D13" s="665"/>
      <c r="E13" s="666"/>
      <c r="F13" s="666"/>
      <c r="G13" s="666"/>
      <c r="H13" s="666">
        <v>2024</v>
      </c>
      <c r="I13" s="666">
        <v>2025</v>
      </c>
      <c r="J13" s="666">
        <v>2026</v>
      </c>
      <c r="K13" s="666">
        <v>2027</v>
      </c>
      <c r="L13" s="4"/>
      <c r="M13" s="4"/>
      <c r="N13" s="4"/>
      <c r="O13" s="4"/>
      <c r="P13" s="4"/>
      <c r="Q13" s="4"/>
      <c r="R13" s="4"/>
      <c r="S13" s="4"/>
      <c r="T13" s="4"/>
      <c r="U13" s="4"/>
      <c r="V13" s="4"/>
      <c r="W13" s="4"/>
      <c r="X13" s="4"/>
    </row>
    <row r="14" spans="1:26" ht="12.75" customHeight="1" x14ac:dyDescent="0.25">
      <c r="A14" s="436" t="s">
        <v>23</v>
      </c>
      <c r="B14" s="656"/>
      <c r="C14" s="647"/>
      <c r="D14" s="647"/>
      <c r="E14" s="656"/>
      <c r="F14" s="656"/>
      <c r="G14" s="667"/>
      <c r="H14" s="667"/>
      <c r="I14" s="667"/>
      <c r="J14" s="668"/>
      <c r="K14" s="668"/>
      <c r="L14" s="4"/>
      <c r="M14" s="4"/>
      <c r="N14" s="4"/>
      <c r="O14" s="4"/>
      <c r="P14" s="4"/>
      <c r="Q14" s="4"/>
      <c r="R14" s="4"/>
      <c r="S14" s="4"/>
      <c r="T14" s="4"/>
      <c r="U14" s="4"/>
      <c r="V14" s="4"/>
      <c r="W14" s="4"/>
      <c r="X14" s="4"/>
      <c r="Y14" s="4"/>
      <c r="Z14" s="4"/>
    </row>
    <row r="15" spans="1:26" s="5" customFormat="1" ht="13.8" x14ac:dyDescent="0.3"/>
    <row r="16" spans="1:26" ht="13.8" x14ac:dyDescent="0.3">
      <c r="A16" s="6" t="s">
        <v>12</v>
      </c>
      <c r="B16" s="7" t="s">
        <v>756</v>
      </c>
      <c r="C16" s="8"/>
      <c r="F16" s="1"/>
      <c r="G16" s="2"/>
    </row>
    <row r="17" spans="1:7" ht="13.8" x14ac:dyDescent="0.3">
      <c r="A17" s="6" t="s">
        <v>14</v>
      </c>
      <c r="B17" s="7" t="s">
        <v>642</v>
      </c>
      <c r="C17" s="9" t="s">
        <v>15</v>
      </c>
      <c r="F17" s="1"/>
      <c r="G17" s="2"/>
    </row>
    <row r="18" spans="1:7" x14ac:dyDescent="0.25">
      <c r="A18" s="10" t="s">
        <v>16</v>
      </c>
      <c r="B18" s="11"/>
      <c r="C18" s="11">
        <v>2021</v>
      </c>
      <c r="D18" s="11">
        <v>2022</v>
      </c>
      <c r="E18" s="11">
        <v>2023</v>
      </c>
      <c r="F18" s="11">
        <v>2024</v>
      </c>
      <c r="G18" s="11">
        <v>2025</v>
      </c>
    </row>
    <row r="19" spans="1:7" x14ac:dyDescent="0.25">
      <c r="A19" s="10" t="s">
        <v>17</v>
      </c>
      <c r="B19" s="12"/>
      <c r="C19" s="12">
        <v>170</v>
      </c>
      <c r="D19" s="12">
        <v>170</v>
      </c>
      <c r="E19" s="12">
        <v>264</v>
      </c>
      <c r="F19" s="12">
        <v>264</v>
      </c>
      <c r="G19" s="12">
        <v>264</v>
      </c>
    </row>
    <row r="20" spans="1:7" x14ac:dyDescent="0.25">
      <c r="A20" s="10" t="s">
        <v>18</v>
      </c>
      <c r="B20" s="12"/>
      <c r="C20" s="12"/>
      <c r="D20" s="12">
        <f>D19+0.05*C19</f>
        <v>178.5</v>
      </c>
      <c r="E20" s="12"/>
      <c r="F20" s="12"/>
      <c r="G20" s="12"/>
    </row>
    <row r="21" spans="1:7" x14ac:dyDescent="0.25">
      <c r="A21" s="10" t="s">
        <v>19</v>
      </c>
      <c r="B21" s="13"/>
      <c r="C21" s="14"/>
      <c r="D21" s="14" t="s">
        <v>757</v>
      </c>
      <c r="E21" s="14"/>
      <c r="F21" s="14"/>
      <c r="G21" s="14"/>
    </row>
    <row r="22" spans="1:7" x14ac:dyDescent="0.25">
      <c r="A22" s="10" t="s">
        <v>20</v>
      </c>
      <c r="B22" s="12"/>
      <c r="C22" s="12">
        <v>148.4</v>
      </c>
      <c r="D22" s="12">
        <v>177.5</v>
      </c>
      <c r="E22" s="12">
        <v>263.86921999999998</v>
      </c>
      <c r="F22" s="15">
        <v>262.95</v>
      </c>
      <c r="G22" s="15"/>
    </row>
    <row r="23" spans="1:7" x14ac:dyDescent="0.25">
      <c r="A23" s="10" t="s">
        <v>21</v>
      </c>
      <c r="B23" s="12"/>
      <c r="C23" s="12">
        <f>C19-C22</f>
        <v>21.599999999999994</v>
      </c>
      <c r="D23" s="12">
        <f>D20-D22</f>
        <v>1</v>
      </c>
      <c r="E23" s="12">
        <f>E19-E22</f>
        <v>0.13078000000001566</v>
      </c>
      <c r="F23" s="15">
        <f>F19-F22</f>
        <v>1.0500000000000114</v>
      </c>
      <c r="G23" s="15"/>
    </row>
    <row r="24" spans="1:7" x14ac:dyDescent="0.25">
      <c r="A24" s="16" t="s">
        <v>22</v>
      </c>
      <c r="B24" s="17"/>
      <c r="C24" s="17">
        <v>2022</v>
      </c>
      <c r="D24" s="17">
        <v>2023</v>
      </c>
      <c r="E24" s="17">
        <v>2024</v>
      </c>
      <c r="F24" s="17">
        <v>2025</v>
      </c>
      <c r="G24" s="17">
        <v>2026</v>
      </c>
    </row>
    <row r="25" spans="1:7" ht="13.8" x14ac:dyDescent="0.3">
      <c r="A25" s="18" t="s">
        <v>23</v>
      </c>
      <c r="B25" s="19"/>
      <c r="C25" s="19"/>
      <c r="D25" s="19"/>
      <c r="E25" s="19"/>
      <c r="F25" s="20"/>
      <c r="G25" s="21"/>
    </row>
    <row r="26" spans="1:7" ht="31.95" customHeight="1" x14ac:dyDescent="0.3">
      <c r="A26" s="710" t="s">
        <v>758</v>
      </c>
      <c r="B26" s="711"/>
      <c r="C26" s="711"/>
      <c r="D26" s="711"/>
      <c r="E26" s="711"/>
      <c r="F26" s="23"/>
      <c r="G26" s="24"/>
    </row>
    <row r="27" spans="1:7" ht="13.8" x14ac:dyDescent="0.3">
      <c r="A27" s="1"/>
      <c r="B27" s="2"/>
      <c r="C27" s="2"/>
      <c r="D27" s="2"/>
      <c r="E27" s="2"/>
      <c r="F27" s="1"/>
      <c r="G27" s="2"/>
    </row>
    <row r="28" spans="1:7" s="5" customFormat="1" ht="13.8" x14ac:dyDescent="0.3"/>
    <row r="29" spans="1:7" ht="13.8" x14ac:dyDescent="0.3">
      <c r="A29" s="6" t="s">
        <v>12</v>
      </c>
      <c r="B29" s="7" t="s">
        <v>980</v>
      </c>
      <c r="C29" s="8"/>
      <c r="F29" s="1"/>
      <c r="G29" s="2"/>
    </row>
    <row r="30" spans="1:7" ht="13.8" x14ac:dyDescent="0.3">
      <c r="A30" s="6" t="s">
        <v>14</v>
      </c>
      <c r="B30" s="7" t="s">
        <v>642</v>
      </c>
      <c r="C30" s="9" t="s">
        <v>15</v>
      </c>
      <c r="F30" s="1"/>
      <c r="G30" s="2"/>
    </row>
    <row r="31" spans="1:7" x14ac:dyDescent="0.25">
      <c r="A31" s="10" t="s">
        <v>16</v>
      </c>
      <c r="B31" s="11"/>
      <c r="C31" s="11">
        <v>2023</v>
      </c>
      <c r="D31" s="11">
        <v>2024</v>
      </c>
      <c r="E31" s="587">
        <v>2025</v>
      </c>
      <c r="F31" s="2"/>
    </row>
    <row r="32" spans="1:7" x14ac:dyDescent="0.25">
      <c r="A32" s="10" t="s">
        <v>17</v>
      </c>
      <c r="B32" s="12"/>
      <c r="C32" s="12">
        <v>2023</v>
      </c>
      <c r="D32" s="12">
        <v>2023</v>
      </c>
      <c r="E32" s="588">
        <v>2023</v>
      </c>
      <c r="F32" s="2"/>
    </row>
    <row r="33" spans="1:9" x14ac:dyDescent="0.25">
      <c r="A33" s="10" t="s">
        <v>18</v>
      </c>
      <c r="B33" s="12"/>
      <c r="C33" s="12"/>
      <c r="D33" s="12">
        <f>D32+23</f>
        <v>2046</v>
      </c>
      <c r="E33" s="27">
        <v>2052.65</v>
      </c>
      <c r="F33" s="2"/>
    </row>
    <row r="34" spans="1:9" ht="26.4" x14ac:dyDescent="0.25">
      <c r="A34" s="10" t="s">
        <v>19</v>
      </c>
      <c r="B34" s="13"/>
      <c r="C34" s="14"/>
      <c r="D34" s="14" t="s">
        <v>981</v>
      </c>
      <c r="E34" s="28" t="s">
        <v>1134</v>
      </c>
      <c r="F34" s="2"/>
    </row>
    <row r="35" spans="1:9" x14ac:dyDescent="0.25">
      <c r="A35" s="10" t="s">
        <v>20</v>
      </c>
      <c r="B35" s="12"/>
      <c r="C35" s="12">
        <v>1999.9290000000001</v>
      </c>
      <c r="D35" s="15">
        <v>2011.35</v>
      </c>
      <c r="E35" s="588"/>
      <c r="F35" s="2"/>
    </row>
    <row r="36" spans="1:9" x14ac:dyDescent="0.25">
      <c r="A36" s="10" t="s">
        <v>21</v>
      </c>
      <c r="B36" s="12"/>
      <c r="C36" s="12">
        <f>C32-C35</f>
        <v>23.070999999999913</v>
      </c>
      <c r="D36" s="15">
        <f>D33-D35</f>
        <v>34.650000000000091</v>
      </c>
      <c r="E36" s="588"/>
      <c r="F36" s="2"/>
    </row>
    <row r="37" spans="1:9" x14ac:dyDescent="0.25">
      <c r="A37" s="16" t="s">
        <v>22</v>
      </c>
      <c r="B37" s="17"/>
      <c r="C37" s="17">
        <v>2024</v>
      </c>
      <c r="D37" s="17">
        <v>2025</v>
      </c>
      <c r="E37" s="589">
        <v>2026</v>
      </c>
      <c r="F37" s="2"/>
    </row>
    <row r="38" spans="1:9" ht="13.8" x14ac:dyDescent="0.3">
      <c r="A38" s="29" t="s">
        <v>23</v>
      </c>
      <c r="B38" s="30"/>
      <c r="C38" s="30"/>
      <c r="D38" s="30"/>
      <c r="E38" s="31"/>
      <c r="F38" s="2"/>
    </row>
    <row r="39" spans="1:9" ht="31.95" customHeight="1" x14ac:dyDescent="0.3">
      <c r="A39" s="691" t="s">
        <v>982</v>
      </c>
      <c r="B39" s="691"/>
      <c r="C39" s="691"/>
      <c r="D39" s="691"/>
      <c r="E39" s="1"/>
      <c r="F39" s="2"/>
    </row>
    <row r="40" spans="1:9" s="34" customFormat="1" ht="31.95" customHeight="1" x14ac:dyDescent="0.3">
      <c r="A40" s="725" t="s">
        <v>1133</v>
      </c>
      <c r="B40" s="725"/>
      <c r="C40" s="725"/>
      <c r="D40" s="725"/>
      <c r="E40" s="23"/>
      <c r="F40" s="33"/>
    </row>
    <row r="41" spans="1:9" ht="13.8" x14ac:dyDescent="0.3">
      <c r="A41" s="35"/>
      <c r="B41" s="35"/>
      <c r="C41" s="35"/>
      <c r="D41" s="35"/>
      <c r="E41" s="1"/>
      <c r="F41" s="2"/>
    </row>
    <row r="42" spans="1:9" ht="13.8" x14ac:dyDescent="0.3">
      <c r="A42" s="1"/>
      <c r="B42" s="2"/>
      <c r="C42" s="2"/>
      <c r="D42" s="2"/>
      <c r="E42" s="2"/>
      <c r="F42" s="1"/>
      <c r="G42" s="2"/>
    </row>
    <row r="43" spans="1:9" x14ac:dyDescent="0.25">
      <c r="A43" s="6" t="s">
        <v>12</v>
      </c>
      <c r="B43" s="7" t="s">
        <v>202</v>
      </c>
      <c r="C43" s="8"/>
    </row>
    <row r="44" spans="1:9" x14ac:dyDescent="0.25">
      <c r="A44" s="6" t="s">
        <v>14</v>
      </c>
      <c r="B44" s="7" t="s">
        <v>624</v>
      </c>
      <c r="C44" s="9" t="s">
        <v>15</v>
      </c>
    </row>
    <row r="45" spans="1:9" x14ac:dyDescent="0.25">
      <c r="A45" s="10" t="s">
        <v>16</v>
      </c>
      <c r="B45" s="11"/>
      <c r="C45" s="11">
        <v>2019</v>
      </c>
      <c r="D45" s="11">
        <v>2020</v>
      </c>
      <c r="E45" s="11">
        <v>2021</v>
      </c>
      <c r="F45" s="11">
        <v>2022</v>
      </c>
      <c r="G45" s="11">
        <v>2023</v>
      </c>
      <c r="H45" s="11">
        <v>2024</v>
      </c>
      <c r="I45" s="587">
        <v>2025</v>
      </c>
    </row>
    <row r="46" spans="1:9" x14ac:dyDescent="0.25">
      <c r="A46" s="10" t="s">
        <v>17</v>
      </c>
      <c r="B46" s="12"/>
      <c r="C46" s="12">
        <v>215</v>
      </c>
      <c r="D46" s="12">
        <v>215</v>
      </c>
      <c r="E46" s="12">
        <v>242</v>
      </c>
      <c r="F46" s="12">
        <v>242</v>
      </c>
      <c r="G46" s="12">
        <v>242</v>
      </c>
      <c r="H46" s="12">
        <v>302</v>
      </c>
      <c r="I46" s="588">
        <v>302</v>
      </c>
    </row>
    <row r="47" spans="1:9" x14ac:dyDescent="0.25">
      <c r="A47" s="10" t="s">
        <v>18</v>
      </c>
      <c r="B47" s="12"/>
      <c r="C47" s="12">
        <v>265</v>
      </c>
      <c r="D47" s="12">
        <v>265</v>
      </c>
      <c r="E47" s="12">
        <f>E46+0.25*C46</f>
        <v>295.75</v>
      </c>
      <c r="F47" s="12">
        <f>F46+0.25*D46</f>
        <v>295.75</v>
      </c>
      <c r="G47" s="12">
        <f>G46+0.25*E46</f>
        <v>302.5</v>
      </c>
      <c r="H47" s="12">
        <f>H46+0.25*F46</f>
        <v>362.5</v>
      </c>
      <c r="I47" s="588">
        <f>I46+0.25*G46</f>
        <v>362.5</v>
      </c>
    </row>
    <row r="48" spans="1:9" x14ac:dyDescent="0.25">
      <c r="A48" s="10" t="s">
        <v>19</v>
      </c>
      <c r="B48" s="13"/>
      <c r="C48" s="14">
        <v>1</v>
      </c>
      <c r="D48" s="14">
        <v>2</v>
      </c>
      <c r="E48" s="14">
        <v>3</v>
      </c>
      <c r="F48" s="14">
        <v>4</v>
      </c>
      <c r="G48" s="14">
        <v>5</v>
      </c>
      <c r="H48" s="14">
        <v>6</v>
      </c>
      <c r="I48" s="590">
        <v>7</v>
      </c>
    </row>
    <row r="49" spans="1:9" x14ac:dyDescent="0.25">
      <c r="A49" s="10" t="s">
        <v>20</v>
      </c>
      <c r="B49" s="12"/>
      <c r="C49" s="12">
        <v>7.12</v>
      </c>
      <c r="D49" s="12">
        <v>10.18</v>
      </c>
      <c r="E49" s="12">
        <v>12.5</v>
      </c>
      <c r="F49" s="12">
        <v>11.74</v>
      </c>
      <c r="G49" s="12">
        <v>13.9</v>
      </c>
      <c r="H49" s="12">
        <v>4.1399999999999997</v>
      </c>
      <c r="I49" s="588"/>
    </row>
    <row r="50" spans="1:9" x14ac:dyDescent="0.25">
      <c r="A50" s="10" t="s">
        <v>21</v>
      </c>
      <c r="B50" s="12"/>
      <c r="C50" s="12">
        <f t="shared" ref="C50:H50" si="0">C47-C49</f>
        <v>257.88</v>
      </c>
      <c r="D50" s="12">
        <f t="shared" si="0"/>
        <v>254.82</v>
      </c>
      <c r="E50" s="12">
        <f t="shared" si="0"/>
        <v>283.25</v>
      </c>
      <c r="F50" s="12">
        <f t="shared" si="0"/>
        <v>284.01</v>
      </c>
      <c r="G50" s="12">
        <f t="shared" si="0"/>
        <v>288.60000000000002</v>
      </c>
      <c r="H50" s="12">
        <f t="shared" si="0"/>
        <v>358.36</v>
      </c>
      <c r="I50" s="588"/>
    </row>
    <row r="51" spans="1:9" x14ac:dyDescent="0.25">
      <c r="A51" s="16" t="s">
        <v>22</v>
      </c>
      <c r="B51" s="17"/>
      <c r="C51" s="17">
        <v>2021</v>
      </c>
      <c r="D51" s="17">
        <v>2022</v>
      </c>
      <c r="E51" s="17">
        <v>2023</v>
      </c>
      <c r="F51" s="17">
        <v>2024</v>
      </c>
      <c r="G51" s="17">
        <v>2025</v>
      </c>
      <c r="H51" s="17">
        <v>2026</v>
      </c>
      <c r="I51" s="589">
        <v>2027</v>
      </c>
    </row>
    <row r="52" spans="1:9" x14ac:dyDescent="0.25">
      <c r="A52" s="10" t="s">
        <v>23</v>
      </c>
      <c r="B52" s="36"/>
      <c r="C52" s="36"/>
      <c r="D52" s="36"/>
      <c r="E52" s="36"/>
      <c r="F52" s="36"/>
      <c r="G52" s="37"/>
      <c r="H52" s="38"/>
      <c r="I52" s="38"/>
    </row>
    <row r="53" spans="1:9" x14ac:dyDescent="0.25">
      <c r="A53" s="18" t="s">
        <v>984</v>
      </c>
      <c r="B53" s="19"/>
      <c r="C53" s="19"/>
      <c r="D53" s="19"/>
      <c r="E53" s="19"/>
      <c r="F53" s="19"/>
      <c r="G53" s="63"/>
      <c r="H53" s="591"/>
      <c r="I53" s="591"/>
    </row>
    <row r="54" spans="1:9" x14ac:dyDescent="0.25">
      <c r="A54" s="18">
        <v>1</v>
      </c>
      <c r="B54" s="19" t="s">
        <v>759</v>
      </c>
      <c r="C54" s="19"/>
      <c r="D54" s="19"/>
      <c r="E54" s="19"/>
      <c r="F54" s="19"/>
      <c r="G54" s="19"/>
      <c r="H54" s="592"/>
      <c r="I54" s="591"/>
    </row>
    <row r="55" spans="1:9" x14ac:dyDescent="0.25">
      <c r="A55" s="39">
        <v>2</v>
      </c>
      <c r="B55" s="3" t="s">
        <v>760</v>
      </c>
      <c r="H55" s="45"/>
      <c r="I55" s="40"/>
    </row>
    <row r="56" spans="1:9" x14ac:dyDescent="0.25">
      <c r="A56" s="39">
        <v>3</v>
      </c>
      <c r="B56" s="3" t="s">
        <v>761</v>
      </c>
      <c r="H56" s="45"/>
      <c r="I56" s="40"/>
    </row>
    <row r="57" spans="1:9" x14ac:dyDescent="0.25">
      <c r="A57" s="39">
        <v>4</v>
      </c>
      <c r="B57" s="3" t="s">
        <v>762</v>
      </c>
      <c r="H57" s="45"/>
      <c r="I57" s="40"/>
    </row>
    <row r="58" spans="1:9" x14ac:dyDescent="0.25">
      <c r="A58" s="39">
        <v>5</v>
      </c>
      <c r="B58" s="3" t="s">
        <v>763</v>
      </c>
      <c r="H58" s="45"/>
      <c r="I58" s="40"/>
    </row>
    <row r="59" spans="1:9" x14ac:dyDescent="0.25">
      <c r="A59" s="39">
        <v>6</v>
      </c>
      <c r="B59" s="3" t="s">
        <v>983</v>
      </c>
      <c r="H59" s="45"/>
      <c r="I59" s="40"/>
    </row>
    <row r="60" spans="1:9" s="45" customFormat="1" x14ac:dyDescent="0.25">
      <c r="A60" s="42">
        <v>7</v>
      </c>
      <c r="B60" s="43" t="s">
        <v>1114</v>
      </c>
      <c r="C60" s="43"/>
      <c r="D60" s="43"/>
      <c r="E60" s="43"/>
      <c r="F60" s="43"/>
      <c r="G60" s="43"/>
      <c r="H60" s="43"/>
      <c r="I60" s="44"/>
    </row>
    <row r="62" spans="1:9" x14ac:dyDescent="0.25">
      <c r="A62" s="6" t="s">
        <v>14</v>
      </c>
      <c r="B62" s="7" t="s">
        <v>623</v>
      </c>
      <c r="C62" s="9" t="s">
        <v>15</v>
      </c>
    </row>
    <row r="63" spans="1:9" x14ac:dyDescent="0.25">
      <c r="A63" s="10" t="s">
        <v>16</v>
      </c>
      <c r="B63" s="11">
        <v>2018</v>
      </c>
      <c r="C63" s="11">
        <v>2019</v>
      </c>
      <c r="D63" s="11">
        <v>2020</v>
      </c>
      <c r="E63" s="11">
        <v>2021</v>
      </c>
      <c r="F63" s="11">
        <v>2022</v>
      </c>
      <c r="G63" s="11">
        <v>2023</v>
      </c>
      <c r="H63" s="11">
        <v>2024</v>
      </c>
      <c r="I63" s="11">
        <v>2025</v>
      </c>
    </row>
    <row r="64" spans="1:9" x14ac:dyDescent="0.25">
      <c r="A64" s="10" t="s">
        <v>17</v>
      </c>
      <c r="B64" s="12">
        <v>45</v>
      </c>
      <c r="C64" s="12">
        <v>45</v>
      </c>
      <c r="D64" s="12">
        <v>45</v>
      </c>
      <c r="E64" s="12">
        <v>45</v>
      </c>
      <c r="F64" s="12">
        <v>45</v>
      </c>
      <c r="G64" s="12">
        <v>45</v>
      </c>
      <c r="H64" s="12">
        <v>45</v>
      </c>
      <c r="I64" s="12">
        <v>45</v>
      </c>
    </row>
    <row r="65" spans="1:15" x14ac:dyDescent="0.25">
      <c r="A65" s="10" t="s">
        <v>18</v>
      </c>
      <c r="B65" s="12">
        <v>63</v>
      </c>
      <c r="C65" s="12">
        <v>63</v>
      </c>
      <c r="D65" s="12">
        <v>63</v>
      </c>
      <c r="E65" s="12">
        <v>63</v>
      </c>
      <c r="F65" s="12">
        <v>63</v>
      </c>
      <c r="G65" s="12">
        <v>63</v>
      </c>
      <c r="H65" s="12">
        <v>63</v>
      </c>
      <c r="I65" s="12">
        <v>63</v>
      </c>
    </row>
    <row r="66" spans="1:15" x14ac:dyDescent="0.25">
      <c r="A66" s="10" t="s">
        <v>19</v>
      </c>
      <c r="B66" s="11" t="s">
        <v>300</v>
      </c>
      <c r="C66" s="11" t="s">
        <v>300</v>
      </c>
      <c r="D66" s="11" t="s">
        <v>300</v>
      </c>
      <c r="E66" s="11" t="s">
        <v>300</v>
      </c>
      <c r="F66" s="11" t="s">
        <v>300</v>
      </c>
      <c r="G66" s="11" t="s">
        <v>300</v>
      </c>
      <c r="H66" s="11" t="s">
        <v>300</v>
      </c>
      <c r="I66" s="11" t="s">
        <v>300</v>
      </c>
    </row>
    <row r="67" spans="1:15" x14ac:dyDescent="0.25">
      <c r="A67" s="10" t="s">
        <v>20</v>
      </c>
      <c r="B67" s="12">
        <v>18.100000000000001</v>
      </c>
      <c r="C67" s="12">
        <v>9.9499999999999993</v>
      </c>
      <c r="D67" s="12">
        <v>11.79</v>
      </c>
      <c r="E67" s="12">
        <v>13.29</v>
      </c>
      <c r="F67" s="12">
        <v>8.1999999999999993</v>
      </c>
      <c r="G67" s="12">
        <v>9.4700000000000006</v>
      </c>
      <c r="H67" s="12">
        <v>8.7100000000000009</v>
      </c>
      <c r="I67" s="12"/>
    </row>
    <row r="68" spans="1:15" x14ac:dyDescent="0.25">
      <c r="A68" s="10" t="s">
        <v>21</v>
      </c>
      <c r="B68" s="12">
        <f t="shared" ref="B68:H68" si="1">B65-B67</f>
        <v>44.9</v>
      </c>
      <c r="C68" s="12">
        <f t="shared" si="1"/>
        <v>53.05</v>
      </c>
      <c r="D68" s="12">
        <f t="shared" si="1"/>
        <v>51.21</v>
      </c>
      <c r="E68" s="12">
        <f t="shared" si="1"/>
        <v>49.71</v>
      </c>
      <c r="F68" s="12">
        <f t="shared" si="1"/>
        <v>54.8</v>
      </c>
      <c r="G68" s="12">
        <f t="shared" si="1"/>
        <v>53.53</v>
      </c>
      <c r="H68" s="12">
        <f t="shared" si="1"/>
        <v>54.29</v>
      </c>
      <c r="I68" s="12"/>
    </row>
    <row r="69" spans="1:15" x14ac:dyDescent="0.25">
      <c r="A69" s="16" t="s">
        <v>22</v>
      </c>
      <c r="B69" s="17">
        <v>2020</v>
      </c>
      <c r="C69" s="17">
        <v>2021</v>
      </c>
      <c r="D69" s="17">
        <v>2022</v>
      </c>
      <c r="E69" s="17">
        <v>2023</v>
      </c>
      <c r="F69" s="17">
        <v>2024</v>
      </c>
      <c r="G69" s="17">
        <v>2025</v>
      </c>
      <c r="H69" s="17">
        <v>2026</v>
      </c>
      <c r="I69" s="17">
        <v>2027</v>
      </c>
    </row>
    <row r="70" spans="1:15" x14ac:dyDescent="0.25">
      <c r="A70" s="18" t="s">
        <v>154</v>
      </c>
      <c r="B70" s="19"/>
      <c r="C70" s="19"/>
      <c r="D70" s="19"/>
      <c r="E70" s="19"/>
      <c r="F70" s="19"/>
      <c r="G70" s="19"/>
      <c r="H70" s="19"/>
      <c r="I70" s="63"/>
    </row>
    <row r="71" spans="1:15" x14ac:dyDescent="0.25">
      <c r="A71" s="41" t="s">
        <v>985</v>
      </c>
      <c r="B71" s="34"/>
      <c r="C71" s="34"/>
      <c r="D71" s="34"/>
      <c r="E71" s="34"/>
      <c r="F71" s="34"/>
      <c r="G71" s="34"/>
      <c r="H71" s="34"/>
      <c r="I71" s="48"/>
    </row>
    <row r="73" spans="1:15" s="50" customFormat="1" ht="14.4" x14ac:dyDescent="0.3">
      <c r="A73" s="9" t="s">
        <v>14</v>
      </c>
      <c r="B73" s="9" t="s">
        <v>74</v>
      </c>
      <c r="C73" s="9" t="s">
        <v>15</v>
      </c>
      <c r="D73" s="49"/>
      <c r="E73" s="49"/>
      <c r="F73" s="49"/>
      <c r="G73" s="49"/>
      <c r="H73" s="49"/>
      <c r="I73" s="49"/>
      <c r="J73" s="49"/>
      <c r="K73" s="49"/>
      <c r="L73" s="49"/>
      <c r="M73" s="3"/>
    </row>
    <row r="74" spans="1:15" s="50" customFormat="1" ht="14.4" x14ac:dyDescent="0.3">
      <c r="A74" s="11" t="s">
        <v>16</v>
      </c>
      <c r="B74" s="11">
        <v>2013</v>
      </c>
      <c r="C74" s="11">
        <v>2014</v>
      </c>
      <c r="D74" s="51">
        <v>2015</v>
      </c>
      <c r="E74" s="11">
        <v>2016</v>
      </c>
      <c r="F74" s="51">
        <v>2017</v>
      </c>
      <c r="G74" s="11">
        <v>2018</v>
      </c>
      <c r="H74" s="51">
        <v>2019</v>
      </c>
      <c r="I74" s="11">
        <v>2020</v>
      </c>
      <c r="J74" s="51">
        <v>2021</v>
      </c>
      <c r="K74" s="51">
        <v>2022</v>
      </c>
      <c r="L74" s="51">
        <v>2023</v>
      </c>
      <c r="M74" s="51">
        <v>2024</v>
      </c>
      <c r="N74" s="51">
        <v>2025</v>
      </c>
      <c r="O74" s="51">
        <v>2026</v>
      </c>
    </row>
    <row r="75" spans="1:15" s="50" customFormat="1" ht="14.4" x14ac:dyDescent="0.3">
      <c r="A75" s="11" t="s">
        <v>17</v>
      </c>
      <c r="B75" s="11">
        <v>10</v>
      </c>
      <c r="C75" s="11">
        <v>10</v>
      </c>
      <c r="D75" s="11">
        <v>10</v>
      </c>
      <c r="E75" s="11">
        <v>10</v>
      </c>
      <c r="F75" s="11">
        <v>10</v>
      </c>
      <c r="G75" s="11">
        <v>10</v>
      </c>
      <c r="H75" s="11">
        <v>10</v>
      </c>
      <c r="I75" s="11">
        <v>10</v>
      </c>
      <c r="J75" s="11">
        <v>10</v>
      </c>
      <c r="K75" s="11">
        <v>10</v>
      </c>
      <c r="L75" s="11">
        <v>10</v>
      </c>
      <c r="M75" s="11">
        <v>10</v>
      </c>
      <c r="N75" s="11">
        <v>10</v>
      </c>
      <c r="O75" s="11">
        <v>10</v>
      </c>
    </row>
    <row r="76" spans="1:15" s="50" customFormat="1" ht="14.4" x14ac:dyDescent="0.3">
      <c r="A76" s="11" t="s">
        <v>18</v>
      </c>
      <c r="B76" s="11"/>
      <c r="C76" s="11"/>
      <c r="D76" s="11">
        <f t="shared" ref="D76:J76" si="2">D75+B79</f>
        <v>8.98</v>
      </c>
      <c r="E76" s="12">
        <f t="shared" si="2"/>
        <v>8.41</v>
      </c>
      <c r="F76" s="12">
        <f t="shared" si="2"/>
        <v>-14.739999999999998</v>
      </c>
      <c r="G76" s="12">
        <f t="shared" si="2"/>
        <v>7.2100000000000009</v>
      </c>
      <c r="H76" s="12">
        <f t="shared" si="2"/>
        <v>-28.769999999999996</v>
      </c>
      <c r="I76" s="12">
        <f t="shared" si="2"/>
        <v>3.66</v>
      </c>
      <c r="J76" s="12">
        <f t="shared" si="2"/>
        <v>-32.25</v>
      </c>
      <c r="K76" s="12">
        <f>K75+(1.25*I79)</f>
        <v>-12.337500000000002</v>
      </c>
      <c r="L76" s="12">
        <f>L75+(1.25*J79)</f>
        <v>-45.600000000000009</v>
      </c>
      <c r="M76" s="12">
        <f>M75+(1.25*K79)</f>
        <v>-17.296875000000004</v>
      </c>
      <c r="N76" s="12">
        <f>N75+(1.25*L79)</f>
        <v>-58.275000000000006</v>
      </c>
      <c r="O76" s="12">
        <f>O75+(1.25*M79)</f>
        <v>-21.158593750000001</v>
      </c>
    </row>
    <row r="77" spans="1:15" s="50" customFormat="1" ht="14.4" x14ac:dyDescent="0.3">
      <c r="A77" s="11" t="s">
        <v>19</v>
      </c>
      <c r="B77" s="11"/>
      <c r="C77" s="11"/>
      <c r="D77" s="11">
        <v>1</v>
      </c>
      <c r="E77" s="11">
        <v>2</v>
      </c>
      <c r="F77" s="11">
        <v>3</v>
      </c>
      <c r="G77" s="11">
        <v>4</v>
      </c>
      <c r="H77" s="11">
        <v>5</v>
      </c>
      <c r="I77" s="11">
        <v>6</v>
      </c>
      <c r="J77" s="11">
        <v>7</v>
      </c>
      <c r="K77" s="11">
        <v>8</v>
      </c>
      <c r="L77" s="11">
        <v>9</v>
      </c>
      <c r="M77" s="11">
        <v>10</v>
      </c>
      <c r="N77" s="11">
        <v>11</v>
      </c>
      <c r="O77" s="11">
        <v>12</v>
      </c>
    </row>
    <row r="78" spans="1:15" s="50" customFormat="1" ht="14.4" x14ac:dyDescent="0.3">
      <c r="A78" s="11" t="s">
        <v>20</v>
      </c>
      <c r="B78" s="11">
        <v>11.02</v>
      </c>
      <c r="C78" s="11">
        <v>11.59</v>
      </c>
      <c r="D78" s="52">
        <v>33.72</v>
      </c>
      <c r="E78" s="52">
        <v>11.2</v>
      </c>
      <c r="F78" s="52">
        <v>24.03</v>
      </c>
      <c r="G78" s="52">
        <v>13.55</v>
      </c>
      <c r="H78" s="52">
        <v>13.48</v>
      </c>
      <c r="I78" s="52">
        <v>21.53</v>
      </c>
      <c r="J78" s="52">
        <v>12.23</v>
      </c>
      <c r="K78" s="52">
        <v>9.5</v>
      </c>
      <c r="L78" s="51">
        <v>9.02</v>
      </c>
      <c r="M78" s="51">
        <v>7.63</v>
      </c>
      <c r="N78" s="51"/>
      <c r="O78" s="51"/>
    </row>
    <row r="79" spans="1:15" s="50" customFormat="1" ht="14.4" x14ac:dyDescent="0.3">
      <c r="A79" s="11" t="s">
        <v>21</v>
      </c>
      <c r="B79" s="11">
        <f>B75-B78</f>
        <v>-1.0199999999999996</v>
      </c>
      <c r="C79" s="11">
        <f>C75-C78</f>
        <v>-1.5899999999999999</v>
      </c>
      <c r="D79" s="11">
        <f>D76-D78</f>
        <v>-24.74</v>
      </c>
      <c r="E79" s="12">
        <f>E76-E78</f>
        <v>-2.7899999999999991</v>
      </c>
      <c r="F79" s="12">
        <f t="shared" ref="F79:K79" si="3">F76-F78</f>
        <v>-38.769999999999996</v>
      </c>
      <c r="G79" s="12">
        <f t="shared" si="3"/>
        <v>-6.34</v>
      </c>
      <c r="H79" s="12">
        <f t="shared" si="3"/>
        <v>-42.25</v>
      </c>
      <c r="I79" s="12">
        <f t="shared" si="3"/>
        <v>-17.87</v>
      </c>
      <c r="J79" s="12">
        <f t="shared" si="3"/>
        <v>-44.480000000000004</v>
      </c>
      <c r="K79" s="12">
        <f t="shared" si="3"/>
        <v>-21.837500000000002</v>
      </c>
      <c r="L79" s="12">
        <f>L76-L78</f>
        <v>-54.620000000000005</v>
      </c>
      <c r="M79" s="12">
        <f>M76-M78</f>
        <v>-24.926875000000003</v>
      </c>
      <c r="N79" s="11"/>
      <c r="O79" s="11"/>
    </row>
    <row r="80" spans="1:15" s="50" customFormat="1" ht="14.4" x14ac:dyDescent="0.3">
      <c r="A80" s="17" t="s">
        <v>22</v>
      </c>
      <c r="B80" s="17">
        <v>2015</v>
      </c>
      <c r="C80" s="17">
        <v>2016</v>
      </c>
      <c r="D80" s="17">
        <v>2017</v>
      </c>
      <c r="E80" s="17">
        <v>2018</v>
      </c>
      <c r="F80" s="17">
        <v>2019</v>
      </c>
      <c r="G80" s="17">
        <v>2020</v>
      </c>
      <c r="H80" s="17">
        <v>2021</v>
      </c>
      <c r="I80" s="17">
        <v>2022</v>
      </c>
      <c r="J80" s="17">
        <v>2023</v>
      </c>
      <c r="K80" s="17">
        <v>2024</v>
      </c>
      <c r="L80" s="17">
        <v>2025</v>
      </c>
      <c r="M80" s="17">
        <v>2026</v>
      </c>
      <c r="N80" s="17">
        <v>2027</v>
      </c>
      <c r="O80" s="17">
        <v>2028</v>
      </c>
    </row>
    <row r="81" spans="1:15" s="50" customFormat="1" ht="14.4" x14ac:dyDescent="0.3">
      <c r="A81" s="18">
        <v>1</v>
      </c>
      <c r="B81" s="53" t="s">
        <v>909</v>
      </c>
      <c r="C81" s="19"/>
      <c r="D81" s="19"/>
      <c r="E81" s="19"/>
      <c r="F81" s="19"/>
      <c r="G81" s="19"/>
      <c r="H81" s="19"/>
      <c r="I81" s="19"/>
      <c r="J81" s="19"/>
      <c r="K81" s="19"/>
      <c r="L81" s="19"/>
      <c r="M81" s="19"/>
      <c r="N81" s="54"/>
      <c r="O81" s="55"/>
    </row>
    <row r="82" spans="1:15" s="50" customFormat="1" ht="14.4" x14ac:dyDescent="0.3">
      <c r="A82" s="56">
        <v>2</v>
      </c>
      <c r="B82" s="49" t="s">
        <v>910</v>
      </c>
      <c r="C82" s="3"/>
      <c r="D82" s="3"/>
      <c r="E82" s="3"/>
      <c r="F82" s="3"/>
      <c r="G82" s="3"/>
      <c r="H82" s="3"/>
      <c r="I82" s="3"/>
      <c r="J82" s="3"/>
      <c r="K82" s="3"/>
      <c r="L82" s="3"/>
      <c r="M82" s="3"/>
      <c r="O82" s="57"/>
    </row>
    <row r="83" spans="1:15" s="50" customFormat="1" ht="14.4" x14ac:dyDescent="0.3">
      <c r="A83" s="39">
        <v>3</v>
      </c>
      <c r="B83" s="49" t="s">
        <v>911</v>
      </c>
      <c r="C83" s="3"/>
      <c r="D83" s="3"/>
      <c r="E83" s="3"/>
      <c r="F83" s="3"/>
      <c r="G83" s="3"/>
      <c r="H83" s="3"/>
      <c r="I83" s="3"/>
      <c r="J83" s="3"/>
      <c r="K83" s="3"/>
      <c r="L83" s="3"/>
      <c r="M83" s="3"/>
      <c r="O83" s="57"/>
    </row>
    <row r="84" spans="1:15" s="50" customFormat="1" ht="14.4" x14ac:dyDescent="0.3">
      <c r="A84" s="56">
        <v>4</v>
      </c>
      <c r="B84" s="49" t="s">
        <v>912</v>
      </c>
      <c r="C84" s="3"/>
      <c r="D84" s="3"/>
      <c r="E84" s="3"/>
      <c r="F84" s="3"/>
      <c r="G84" s="3"/>
      <c r="H84" s="3"/>
      <c r="I84" s="3"/>
      <c r="J84" s="3"/>
      <c r="K84" s="3"/>
      <c r="L84" s="3"/>
      <c r="M84" s="3"/>
      <c r="O84" s="57"/>
    </row>
    <row r="85" spans="1:15" s="50" customFormat="1" ht="14.4" x14ac:dyDescent="0.3">
      <c r="A85" s="39">
        <v>5</v>
      </c>
      <c r="B85" s="49" t="s">
        <v>913</v>
      </c>
      <c r="C85" s="3"/>
      <c r="D85" s="3"/>
      <c r="E85" s="3"/>
      <c r="F85" s="3"/>
      <c r="G85" s="3"/>
      <c r="H85" s="3"/>
      <c r="I85" s="3"/>
      <c r="J85" s="3"/>
      <c r="K85" s="3"/>
      <c r="L85" s="3"/>
      <c r="M85" s="3"/>
      <c r="O85" s="57"/>
    </row>
    <row r="86" spans="1:15" s="50" customFormat="1" ht="14.4" x14ac:dyDescent="0.3">
      <c r="A86" s="56">
        <v>6</v>
      </c>
      <c r="B86" s="49" t="s">
        <v>914</v>
      </c>
      <c r="C86" s="3"/>
      <c r="D86" s="3"/>
      <c r="E86" s="3"/>
      <c r="F86" s="3"/>
      <c r="G86" s="3"/>
      <c r="H86" s="3"/>
      <c r="I86" s="3"/>
      <c r="J86" s="3"/>
      <c r="K86" s="3"/>
      <c r="L86" s="3"/>
      <c r="M86" s="3"/>
      <c r="O86" s="57"/>
    </row>
    <row r="87" spans="1:15" s="50" customFormat="1" ht="14.4" x14ac:dyDescent="0.3">
      <c r="A87" s="39">
        <v>7</v>
      </c>
      <c r="B87" s="49" t="s">
        <v>915</v>
      </c>
      <c r="C87" s="3"/>
      <c r="D87" s="3"/>
      <c r="E87" s="3"/>
      <c r="F87" s="3"/>
      <c r="G87" s="3"/>
      <c r="H87" s="3"/>
      <c r="I87" s="3"/>
      <c r="J87" s="3"/>
      <c r="K87" s="3"/>
      <c r="L87" s="3"/>
      <c r="M87" s="3"/>
      <c r="O87" s="57"/>
    </row>
    <row r="88" spans="1:15" s="50" customFormat="1" ht="14.4" x14ac:dyDescent="0.3">
      <c r="A88" s="56">
        <v>8</v>
      </c>
      <c r="B88" s="49" t="s">
        <v>916</v>
      </c>
      <c r="C88" s="3"/>
      <c r="D88" s="3"/>
      <c r="E88" s="3"/>
      <c r="F88" s="3"/>
      <c r="G88" s="3"/>
      <c r="H88" s="3"/>
      <c r="I88" s="3"/>
      <c r="J88" s="3"/>
      <c r="K88" s="3"/>
      <c r="L88" s="3"/>
      <c r="M88" s="3"/>
      <c r="O88" s="57"/>
    </row>
    <row r="89" spans="1:15" s="50" customFormat="1" ht="14.4" x14ac:dyDescent="0.3">
      <c r="A89" s="56">
        <v>9</v>
      </c>
      <c r="B89" s="49" t="s">
        <v>917</v>
      </c>
      <c r="C89" s="3"/>
      <c r="D89" s="3"/>
      <c r="E89" s="3"/>
      <c r="F89" s="3"/>
      <c r="G89" s="3"/>
      <c r="H89" s="3"/>
      <c r="I89" s="3"/>
      <c r="J89" s="3"/>
      <c r="K89" s="3"/>
      <c r="L89" s="3"/>
      <c r="M89" s="3"/>
      <c r="O89" s="57"/>
    </row>
    <row r="90" spans="1:15" s="50" customFormat="1" ht="14.4" x14ac:dyDescent="0.3">
      <c r="A90" s="39">
        <v>10</v>
      </c>
      <c r="B90" s="49" t="s">
        <v>986</v>
      </c>
      <c r="C90" s="3"/>
      <c r="D90" s="3"/>
      <c r="E90" s="3"/>
      <c r="F90" s="3"/>
      <c r="G90" s="3"/>
      <c r="H90" s="3"/>
      <c r="I90" s="3"/>
      <c r="J90" s="3"/>
      <c r="K90" s="3"/>
      <c r="L90" s="3"/>
      <c r="M90" s="3"/>
      <c r="O90" s="57"/>
    </row>
    <row r="91" spans="1:15" s="50" customFormat="1" ht="14.4" x14ac:dyDescent="0.3">
      <c r="A91" s="39">
        <v>11</v>
      </c>
      <c r="B91" s="49" t="s">
        <v>1128</v>
      </c>
      <c r="C91" s="3"/>
      <c r="D91" s="3"/>
      <c r="E91" s="3"/>
      <c r="F91" s="3"/>
      <c r="G91" s="3"/>
      <c r="H91" s="3"/>
      <c r="I91" s="3"/>
      <c r="J91" s="3"/>
      <c r="K91" s="3"/>
      <c r="L91" s="3"/>
      <c r="M91" s="3"/>
      <c r="O91" s="57"/>
    </row>
    <row r="92" spans="1:15" s="59" customFormat="1" ht="14.4" x14ac:dyDescent="0.3">
      <c r="A92" s="41">
        <v>12</v>
      </c>
      <c r="B92" s="58" t="s">
        <v>1145</v>
      </c>
      <c r="C92" s="34"/>
      <c r="D92" s="34"/>
      <c r="E92" s="34"/>
      <c r="F92" s="34"/>
      <c r="G92" s="34"/>
      <c r="H92" s="34"/>
      <c r="I92" s="34"/>
      <c r="J92" s="34"/>
      <c r="K92" s="34"/>
      <c r="L92" s="34"/>
      <c r="M92" s="34"/>
      <c r="O92" s="60"/>
    </row>
    <row r="94" spans="1:15" x14ac:dyDescent="0.25">
      <c r="A94" s="9" t="s">
        <v>14</v>
      </c>
      <c r="B94" s="9" t="s">
        <v>79</v>
      </c>
      <c r="C94" s="9" t="s">
        <v>15</v>
      </c>
    </row>
    <row r="95" spans="1:15" x14ac:dyDescent="0.25">
      <c r="A95" s="11" t="s">
        <v>16</v>
      </c>
      <c r="B95" s="11">
        <v>2013</v>
      </c>
      <c r="C95" s="11">
        <v>2014</v>
      </c>
      <c r="D95" s="11">
        <v>2015</v>
      </c>
      <c r="E95" s="11">
        <v>2016</v>
      </c>
      <c r="F95" s="11">
        <v>2017</v>
      </c>
      <c r="G95" s="11">
        <v>2018</v>
      </c>
      <c r="H95" s="11">
        <v>2019</v>
      </c>
      <c r="I95" s="11">
        <v>2020</v>
      </c>
      <c r="J95" s="11">
        <v>2021</v>
      </c>
      <c r="K95" s="11">
        <v>2022</v>
      </c>
      <c r="L95" s="11">
        <v>2023</v>
      </c>
      <c r="M95" s="11">
        <v>2024</v>
      </c>
      <c r="N95" s="11">
        <v>2025</v>
      </c>
    </row>
    <row r="96" spans="1:15" x14ac:dyDescent="0.25">
      <c r="A96" s="11" t="s">
        <v>17</v>
      </c>
      <c r="B96" s="11">
        <v>10</v>
      </c>
      <c r="C96" s="11">
        <v>10</v>
      </c>
      <c r="D96" s="11">
        <v>10</v>
      </c>
      <c r="E96" s="11">
        <v>10</v>
      </c>
      <c r="F96" s="11">
        <v>10</v>
      </c>
      <c r="G96" s="11">
        <v>10</v>
      </c>
      <c r="H96" s="11">
        <v>10</v>
      </c>
      <c r="I96" s="11">
        <v>10</v>
      </c>
      <c r="J96" s="11">
        <v>10</v>
      </c>
      <c r="K96" s="11">
        <v>10</v>
      </c>
      <c r="L96" s="11">
        <v>10</v>
      </c>
      <c r="M96" s="11">
        <v>10</v>
      </c>
      <c r="N96" s="11">
        <v>10</v>
      </c>
    </row>
    <row r="97" spans="1:14" x14ac:dyDescent="0.25">
      <c r="A97" s="11" t="s">
        <v>18</v>
      </c>
      <c r="B97" s="11"/>
      <c r="C97" s="11"/>
      <c r="D97" s="11">
        <f>D96+0.2*B96</f>
        <v>12</v>
      </c>
      <c r="E97" s="12">
        <f>E96+0.2*C96</f>
        <v>12</v>
      </c>
      <c r="F97" s="12">
        <f>F96+0.2*D96</f>
        <v>12</v>
      </c>
      <c r="G97" s="12">
        <f>G96+E100</f>
        <v>7.77</v>
      </c>
      <c r="H97" s="12">
        <f>H96+F100</f>
        <v>4.6000000000000014</v>
      </c>
      <c r="I97" s="12">
        <f>I96+G100</f>
        <v>0.26999999999999957</v>
      </c>
      <c r="J97" s="12">
        <f>J96+H100</f>
        <v>3.0400000000000009</v>
      </c>
      <c r="K97" s="12">
        <f>K96+(1.25*I100)</f>
        <v>-7.6125000000000007</v>
      </c>
      <c r="L97" s="12">
        <f>L96+(1.25*J100)</f>
        <v>1.3000000000000007</v>
      </c>
      <c r="M97" s="12">
        <f>M96+(1.25*K100)</f>
        <v>-11.640625</v>
      </c>
      <c r="N97" s="12">
        <f>N96+(1.25*L100)</f>
        <v>2.4000000000000012</v>
      </c>
    </row>
    <row r="98" spans="1:14" x14ac:dyDescent="0.25">
      <c r="A98" s="11" t="s">
        <v>19</v>
      </c>
      <c r="B98" s="11"/>
      <c r="C98" s="11"/>
      <c r="D98" s="11">
        <v>1</v>
      </c>
      <c r="E98" s="11">
        <v>2</v>
      </c>
      <c r="F98" s="11">
        <v>3</v>
      </c>
      <c r="G98" s="11">
        <v>4</v>
      </c>
      <c r="H98" s="11">
        <v>5</v>
      </c>
      <c r="I98" s="11">
        <v>6</v>
      </c>
      <c r="J98" s="11">
        <v>7</v>
      </c>
      <c r="K98" s="11">
        <v>8</v>
      </c>
      <c r="L98" s="11">
        <v>9</v>
      </c>
      <c r="M98" s="11">
        <v>10</v>
      </c>
      <c r="N98" s="11">
        <v>11</v>
      </c>
    </row>
    <row r="99" spans="1:14" x14ac:dyDescent="0.25">
      <c r="A99" s="11" t="s">
        <v>20</v>
      </c>
      <c r="B99" s="11">
        <v>5.51</v>
      </c>
      <c r="C99" s="11">
        <v>6.24</v>
      </c>
      <c r="D99" s="11">
        <v>9.6999999999999993</v>
      </c>
      <c r="E99" s="11">
        <v>14.23</v>
      </c>
      <c r="F99" s="11">
        <v>17.399999999999999</v>
      </c>
      <c r="G99" s="12">
        <v>17.5</v>
      </c>
      <c r="H99" s="12">
        <v>11.56</v>
      </c>
      <c r="I99" s="12">
        <v>14.36</v>
      </c>
      <c r="J99" s="12">
        <v>10</v>
      </c>
      <c r="K99" s="12">
        <v>9.6999999999999993</v>
      </c>
      <c r="L99" s="11">
        <v>7.38</v>
      </c>
      <c r="M99" s="11">
        <v>6.24</v>
      </c>
      <c r="N99" s="11"/>
    </row>
    <row r="100" spans="1:14" x14ac:dyDescent="0.25">
      <c r="A100" s="11" t="s">
        <v>21</v>
      </c>
      <c r="B100" s="11">
        <f>B96-B99</f>
        <v>4.49</v>
      </c>
      <c r="C100" s="11">
        <f>C96-C99</f>
        <v>3.76</v>
      </c>
      <c r="D100" s="11">
        <f>D97-D99</f>
        <v>2.3000000000000007</v>
      </c>
      <c r="E100" s="11">
        <f t="shared" ref="E100:J100" si="4">E97-E99</f>
        <v>-2.2300000000000004</v>
      </c>
      <c r="F100" s="11">
        <f t="shared" si="4"/>
        <v>-5.3999999999999986</v>
      </c>
      <c r="G100" s="11">
        <f t="shared" si="4"/>
        <v>-9.73</v>
      </c>
      <c r="H100" s="11">
        <f t="shared" si="4"/>
        <v>-6.9599999999999991</v>
      </c>
      <c r="I100" s="11">
        <f t="shared" si="4"/>
        <v>-14.09</v>
      </c>
      <c r="J100" s="11">
        <f t="shared" si="4"/>
        <v>-6.9599999999999991</v>
      </c>
      <c r="K100" s="12">
        <f>K97-K99</f>
        <v>-17.3125</v>
      </c>
      <c r="L100" s="12">
        <f>L97-L99</f>
        <v>-6.0799999999999992</v>
      </c>
      <c r="M100" s="12">
        <f>M97-M99</f>
        <v>-17.880625000000002</v>
      </c>
      <c r="N100" s="11"/>
    </row>
    <row r="101" spans="1:14" x14ac:dyDescent="0.25">
      <c r="A101" s="11" t="s">
        <v>22</v>
      </c>
      <c r="B101" s="11">
        <v>2015</v>
      </c>
      <c r="C101" s="11">
        <v>2016</v>
      </c>
      <c r="D101" s="11">
        <v>2017</v>
      </c>
      <c r="E101" s="11">
        <v>2018</v>
      </c>
      <c r="F101" s="11">
        <v>2019</v>
      </c>
      <c r="G101" s="11">
        <v>2020</v>
      </c>
      <c r="H101" s="11">
        <v>2021</v>
      </c>
      <c r="I101" s="11">
        <v>2022</v>
      </c>
      <c r="J101" s="11">
        <v>2023</v>
      </c>
      <c r="K101" s="11">
        <v>2024</v>
      </c>
      <c r="L101" s="11">
        <v>2025</v>
      </c>
      <c r="M101" s="11">
        <v>2026</v>
      </c>
      <c r="N101" s="11">
        <v>2027</v>
      </c>
    </row>
    <row r="102" spans="1:14" x14ac:dyDescent="0.25">
      <c r="A102" s="16">
        <v>1</v>
      </c>
      <c r="B102" s="61" t="s">
        <v>918</v>
      </c>
      <c r="C102" s="46"/>
      <c r="D102" s="46"/>
      <c r="E102" s="46"/>
      <c r="F102" s="46"/>
      <c r="G102" s="46"/>
      <c r="H102" s="46"/>
      <c r="I102" s="46"/>
      <c r="J102" s="46"/>
      <c r="K102" s="46"/>
      <c r="L102" s="47"/>
      <c r="M102" s="47"/>
      <c r="N102" s="62"/>
    </row>
    <row r="103" spans="1:14" x14ac:dyDescent="0.25">
      <c r="A103" s="18">
        <v>2</v>
      </c>
      <c r="B103" s="53" t="s">
        <v>919</v>
      </c>
      <c r="C103" s="19"/>
      <c r="D103" s="19"/>
      <c r="E103" s="19"/>
      <c r="F103" s="19"/>
      <c r="G103" s="19"/>
      <c r="H103" s="19"/>
      <c r="I103" s="19"/>
      <c r="J103" s="19"/>
      <c r="K103" s="19"/>
      <c r="L103" s="19"/>
      <c r="M103" s="19"/>
      <c r="N103" s="63"/>
    </row>
    <row r="104" spans="1:14" x14ac:dyDescent="0.25">
      <c r="A104" s="39">
        <v>3</v>
      </c>
      <c r="B104" s="49" t="s">
        <v>920</v>
      </c>
      <c r="N104" s="64"/>
    </row>
    <row r="105" spans="1:14" x14ac:dyDescent="0.25">
      <c r="A105" s="39">
        <v>4</v>
      </c>
      <c r="B105" s="49" t="s">
        <v>912</v>
      </c>
      <c r="N105" s="64"/>
    </row>
    <row r="106" spans="1:14" x14ac:dyDescent="0.25">
      <c r="A106" s="39">
        <v>5</v>
      </c>
      <c r="B106" s="49" t="s">
        <v>913</v>
      </c>
      <c r="N106" s="64"/>
    </row>
    <row r="107" spans="1:14" x14ac:dyDescent="0.25">
      <c r="A107" s="39">
        <v>6</v>
      </c>
      <c r="B107" s="49" t="s">
        <v>914</v>
      </c>
      <c r="N107" s="64"/>
    </row>
    <row r="108" spans="1:14" x14ac:dyDescent="0.25">
      <c r="A108" s="39">
        <v>7</v>
      </c>
      <c r="B108" s="49" t="s">
        <v>915</v>
      </c>
      <c r="N108" s="64"/>
    </row>
    <row r="109" spans="1:14" x14ac:dyDescent="0.25">
      <c r="A109" s="39">
        <v>8</v>
      </c>
      <c r="B109" s="49" t="s">
        <v>916</v>
      </c>
      <c r="N109" s="64"/>
    </row>
    <row r="110" spans="1:14" x14ac:dyDescent="0.25">
      <c r="A110" s="39">
        <v>9</v>
      </c>
      <c r="B110" s="49" t="s">
        <v>917</v>
      </c>
      <c r="N110" s="64"/>
    </row>
    <row r="111" spans="1:14" x14ac:dyDescent="0.25">
      <c r="A111" s="39">
        <v>10</v>
      </c>
      <c r="B111" s="49" t="s">
        <v>986</v>
      </c>
      <c r="N111" s="64"/>
    </row>
    <row r="112" spans="1:14" x14ac:dyDescent="0.25">
      <c r="A112" s="39">
        <v>11</v>
      </c>
      <c r="B112" s="49" t="s">
        <v>1128</v>
      </c>
      <c r="N112" s="64"/>
    </row>
    <row r="113" spans="1:14" s="34" customFormat="1" x14ac:dyDescent="0.25">
      <c r="A113" s="41">
        <v>12</v>
      </c>
      <c r="B113" s="58" t="s">
        <v>1145</v>
      </c>
      <c r="N113" s="48"/>
    </row>
    <row r="116" spans="1:14" x14ac:dyDescent="0.25">
      <c r="A116" s="65" t="s">
        <v>12</v>
      </c>
      <c r="B116" s="66" t="s">
        <v>166</v>
      </c>
      <c r="C116" s="8"/>
      <c r="D116" s="8"/>
      <c r="E116" s="8"/>
      <c r="F116" s="8"/>
    </row>
    <row r="117" spans="1:14" x14ac:dyDescent="0.25">
      <c r="A117" s="65" t="s">
        <v>14</v>
      </c>
      <c r="B117" s="66" t="s">
        <v>624</v>
      </c>
      <c r="C117" s="67" t="s">
        <v>15</v>
      </c>
      <c r="D117" s="8"/>
      <c r="E117" s="8"/>
      <c r="F117" s="8"/>
    </row>
    <row r="118" spans="1:14" x14ac:dyDescent="0.25">
      <c r="A118" s="68" t="s">
        <v>16</v>
      </c>
      <c r="B118" s="69"/>
      <c r="C118" s="70">
        <v>2017</v>
      </c>
      <c r="D118" s="67">
        <v>2018</v>
      </c>
      <c r="E118" s="67">
        <v>2019</v>
      </c>
      <c r="F118" s="67">
        <v>2020</v>
      </c>
      <c r="G118" s="67">
        <v>2021</v>
      </c>
      <c r="H118" s="67">
        <v>2022</v>
      </c>
      <c r="I118" s="67">
        <v>2023</v>
      </c>
      <c r="J118" s="67">
        <v>2024</v>
      </c>
      <c r="K118" s="67">
        <v>2025</v>
      </c>
    </row>
    <row r="119" spans="1:14" x14ac:dyDescent="0.25">
      <c r="A119" s="68" t="s">
        <v>17</v>
      </c>
      <c r="B119" s="69"/>
      <c r="C119" s="71">
        <v>200</v>
      </c>
      <c r="D119" s="72">
        <v>200</v>
      </c>
      <c r="E119" s="72">
        <v>215</v>
      </c>
      <c r="F119" s="72">
        <v>215</v>
      </c>
      <c r="G119" s="72">
        <v>242</v>
      </c>
      <c r="H119" s="72">
        <v>242</v>
      </c>
      <c r="I119" s="72">
        <v>242</v>
      </c>
      <c r="J119" s="72">
        <v>302</v>
      </c>
      <c r="K119" s="72">
        <v>302</v>
      </c>
    </row>
    <row r="120" spans="1:14" x14ac:dyDescent="0.25">
      <c r="A120" s="68" t="s">
        <v>18</v>
      </c>
      <c r="B120" s="69"/>
      <c r="C120" s="71">
        <v>450</v>
      </c>
      <c r="D120" s="72">
        <v>450</v>
      </c>
      <c r="E120" s="72">
        <f>E119+C123+200</f>
        <v>416.56</v>
      </c>
      <c r="F120" s="72">
        <v>465</v>
      </c>
      <c r="G120" s="72">
        <f>G119+0.25*E119+200</f>
        <v>495.75</v>
      </c>
      <c r="H120" s="72">
        <f>H119+0.25*F119+200</f>
        <v>495.75</v>
      </c>
      <c r="I120" s="72">
        <f>I119+0.25*G119+200</f>
        <v>502.5</v>
      </c>
      <c r="J120" s="72">
        <f>J119+0.25*H119+200</f>
        <v>562.5</v>
      </c>
      <c r="K120" s="72">
        <v>502.5</v>
      </c>
    </row>
    <row r="121" spans="1:14" x14ac:dyDescent="0.25">
      <c r="A121" s="68" t="s">
        <v>19</v>
      </c>
      <c r="B121" s="69"/>
      <c r="C121" s="71"/>
      <c r="D121" s="72"/>
      <c r="E121" s="715" t="s">
        <v>167</v>
      </c>
      <c r="F121" s="716"/>
      <c r="G121" s="716"/>
      <c r="H121" s="716"/>
      <c r="I121" s="716"/>
      <c r="J121" s="716"/>
      <c r="K121" s="717"/>
    </row>
    <row r="122" spans="1:14" x14ac:dyDescent="0.25">
      <c r="A122" s="68" t="s">
        <v>20</v>
      </c>
      <c r="B122" s="69"/>
      <c r="C122" s="72">
        <v>448.44</v>
      </c>
      <c r="D122" s="72">
        <v>385.14</v>
      </c>
      <c r="E122" s="72">
        <v>216.09</v>
      </c>
      <c r="F122" s="72">
        <v>326.05</v>
      </c>
      <c r="G122" s="72">
        <v>200.65</v>
      </c>
      <c r="H122" s="72">
        <v>214.33</v>
      </c>
      <c r="I122" s="72">
        <v>380.65</v>
      </c>
      <c r="J122" s="72">
        <v>324.64999999999998</v>
      </c>
      <c r="K122" s="72"/>
    </row>
    <row r="123" spans="1:14" x14ac:dyDescent="0.25">
      <c r="A123" s="68" t="s">
        <v>21</v>
      </c>
      <c r="B123" s="69"/>
      <c r="C123" s="72">
        <f t="shared" ref="C123:G123" si="5">C120-C122</f>
        <v>1.5600000000000023</v>
      </c>
      <c r="D123" s="72">
        <f t="shared" si="5"/>
        <v>64.860000000000014</v>
      </c>
      <c r="E123" s="72">
        <f t="shared" si="5"/>
        <v>200.47</v>
      </c>
      <c r="F123" s="72">
        <f t="shared" si="5"/>
        <v>138.94999999999999</v>
      </c>
      <c r="G123" s="72">
        <f t="shared" si="5"/>
        <v>295.10000000000002</v>
      </c>
      <c r="H123" s="72">
        <f>H120-H122</f>
        <v>281.41999999999996</v>
      </c>
      <c r="I123" s="72">
        <f>I120-I122</f>
        <v>121.85000000000002</v>
      </c>
      <c r="J123" s="72">
        <f>J120-J122</f>
        <v>237.85000000000002</v>
      </c>
      <c r="K123" s="72"/>
    </row>
    <row r="124" spans="1:14" x14ac:dyDescent="0.25">
      <c r="A124" s="73" t="s">
        <v>22</v>
      </c>
      <c r="B124" s="74"/>
      <c r="C124" s="75">
        <v>2019</v>
      </c>
      <c r="D124" s="74">
        <v>2020</v>
      </c>
      <c r="E124" s="74">
        <v>2021</v>
      </c>
      <c r="F124" s="74">
        <v>2022</v>
      </c>
      <c r="G124" s="74">
        <v>2023</v>
      </c>
      <c r="H124" s="74">
        <v>2024</v>
      </c>
      <c r="I124" s="74">
        <v>2025</v>
      </c>
      <c r="J124" s="74">
        <v>2026</v>
      </c>
      <c r="K124" s="74"/>
    </row>
    <row r="125" spans="1:14" x14ac:dyDescent="0.25">
      <c r="A125" s="713" t="s">
        <v>206</v>
      </c>
      <c r="B125" s="714"/>
      <c r="C125" s="714"/>
      <c r="D125" s="714"/>
      <c r="E125" s="714"/>
      <c r="F125" s="714"/>
      <c r="G125" s="46"/>
      <c r="H125" s="46"/>
      <c r="I125" s="47"/>
      <c r="J125" s="47"/>
      <c r="K125" s="47"/>
    </row>
    <row r="126" spans="1:14" x14ac:dyDescent="0.25">
      <c r="A126" s="721" t="s">
        <v>370</v>
      </c>
      <c r="B126" s="722"/>
      <c r="C126" s="722"/>
      <c r="D126" s="722"/>
      <c r="E126" s="722"/>
      <c r="F126" s="722"/>
      <c r="G126" s="19"/>
      <c r="H126" s="19"/>
      <c r="I126" s="19"/>
      <c r="J126" s="19"/>
      <c r="K126" s="63"/>
    </row>
    <row r="127" spans="1:14" x14ac:dyDescent="0.25">
      <c r="A127" s="78" t="s">
        <v>250</v>
      </c>
      <c r="B127" s="79"/>
      <c r="C127" s="79"/>
      <c r="D127" s="80"/>
      <c r="E127" s="80"/>
      <c r="F127" s="80"/>
      <c r="K127" s="64"/>
    </row>
    <row r="128" spans="1:14" x14ac:dyDescent="0.25">
      <c r="A128" s="78" t="s">
        <v>568</v>
      </c>
      <c r="B128" s="79"/>
      <c r="C128" s="79"/>
      <c r="D128" s="80"/>
      <c r="E128" s="80"/>
      <c r="F128" s="80"/>
      <c r="K128" s="64"/>
    </row>
    <row r="129" spans="1:12" x14ac:dyDescent="0.25">
      <c r="A129" s="78" t="s">
        <v>412</v>
      </c>
      <c r="B129" s="79"/>
      <c r="C129" s="79"/>
      <c r="D129" s="80"/>
      <c r="E129" s="80"/>
      <c r="F129" s="80"/>
      <c r="K129" s="64"/>
    </row>
    <row r="130" spans="1:12" x14ac:dyDescent="0.25">
      <c r="A130" s="81" t="s">
        <v>573</v>
      </c>
      <c r="B130" s="79"/>
      <c r="C130" s="79"/>
      <c r="D130" s="80"/>
      <c r="E130" s="80"/>
      <c r="F130" s="80"/>
      <c r="K130" s="64"/>
    </row>
    <row r="131" spans="1:12" x14ac:dyDescent="0.25">
      <c r="A131" s="82" t="s">
        <v>1146</v>
      </c>
      <c r="B131" s="79"/>
      <c r="C131" s="79"/>
      <c r="D131" s="80"/>
      <c r="E131" s="80"/>
      <c r="F131" s="80"/>
      <c r="K131" s="64"/>
    </row>
    <row r="132" spans="1:12" x14ac:dyDescent="0.25">
      <c r="A132" s="81" t="s">
        <v>670</v>
      </c>
      <c r="B132" s="83"/>
      <c r="C132" s="83"/>
      <c r="D132" s="83"/>
      <c r="E132" s="83"/>
      <c r="F132" s="83"/>
      <c r="K132" s="64"/>
    </row>
    <row r="133" spans="1:12" x14ac:dyDescent="0.25">
      <c r="A133" s="81" t="s">
        <v>764</v>
      </c>
      <c r="B133" s="83"/>
      <c r="C133" s="83"/>
      <c r="D133" s="83"/>
      <c r="E133" s="83"/>
      <c r="F133" s="83"/>
      <c r="K133" s="64"/>
    </row>
    <row r="134" spans="1:12" x14ac:dyDescent="0.25">
      <c r="A134" s="84" t="s">
        <v>987</v>
      </c>
      <c r="B134" s="85"/>
      <c r="C134" s="85"/>
      <c r="D134" s="85"/>
      <c r="E134" s="85"/>
      <c r="F134" s="85"/>
      <c r="G134" s="34"/>
      <c r="H134" s="34"/>
      <c r="I134" s="34"/>
      <c r="J134" s="34"/>
      <c r="K134" s="48"/>
    </row>
    <row r="135" spans="1:12" x14ac:dyDescent="0.25">
      <c r="A135" s="86"/>
      <c r="B135" s="8"/>
      <c r="C135" s="8"/>
      <c r="D135" s="8"/>
      <c r="E135" s="8"/>
      <c r="F135" s="8"/>
    </row>
    <row r="136" spans="1:12" s="34" customFormat="1" x14ac:dyDescent="0.25">
      <c r="A136" s="84"/>
      <c r="B136" s="85"/>
      <c r="C136" s="85"/>
      <c r="D136" s="85"/>
      <c r="E136" s="85"/>
      <c r="F136" s="85"/>
    </row>
    <row r="138" spans="1:12" x14ac:dyDescent="0.25">
      <c r="A138" s="65" t="s">
        <v>14</v>
      </c>
      <c r="B138" s="66" t="s">
        <v>638</v>
      </c>
      <c r="C138" s="67" t="s">
        <v>15</v>
      </c>
      <c r="D138" s="8"/>
      <c r="E138" s="8"/>
      <c r="F138" s="8"/>
    </row>
    <row r="139" spans="1:12" x14ac:dyDescent="0.25">
      <c r="A139" s="87" t="s">
        <v>16</v>
      </c>
      <c r="B139" s="69"/>
      <c r="C139" s="67">
        <v>2017</v>
      </c>
      <c r="D139" s="67">
        <v>2018</v>
      </c>
      <c r="E139" s="67">
        <v>2019</v>
      </c>
      <c r="F139" s="67">
        <v>2020</v>
      </c>
      <c r="G139" s="67">
        <v>2021</v>
      </c>
      <c r="H139" s="67">
        <v>2022</v>
      </c>
      <c r="I139" s="67">
        <v>2023</v>
      </c>
      <c r="J139" s="67">
        <v>2024</v>
      </c>
      <c r="K139" s="67">
        <v>2025</v>
      </c>
      <c r="L139" s="67">
        <v>2026</v>
      </c>
    </row>
    <row r="140" spans="1:12" x14ac:dyDescent="0.25">
      <c r="A140" s="87" t="s">
        <v>17</v>
      </c>
      <c r="B140" s="69"/>
      <c r="C140" s="72">
        <v>250</v>
      </c>
      <c r="D140" s="72">
        <v>250</v>
      </c>
      <c r="E140" s="72">
        <v>250</v>
      </c>
      <c r="F140" s="72">
        <v>250</v>
      </c>
      <c r="G140" s="72">
        <v>250</v>
      </c>
      <c r="H140" s="72">
        <v>250</v>
      </c>
      <c r="I140" s="72">
        <v>300</v>
      </c>
      <c r="J140" s="72">
        <v>300</v>
      </c>
      <c r="K140" s="72">
        <v>300</v>
      </c>
      <c r="L140" s="72">
        <v>300</v>
      </c>
    </row>
    <row r="141" spans="1:12" x14ac:dyDescent="0.25">
      <c r="A141" s="87" t="s">
        <v>18</v>
      </c>
      <c r="B141" s="69"/>
      <c r="C141" s="72">
        <v>312.5</v>
      </c>
      <c r="D141" s="72">
        <v>312.5</v>
      </c>
      <c r="E141" s="72">
        <v>312.5</v>
      </c>
      <c r="F141" s="72">
        <f>F140+D144</f>
        <v>251.98000000000002</v>
      </c>
      <c r="G141" s="72">
        <f>G140+0.25*E140</f>
        <v>312.5</v>
      </c>
      <c r="H141" s="72">
        <f>H140+0.25*F140</f>
        <v>312.5</v>
      </c>
      <c r="I141" s="72">
        <f>I140+0.25*G140</f>
        <v>362.5</v>
      </c>
      <c r="J141" s="72">
        <f>J140+3.72</f>
        <v>303.72000000000003</v>
      </c>
      <c r="K141" s="72">
        <f>K140+0.25*I140</f>
        <v>375</v>
      </c>
      <c r="L141" s="72">
        <f>L140+0.25*J140</f>
        <v>375</v>
      </c>
    </row>
    <row r="142" spans="1:12" ht="15" customHeight="1" x14ac:dyDescent="0.25">
      <c r="A142" s="87" t="s">
        <v>19</v>
      </c>
      <c r="B142" s="69"/>
      <c r="C142" s="718" t="s">
        <v>671</v>
      </c>
      <c r="D142" s="719"/>
      <c r="E142" s="719"/>
      <c r="F142" s="719"/>
      <c r="G142" s="719"/>
      <c r="H142" s="719"/>
      <c r="I142" s="719"/>
      <c r="J142" s="719"/>
      <c r="K142" s="720"/>
      <c r="L142" s="88"/>
    </row>
    <row r="143" spans="1:12" x14ac:dyDescent="0.25">
      <c r="A143" s="87" t="s">
        <v>20</v>
      </c>
      <c r="B143" s="69"/>
      <c r="C143" s="89">
        <v>219.03</v>
      </c>
      <c r="D143" s="89">
        <v>310.52</v>
      </c>
      <c r="E143" s="89">
        <v>158.13999999999999</v>
      </c>
      <c r="F143" s="89">
        <v>162.13</v>
      </c>
      <c r="G143" s="89">
        <v>30.84</v>
      </c>
      <c r="H143" s="89">
        <v>12.74</v>
      </c>
      <c r="I143" s="89">
        <v>0</v>
      </c>
      <c r="J143" s="89">
        <v>1</v>
      </c>
      <c r="K143" s="89"/>
      <c r="L143" s="90"/>
    </row>
    <row r="144" spans="1:12" x14ac:dyDescent="0.25">
      <c r="A144" s="87" t="s">
        <v>21</v>
      </c>
      <c r="B144" s="69"/>
      <c r="C144" s="72">
        <f t="shared" ref="C144:J144" si="6">C141-C143</f>
        <v>93.47</v>
      </c>
      <c r="D144" s="72">
        <f t="shared" si="6"/>
        <v>1.9800000000000182</v>
      </c>
      <c r="E144" s="72">
        <f t="shared" si="6"/>
        <v>154.36000000000001</v>
      </c>
      <c r="F144" s="72">
        <f t="shared" si="6"/>
        <v>89.850000000000023</v>
      </c>
      <c r="G144" s="72">
        <f t="shared" si="6"/>
        <v>281.66000000000003</v>
      </c>
      <c r="H144" s="72">
        <f t="shared" si="6"/>
        <v>299.76</v>
      </c>
      <c r="I144" s="72">
        <f>I141-I143</f>
        <v>362.5</v>
      </c>
      <c r="J144" s="72">
        <f t="shared" si="6"/>
        <v>302.72000000000003</v>
      </c>
      <c r="K144" s="72"/>
      <c r="L144" s="90"/>
    </row>
    <row r="145" spans="1:12" x14ac:dyDescent="0.25">
      <c r="A145" s="91" t="s">
        <v>22</v>
      </c>
      <c r="B145" s="74"/>
      <c r="C145" s="74">
        <v>2019</v>
      </c>
      <c r="D145" s="74">
        <v>2020</v>
      </c>
      <c r="E145" s="74">
        <v>2021</v>
      </c>
      <c r="F145" s="74">
        <v>2022</v>
      </c>
      <c r="G145" s="74">
        <v>2023</v>
      </c>
      <c r="H145" s="74">
        <v>2024</v>
      </c>
      <c r="I145" s="74">
        <v>2025</v>
      </c>
      <c r="J145" s="74">
        <v>2026</v>
      </c>
      <c r="K145" s="74">
        <v>2027</v>
      </c>
      <c r="L145" s="90">
        <v>2028</v>
      </c>
    </row>
    <row r="146" spans="1:12" x14ac:dyDescent="0.25">
      <c r="A146" s="92" t="s">
        <v>207</v>
      </c>
      <c r="B146" s="93"/>
      <c r="C146" s="93"/>
      <c r="D146" s="93"/>
      <c r="E146" s="93"/>
      <c r="F146" s="93"/>
      <c r="G146" s="19"/>
      <c r="H146" s="19"/>
      <c r="I146" s="19"/>
      <c r="J146" s="19"/>
      <c r="K146" s="19"/>
      <c r="L146" s="63"/>
    </row>
    <row r="147" spans="1:12" x14ac:dyDescent="0.25">
      <c r="A147" s="94" t="s">
        <v>252</v>
      </c>
      <c r="B147" s="8"/>
      <c r="C147" s="8"/>
      <c r="D147" s="8"/>
      <c r="E147" s="8"/>
      <c r="F147" s="8"/>
      <c r="L147" s="64"/>
    </row>
    <row r="148" spans="1:12" x14ac:dyDescent="0.25">
      <c r="A148" s="94" t="s">
        <v>413</v>
      </c>
      <c r="B148" s="8"/>
      <c r="C148" s="8"/>
      <c r="D148" s="8"/>
      <c r="E148" s="8"/>
      <c r="F148" s="8"/>
      <c r="L148" s="64"/>
    </row>
    <row r="149" spans="1:12" x14ac:dyDescent="0.25">
      <c r="A149" s="39" t="s">
        <v>574</v>
      </c>
      <c r="B149" s="8"/>
      <c r="C149" s="8"/>
      <c r="D149" s="8"/>
      <c r="E149" s="8"/>
      <c r="F149" s="8"/>
      <c r="L149" s="64"/>
    </row>
    <row r="150" spans="1:12" x14ac:dyDescent="0.25">
      <c r="A150" s="39" t="s">
        <v>765</v>
      </c>
      <c r="B150" s="8"/>
      <c r="C150" s="8"/>
      <c r="D150" s="8"/>
      <c r="E150" s="8"/>
      <c r="F150" s="8"/>
      <c r="L150" s="64"/>
    </row>
    <row r="151" spans="1:12" x14ac:dyDescent="0.25">
      <c r="A151" s="39" t="s">
        <v>921</v>
      </c>
      <c r="B151" s="8"/>
      <c r="C151" s="8"/>
      <c r="D151" s="8"/>
      <c r="E151" s="8"/>
      <c r="F151" s="8"/>
      <c r="L151" s="64"/>
    </row>
    <row r="152" spans="1:12" x14ac:dyDescent="0.25">
      <c r="A152" s="39" t="s">
        <v>988</v>
      </c>
      <c r="B152" s="8"/>
      <c r="C152" s="8"/>
      <c r="D152" s="8"/>
      <c r="E152" s="8"/>
      <c r="F152" s="8"/>
      <c r="L152" s="64"/>
    </row>
    <row r="153" spans="1:12" s="45" customFormat="1" ht="12.75" customHeight="1" x14ac:dyDescent="0.25">
      <c r="A153" s="42" t="s">
        <v>1259</v>
      </c>
      <c r="B153" s="625"/>
      <c r="C153" s="625"/>
      <c r="D153" s="625"/>
      <c r="E153" s="625"/>
      <c r="F153" s="625"/>
      <c r="G153" s="43"/>
      <c r="H153" s="43"/>
      <c r="I153" s="43"/>
      <c r="J153" s="43"/>
      <c r="K153" s="43"/>
      <c r="L153" s="44"/>
    </row>
    <row r="155" spans="1:12" x14ac:dyDescent="0.25">
      <c r="A155" s="65" t="s">
        <v>14</v>
      </c>
      <c r="B155" s="66" t="s">
        <v>623</v>
      </c>
      <c r="C155" s="67" t="s">
        <v>15</v>
      </c>
      <c r="D155" s="8"/>
      <c r="E155" s="8"/>
      <c r="F155" s="8"/>
    </row>
    <row r="156" spans="1:12" x14ac:dyDescent="0.25">
      <c r="A156" s="87" t="s">
        <v>16</v>
      </c>
      <c r="B156" s="69"/>
      <c r="C156" s="67">
        <v>2017</v>
      </c>
      <c r="D156" s="67">
        <v>2018</v>
      </c>
      <c r="E156" s="67">
        <v>2019</v>
      </c>
      <c r="F156" s="67">
        <v>2020</v>
      </c>
      <c r="G156" s="67">
        <v>2021</v>
      </c>
      <c r="H156" s="67">
        <v>2022</v>
      </c>
      <c r="I156" s="67">
        <v>2023</v>
      </c>
      <c r="J156" s="67">
        <v>2024</v>
      </c>
      <c r="K156" s="67">
        <v>2025</v>
      </c>
    </row>
    <row r="157" spans="1:12" x14ac:dyDescent="0.25">
      <c r="A157" s="87" t="s">
        <v>17</v>
      </c>
      <c r="B157" s="69"/>
      <c r="C157" s="72">
        <v>130</v>
      </c>
      <c r="D157" s="72">
        <v>130</v>
      </c>
      <c r="E157" s="72">
        <v>130</v>
      </c>
      <c r="F157" s="72">
        <v>130</v>
      </c>
      <c r="G157" s="72">
        <v>130</v>
      </c>
      <c r="H157" s="72">
        <v>130</v>
      </c>
      <c r="I157" s="72">
        <v>130</v>
      </c>
      <c r="J157" s="72">
        <v>130</v>
      </c>
      <c r="K157" s="72">
        <v>130</v>
      </c>
    </row>
    <row r="158" spans="1:12" x14ac:dyDescent="0.25">
      <c r="A158" s="87" t="s">
        <v>18</v>
      </c>
      <c r="B158" s="69"/>
      <c r="C158" s="72">
        <v>257</v>
      </c>
      <c r="D158" s="72">
        <v>257</v>
      </c>
      <c r="E158" s="72">
        <f>E157*1.4+75</f>
        <v>257</v>
      </c>
      <c r="F158" s="72">
        <f>F157*1.4+75</f>
        <v>257</v>
      </c>
      <c r="G158" s="72">
        <f>G157+0.4*E157+75</f>
        <v>257</v>
      </c>
      <c r="H158" s="72">
        <f>H157+0.4*F157+75</f>
        <v>257</v>
      </c>
      <c r="I158" s="72">
        <f>I157+0.4*G157+75</f>
        <v>257</v>
      </c>
      <c r="J158" s="72">
        <f>J157+0.4*H157+75</f>
        <v>257</v>
      </c>
      <c r="K158" s="72">
        <f>K157+0.4*I157+75</f>
        <v>257</v>
      </c>
    </row>
    <row r="159" spans="1:12" ht="14.4" customHeight="1" x14ac:dyDescent="0.25">
      <c r="A159" s="87" t="s">
        <v>19</v>
      </c>
      <c r="B159" s="69"/>
      <c r="C159" s="715" t="s">
        <v>167</v>
      </c>
      <c r="D159" s="716"/>
      <c r="E159" s="716"/>
      <c r="F159" s="716"/>
      <c r="G159" s="716"/>
      <c r="H159" s="716"/>
      <c r="I159" s="716"/>
      <c r="J159" s="716"/>
      <c r="K159" s="717"/>
    </row>
    <row r="160" spans="1:12" x14ac:dyDescent="0.25">
      <c r="A160" s="87" t="s">
        <v>20</v>
      </c>
      <c r="B160" s="69"/>
      <c r="C160" s="72">
        <v>59.08</v>
      </c>
      <c r="D160" s="72">
        <v>145.32</v>
      </c>
      <c r="E160" s="72">
        <v>116.8</v>
      </c>
      <c r="F160" s="72">
        <v>110.73</v>
      </c>
      <c r="G160" s="72">
        <v>94</v>
      </c>
      <c r="H160" s="72">
        <v>69.739999999999995</v>
      </c>
      <c r="I160" s="72">
        <v>76.75</v>
      </c>
      <c r="J160" s="72">
        <v>75.09</v>
      </c>
      <c r="K160" s="72"/>
    </row>
    <row r="161" spans="1:11" x14ac:dyDescent="0.25">
      <c r="A161" s="87" t="s">
        <v>21</v>
      </c>
      <c r="B161" s="69"/>
      <c r="C161" s="72">
        <f t="shared" ref="C161:J161" si="7">C158-C160</f>
        <v>197.92000000000002</v>
      </c>
      <c r="D161" s="72">
        <f t="shared" si="7"/>
        <v>111.68</v>
      </c>
      <c r="E161" s="72">
        <f t="shared" si="7"/>
        <v>140.19999999999999</v>
      </c>
      <c r="F161" s="72">
        <f t="shared" si="7"/>
        <v>146.26999999999998</v>
      </c>
      <c r="G161" s="72">
        <f t="shared" si="7"/>
        <v>163</v>
      </c>
      <c r="H161" s="72">
        <f t="shared" si="7"/>
        <v>187.26</v>
      </c>
      <c r="I161" s="72">
        <f t="shared" si="7"/>
        <v>180.25</v>
      </c>
      <c r="J161" s="72">
        <f t="shared" si="7"/>
        <v>181.91</v>
      </c>
      <c r="K161" s="72"/>
    </row>
    <row r="162" spans="1:11" x14ac:dyDescent="0.25">
      <c r="A162" s="91" t="s">
        <v>22</v>
      </c>
      <c r="B162" s="74"/>
      <c r="C162" s="74">
        <v>2019</v>
      </c>
      <c r="D162" s="74">
        <v>2020</v>
      </c>
      <c r="E162" s="74">
        <v>2021</v>
      </c>
      <c r="F162" s="74">
        <v>2022</v>
      </c>
      <c r="G162" s="74">
        <v>2023</v>
      </c>
      <c r="H162" s="74">
        <v>2024</v>
      </c>
      <c r="I162" s="74">
        <v>2025</v>
      </c>
      <c r="J162" s="74">
        <v>2026</v>
      </c>
      <c r="K162" s="74">
        <v>2027</v>
      </c>
    </row>
    <row r="163" spans="1:11" x14ac:dyDescent="0.25">
      <c r="A163" s="73" t="s">
        <v>253</v>
      </c>
      <c r="B163" s="75"/>
      <c r="C163" s="75"/>
      <c r="D163" s="75"/>
      <c r="E163" s="75"/>
      <c r="F163" s="75"/>
      <c r="G163" s="75"/>
      <c r="H163" s="46"/>
      <c r="I163" s="46"/>
      <c r="J163" s="46"/>
      <c r="K163" s="47"/>
    </row>
    <row r="164" spans="1:11" x14ac:dyDescent="0.25">
      <c r="A164" s="94" t="s">
        <v>208</v>
      </c>
      <c r="B164" s="8"/>
      <c r="C164" s="8"/>
      <c r="D164" s="8"/>
      <c r="E164" s="8"/>
      <c r="F164" s="8"/>
      <c r="G164" s="8"/>
      <c r="K164" s="64"/>
    </row>
    <row r="165" spans="1:11" x14ac:dyDescent="0.25">
      <c r="A165" s="94" t="s">
        <v>254</v>
      </c>
      <c r="B165" s="8"/>
      <c r="C165" s="8"/>
      <c r="D165" s="8"/>
      <c r="E165" s="8"/>
      <c r="F165" s="8"/>
      <c r="G165" s="8"/>
      <c r="K165" s="64"/>
    </row>
    <row r="166" spans="1:11" x14ac:dyDescent="0.25">
      <c r="A166" s="94" t="s">
        <v>414</v>
      </c>
      <c r="B166" s="8"/>
      <c r="C166" s="8"/>
      <c r="D166" s="8"/>
      <c r="E166" s="8"/>
      <c r="F166" s="8"/>
      <c r="G166" s="8"/>
      <c r="K166" s="64"/>
    </row>
    <row r="167" spans="1:11" x14ac:dyDescent="0.25">
      <c r="A167" s="94" t="s">
        <v>575</v>
      </c>
      <c r="B167" s="8"/>
      <c r="C167" s="8"/>
      <c r="D167" s="8"/>
      <c r="E167" s="8"/>
      <c r="F167" s="8"/>
      <c r="G167" s="8"/>
      <c r="K167" s="64"/>
    </row>
    <row r="168" spans="1:11" x14ac:dyDescent="0.25">
      <c r="A168" s="94" t="s">
        <v>766</v>
      </c>
      <c r="B168" s="8"/>
      <c r="C168" s="8"/>
      <c r="D168" s="8"/>
      <c r="E168" s="8"/>
      <c r="F168" s="8"/>
      <c r="G168" s="8"/>
      <c r="K168" s="64"/>
    </row>
    <row r="169" spans="1:11" x14ac:dyDescent="0.25">
      <c r="A169" s="94" t="s">
        <v>767</v>
      </c>
      <c r="B169" s="8"/>
      <c r="C169" s="8"/>
      <c r="D169" s="8"/>
      <c r="E169" s="8"/>
      <c r="F169" s="8"/>
      <c r="G169" s="8"/>
      <c r="K169" s="64"/>
    </row>
    <row r="170" spans="1:11" x14ac:dyDescent="0.25">
      <c r="A170" s="95" t="s">
        <v>989</v>
      </c>
      <c r="B170" s="85"/>
      <c r="C170" s="85"/>
      <c r="D170" s="85"/>
      <c r="E170" s="85"/>
      <c r="F170" s="85"/>
      <c r="G170" s="85"/>
      <c r="H170" s="34"/>
      <c r="I170" s="34"/>
      <c r="J170" s="34"/>
      <c r="K170" s="48"/>
    </row>
    <row r="172" spans="1:11" x14ac:dyDescent="0.25">
      <c r="A172" s="65" t="s">
        <v>14</v>
      </c>
      <c r="B172" s="66" t="s">
        <v>641</v>
      </c>
      <c r="C172" s="67" t="s">
        <v>15</v>
      </c>
      <c r="D172" s="8"/>
      <c r="E172" s="8"/>
      <c r="F172" s="8"/>
    </row>
    <row r="173" spans="1:11" x14ac:dyDescent="0.25">
      <c r="A173" s="69" t="s">
        <v>16</v>
      </c>
      <c r="B173" s="69"/>
      <c r="C173" s="67">
        <v>2017</v>
      </c>
      <c r="D173" s="67">
        <v>2018</v>
      </c>
      <c r="E173" s="67">
        <v>2019</v>
      </c>
      <c r="F173" s="67">
        <v>2020</v>
      </c>
      <c r="G173" s="67">
        <v>2021</v>
      </c>
      <c r="H173" s="67">
        <v>2022</v>
      </c>
      <c r="I173" s="67">
        <v>2023</v>
      </c>
      <c r="J173" s="67">
        <v>2024</v>
      </c>
      <c r="K173" s="67">
        <v>2025</v>
      </c>
    </row>
    <row r="174" spans="1:11" x14ac:dyDescent="0.25">
      <c r="A174" s="69" t="s">
        <v>17</v>
      </c>
      <c r="B174" s="69"/>
      <c r="C174" s="72">
        <v>125</v>
      </c>
      <c r="D174" s="72">
        <v>125</v>
      </c>
      <c r="E174" s="72">
        <v>125</v>
      </c>
      <c r="F174" s="72">
        <v>125</v>
      </c>
      <c r="G174" s="72">
        <v>125</v>
      </c>
      <c r="H174" s="72">
        <v>125</v>
      </c>
      <c r="I174" s="72">
        <v>125</v>
      </c>
      <c r="J174" s="72">
        <v>125</v>
      </c>
      <c r="K174" s="72">
        <v>125</v>
      </c>
    </row>
    <row r="175" spans="1:11" x14ac:dyDescent="0.25">
      <c r="A175" s="69" t="s">
        <v>18</v>
      </c>
      <c r="B175" s="69"/>
      <c r="C175" s="72">
        <v>275</v>
      </c>
      <c r="D175" s="72">
        <v>287.5</v>
      </c>
      <c r="E175" s="72">
        <f>E174*1.2+25+50+50</f>
        <v>275</v>
      </c>
      <c r="F175" s="72">
        <f>F174*1.2+25+50+50</f>
        <v>275</v>
      </c>
      <c r="G175" s="72">
        <f>G174+0.2*E174+25+50+50</f>
        <v>275</v>
      </c>
      <c r="H175" s="72">
        <f>H174+0.2*F174+24.94+50+50</f>
        <v>274.94</v>
      </c>
      <c r="I175" s="72">
        <f>I174+0.1*G174+25+50+50</f>
        <v>262.5</v>
      </c>
      <c r="J175" s="72">
        <f>J174+0.1*H174+25+50+50</f>
        <v>262.5</v>
      </c>
      <c r="K175" s="72">
        <f>K174+0.1*I174+25+50+50</f>
        <v>262.5</v>
      </c>
    </row>
    <row r="176" spans="1:11" ht="14.4" customHeight="1" x14ac:dyDescent="0.25">
      <c r="A176" s="69" t="s">
        <v>19</v>
      </c>
      <c r="B176" s="69"/>
      <c r="C176" s="96" t="s">
        <v>167</v>
      </c>
      <c r="D176" s="71"/>
      <c r="E176" s="71"/>
      <c r="F176" s="71"/>
      <c r="G176" s="71"/>
      <c r="H176" s="71"/>
      <c r="I176" s="71"/>
      <c r="J176" s="97"/>
      <c r="K176" s="97"/>
    </row>
    <row r="177" spans="1:11" x14ac:dyDescent="0.25">
      <c r="A177" s="69" t="s">
        <v>20</v>
      </c>
      <c r="B177" s="69"/>
      <c r="C177" s="72">
        <v>166.01</v>
      </c>
      <c r="D177" s="72">
        <v>115.22</v>
      </c>
      <c r="E177" s="72">
        <v>55.33</v>
      </c>
      <c r="F177" s="72">
        <v>2.12</v>
      </c>
      <c r="G177" s="72">
        <v>29.08</v>
      </c>
      <c r="H177" s="72">
        <v>0</v>
      </c>
      <c r="I177" s="72">
        <v>0</v>
      </c>
      <c r="J177" s="72">
        <v>12.23</v>
      </c>
      <c r="K177" s="72"/>
    </row>
    <row r="178" spans="1:11" x14ac:dyDescent="0.25">
      <c r="A178" s="69" t="s">
        <v>21</v>
      </c>
      <c r="B178" s="69"/>
      <c r="C178" s="72">
        <f t="shared" ref="C178:J178" si="8">C175-C177</f>
        <v>108.99000000000001</v>
      </c>
      <c r="D178" s="72">
        <f t="shared" si="8"/>
        <v>172.28</v>
      </c>
      <c r="E178" s="72">
        <f t="shared" si="8"/>
        <v>219.67000000000002</v>
      </c>
      <c r="F178" s="72">
        <f t="shared" si="8"/>
        <v>272.88</v>
      </c>
      <c r="G178" s="72">
        <f t="shared" si="8"/>
        <v>245.92000000000002</v>
      </c>
      <c r="H178" s="72">
        <f t="shared" si="8"/>
        <v>274.94</v>
      </c>
      <c r="I178" s="72">
        <f t="shared" si="8"/>
        <v>262.5</v>
      </c>
      <c r="J178" s="72">
        <f t="shared" si="8"/>
        <v>250.27</v>
      </c>
      <c r="K178" s="72"/>
    </row>
    <row r="179" spans="1:11" x14ac:dyDescent="0.25">
      <c r="A179" s="74" t="s">
        <v>22</v>
      </c>
      <c r="B179" s="74"/>
      <c r="C179" s="74">
        <v>2019</v>
      </c>
      <c r="D179" s="74">
        <v>2020</v>
      </c>
      <c r="E179" s="74">
        <v>2021</v>
      </c>
      <c r="F179" s="74">
        <v>2022</v>
      </c>
      <c r="G179" s="74">
        <v>2023</v>
      </c>
      <c r="H179" s="74">
        <v>2024</v>
      </c>
      <c r="I179" s="74">
        <v>2025</v>
      </c>
      <c r="J179" s="74">
        <v>2026</v>
      </c>
      <c r="K179" s="74">
        <v>2027</v>
      </c>
    </row>
    <row r="180" spans="1:11" x14ac:dyDescent="0.25">
      <c r="A180" s="92" t="s">
        <v>256</v>
      </c>
      <c r="B180" s="93"/>
      <c r="C180" s="93"/>
      <c r="D180" s="93"/>
      <c r="E180" s="93"/>
      <c r="F180" s="93"/>
      <c r="G180" s="19"/>
      <c r="H180" s="19"/>
      <c r="I180" s="19"/>
      <c r="J180" s="19"/>
      <c r="K180" s="63"/>
    </row>
    <row r="181" spans="1:11" x14ac:dyDescent="0.25">
      <c r="A181" s="94" t="s">
        <v>257</v>
      </c>
      <c r="B181" s="8"/>
      <c r="C181" s="8"/>
      <c r="D181" s="8"/>
      <c r="E181" s="8"/>
      <c r="F181" s="8"/>
      <c r="K181" s="64"/>
    </row>
    <row r="182" spans="1:11" x14ac:dyDescent="0.25">
      <c r="A182" s="94" t="s">
        <v>258</v>
      </c>
      <c r="B182" s="8"/>
      <c r="C182" s="8"/>
      <c r="D182" s="8"/>
      <c r="E182" s="8"/>
      <c r="F182" s="8"/>
      <c r="K182" s="64"/>
    </row>
    <row r="183" spans="1:11" x14ac:dyDescent="0.25">
      <c r="A183" s="94" t="s">
        <v>209</v>
      </c>
      <c r="B183" s="8"/>
      <c r="C183" s="8"/>
      <c r="D183" s="8"/>
      <c r="E183" s="8"/>
      <c r="F183" s="8"/>
      <c r="K183" s="64"/>
    </row>
    <row r="184" spans="1:11" x14ac:dyDescent="0.25">
      <c r="A184" s="94" t="s">
        <v>255</v>
      </c>
      <c r="B184" s="8"/>
      <c r="C184" s="8"/>
      <c r="D184" s="8"/>
      <c r="E184" s="8"/>
      <c r="F184" s="8"/>
      <c r="K184" s="64"/>
    </row>
    <row r="185" spans="1:11" x14ac:dyDescent="0.25">
      <c r="A185" s="94" t="s">
        <v>415</v>
      </c>
      <c r="B185" s="8"/>
      <c r="C185" s="8"/>
      <c r="D185" s="8"/>
      <c r="E185" s="8"/>
      <c r="F185" s="8"/>
      <c r="K185" s="64"/>
    </row>
    <row r="186" spans="1:11" x14ac:dyDescent="0.25">
      <c r="A186" s="39" t="s">
        <v>576</v>
      </c>
      <c r="B186" s="8"/>
      <c r="C186" s="8"/>
      <c r="D186" s="8"/>
      <c r="E186" s="8"/>
      <c r="F186" s="8"/>
      <c r="K186" s="64"/>
    </row>
    <row r="187" spans="1:11" x14ac:dyDescent="0.25">
      <c r="A187" s="39" t="s">
        <v>991</v>
      </c>
      <c r="B187" s="8"/>
      <c r="C187" s="8"/>
      <c r="D187" s="8"/>
      <c r="E187" s="8"/>
      <c r="F187" s="8"/>
      <c r="K187" s="64"/>
    </row>
    <row r="188" spans="1:11" x14ac:dyDescent="0.25">
      <c r="A188" s="39" t="s">
        <v>990</v>
      </c>
      <c r="B188" s="8"/>
      <c r="C188" s="8"/>
      <c r="D188" s="8"/>
      <c r="E188" s="8"/>
      <c r="F188" s="8"/>
      <c r="K188" s="64"/>
    </row>
    <row r="189" spans="1:11" x14ac:dyDescent="0.25">
      <c r="A189" s="41" t="s">
        <v>992</v>
      </c>
      <c r="B189" s="34"/>
      <c r="C189" s="34"/>
      <c r="D189" s="34"/>
      <c r="E189" s="34"/>
      <c r="F189" s="34"/>
      <c r="G189" s="34"/>
      <c r="H189" s="34"/>
      <c r="I189" s="34"/>
      <c r="J189" s="34"/>
      <c r="K189" s="48"/>
    </row>
    <row r="192" spans="1:11" x14ac:dyDescent="0.25">
      <c r="A192" s="98" t="s">
        <v>12</v>
      </c>
      <c r="B192" s="66" t="s">
        <v>165</v>
      </c>
      <c r="C192" s="8"/>
      <c r="D192" s="8"/>
      <c r="E192" s="8"/>
      <c r="F192" s="8"/>
      <c r="G192" s="8"/>
    </row>
    <row r="193" spans="1:14" x14ac:dyDescent="0.25">
      <c r="A193" s="98" t="s">
        <v>14</v>
      </c>
      <c r="B193" s="66" t="s">
        <v>624</v>
      </c>
      <c r="C193" s="67" t="s">
        <v>15</v>
      </c>
      <c r="D193" s="8"/>
      <c r="E193" s="8"/>
      <c r="F193" s="8"/>
      <c r="G193" s="8"/>
    </row>
    <row r="194" spans="1:14" x14ac:dyDescent="0.25">
      <c r="A194" s="68" t="s">
        <v>16</v>
      </c>
      <c r="B194" s="67">
        <v>2014</v>
      </c>
      <c r="C194" s="67">
        <v>2015</v>
      </c>
      <c r="D194" s="70">
        <v>2016</v>
      </c>
      <c r="E194" s="67">
        <v>2017</v>
      </c>
      <c r="F194" s="66">
        <v>2018</v>
      </c>
      <c r="G194" s="66">
        <v>2019</v>
      </c>
      <c r="H194" s="66">
        <v>2020</v>
      </c>
      <c r="I194" s="66">
        <v>2021</v>
      </c>
      <c r="J194" s="66">
        <v>2022</v>
      </c>
      <c r="K194" s="66">
        <v>2023</v>
      </c>
      <c r="L194" s="66">
        <v>2024</v>
      </c>
      <c r="M194" s="66">
        <v>2025</v>
      </c>
    </row>
    <row r="195" spans="1:14" x14ac:dyDescent="0.25">
      <c r="A195" s="68" t="s">
        <v>17</v>
      </c>
      <c r="B195" s="99">
        <v>200</v>
      </c>
      <c r="C195" s="99">
        <v>200</v>
      </c>
      <c r="D195" s="99">
        <v>200</v>
      </c>
      <c r="E195" s="99">
        <v>200</v>
      </c>
      <c r="F195" s="100">
        <v>200</v>
      </c>
      <c r="G195" s="100">
        <v>215</v>
      </c>
      <c r="H195" s="100">
        <v>215</v>
      </c>
      <c r="I195" s="100">
        <v>242</v>
      </c>
      <c r="J195" s="100">
        <v>242</v>
      </c>
      <c r="K195" s="100">
        <v>242</v>
      </c>
      <c r="L195" s="100">
        <v>302</v>
      </c>
      <c r="M195" s="100">
        <v>302</v>
      </c>
    </row>
    <row r="196" spans="1:14" x14ac:dyDescent="0.25">
      <c r="A196" s="68" t="s">
        <v>18</v>
      </c>
      <c r="B196" s="99">
        <v>250</v>
      </c>
      <c r="C196" s="99">
        <v>250</v>
      </c>
      <c r="D196" s="99">
        <v>250</v>
      </c>
      <c r="E196" s="99">
        <v>250</v>
      </c>
      <c r="F196" s="100">
        <v>250</v>
      </c>
      <c r="G196" s="100">
        <f>E195*0.25+G195</f>
        <v>265</v>
      </c>
      <c r="H196" s="100">
        <f t="shared" ref="H196:L196" si="9">H195+0.25*G195</f>
        <v>268.75</v>
      </c>
      <c r="I196" s="100">
        <f t="shared" si="9"/>
        <v>295.75</v>
      </c>
      <c r="J196" s="100">
        <f>J195+0.25*I195</f>
        <v>302.5</v>
      </c>
      <c r="K196" s="100">
        <f t="shared" si="9"/>
        <v>302.5</v>
      </c>
      <c r="L196" s="100">
        <f t="shared" si="9"/>
        <v>362.5</v>
      </c>
      <c r="M196" s="100">
        <f>M195+0.25*L195</f>
        <v>377.5</v>
      </c>
    </row>
    <row r="197" spans="1:14" x14ac:dyDescent="0.25">
      <c r="A197" s="68" t="s">
        <v>19</v>
      </c>
      <c r="B197" s="101" t="s">
        <v>316</v>
      </c>
      <c r="C197" s="101" t="s">
        <v>316</v>
      </c>
      <c r="D197" s="101" t="s">
        <v>316</v>
      </c>
      <c r="E197" s="101" t="s">
        <v>316</v>
      </c>
      <c r="F197" s="101" t="s">
        <v>316</v>
      </c>
      <c r="G197" s="101" t="s">
        <v>371</v>
      </c>
      <c r="H197" s="101" t="s">
        <v>426</v>
      </c>
      <c r="I197" s="101" t="s">
        <v>652</v>
      </c>
      <c r="J197" s="101" t="s">
        <v>653</v>
      </c>
      <c r="K197" s="101" t="s">
        <v>653</v>
      </c>
      <c r="L197" s="101" t="s">
        <v>1033</v>
      </c>
      <c r="M197" s="101" t="s">
        <v>1258</v>
      </c>
    </row>
    <row r="198" spans="1:14" x14ac:dyDescent="0.25">
      <c r="A198" s="68" t="s">
        <v>20</v>
      </c>
      <c r="B198" s="99">
        <v>0</v>
      </c>
      <c r="C198" s="99">
        <v>0</v>
      </c>
      <c r="D198" s="99">
        <v>0</v>
      </c>
      <c r="E198" s="99">
        <v>0</v>
      </c>
      <c r="F198" s="100">
        <v>0</v>
      </c>
      <c r="G198" s="100">
        <v>0</v>
      </c>
      <c r="H198" s="100">
        <v>0</v>
      </c>
      <c r="I198" s="100">
        <v>0</v>
      </c>
      <c r="J198" s="100">
        <v>0</v>
      </c>
      <c r="K198" s="100">
        <v>41</v>
      </c>
      <c r="L198" s="100">
        <v>18.62</v>
      </c>
      <c r="M198" s="100"/>
    </row>
    <row r="199" spans="1:14" x14ac:dyDescent="0.25">
      <c r="A199" s="68" t="s">
        <v>21</v>
      </c>
      <c r="B199" s="99">
        <v>250</v>
      </c>
      <c r="C199" s="99">
        <v>250</v>
      </c>
      <c r="D199" s="99">
        <v>250</v>
      </c>
      <c r="E199" s="99">
        <v>250</v>
      </c>
      <c r="F199" s="100">
        <v>250</v>
      </c>
      <c r="G199" s="100">
        <f>G196</f>
        <v>265</v>
      </c>
      <c r="H199" s="100">
        <f>H196</f>
        <v>268.75</v>
      </c>
      <c r="I199" s="100">
        <f>I196</f>
        <v>295.75</v>
      </c>
      <c r="J199" s="100">
        <f>J196-J198</f>
        <v>302.5</v>
      </c>
      <c r="K199" s="100">
        <f>K196-K198</f>
        <v>261.5</v>
      </c>
      <c r="L199" s="100">
        <f>L196-L198</f>
        <v>343.88</v>
      </c>
      <c r="M199" s="100"/>
    </row>
    <row r="200" spans="1:14" x14ac:dyDescent="0.25">
      <c r="A200" s="73" t="s">
        <v>22</v>
      </c>
      <c r="B200" s="102">
        <v>2015</v>
      </c>
      <c r="C200" s="102">
        <v>2016</v>
      </c>
      <c r="D200" s="102">
        <v>2017</v>
      </c>
      <c r="E200" s="102">
        <v>2018</v>
      </c>
      <c r="F200" s="102">
        <v>2019</v>
      </c>
      <c r="G200" s="102">
        <v>2020</v>
      </c>
      <c r="H200" s="102">
        <v>2021</v>
      </c>
      <c r="I200" s="102">
        <v>2022</v>
      </c>
      <c r="J200" s="102">
        <v>2023</v>
      </c>
      <c r="K200" s="102">
        <v>2024</v>
      </c>
      <c r="L200" s="102">
        <v>2025</v>
      </c>
      <c r="M200" s="102">
        <v>2026</v>
      </c>
    </row>
    <row r="201" spans="1:14" x14ac:dyDescent="0.25">
      <c r="A201" s="92" t="s">
        <v>1106</v>
      </c>
      <c r="B201" s="93"/>
      <c r="C201" s="93"/>
      <c r="D201" s="93"/>
      <c r="E201" s="93"/>
      <c r="F201" s="93"/>
      <c r="G201" s="93"/>
      <c r="H201" s="93"/>
      <c r="I201" s="93"/>
      <c r="J201" s="19"/>
      <c r="K201" s="19"/>
      <c r="L201" s="19"/>
      <c r="M201" s="63"/>
    </row>
    <row r="202" spans="1:14" x14ac:dyDescent="0.25">
      <c r="A202" s="84" t="s">
        <v>1107</v>
      </c>
      <c r="B202" s="34"/>
      <c r="C202" s="34"/>
      <c r="D202" s="34"/>
      <c r="E202" s="34"/>
      <c r="F202" s="34"/>
      <c r="G202" s="34"/>
      <c r="H202" s="34"/>
      <c r="I202" s="34"/>
      <c r="J202" s="34"/>
      <c r="K202" s="34"/>
      <c r="L202" s="34"/>
      <c r="M202" s="48"/>
    </row>
    <row r="203" spans="1:14" x14ac:dyDescent="0.25">
      <c r="A203" s="84"/>
      <c r="B203" s="34"/>
      <c r="C203" s="34"/>
    </row>
    <row r="204" spans="1:14" x14ac:dyDescent="0.25">
      <c r="A204" s="103" t="s">
        <v>14</v>
      </c>
      <c r="B204" s="104" t="s">
        <v>638</v>
      </c>
      <c r="C204" s="105" t="s">
        <v>15</v>
      </c>
      <c r="D204" s="8"/>
      <c r="E204" s="8"/>
      <c r="F204" s="8"/>
      <c r="G204" s="8"/>
    </row>
    <row r="205" spans="1:14" x14ac:dyDescent="0.25">
      <c r="A205" s="68" t="s">
        <v>16</v>
      </c>
      <c r="B205" s="67">
        <v>2014</v>
      </c>
      <c r="C205" s="67">
        <v>2015</v>
      </c>
      <c r="D205" s="70">
        <v>2016</v>
      </c>
      <c r="E205" s="67">
        <v>2017</v>
      </c>
      <c r="F205" s="66">
        <v>2018</v>
      </c>
      <c r="G205" s="66">
        <v>2019</v>
      </c>
      <c r="H205" s="66">
        <v>2020</v>
      </c>
      <c r="I205" s="66">
        <v>2021</v>
      </c>
      <c r="J205" s="66">
        <v>2022</v>
      </c>
      <c r="K205" s="66">
        <v>2023</v>
      </c>
      <c r="L205" s="66">
        <v>2024</v>
      </c>
      <c r="M205" s="66">
        <v>2025</v>
      </c>
      <c r="N205" s="66">
        <v>2026</v>
      </c>
    </row>
    <row r="206" spans="1:14" x14ac:dyDescent="0.25">
      <c r="A206" s="68" t="s">
        <v>17</v>
      </c>
      <c r="B206" s="106">
        <v>2160</v>
      </c>
      <c r="C206" s="106">
        <v>2160</v>
      </c>
      <c r="D206" s="106">
        <v>2160</v>
      </c>
      <c r="E206" s="106">
        <v>2160</v>
      </c>
      <c r="F206" s="107">
        <v>2160</v>
      </c>
      <c r="G206" s="107">
        <v>2160</v>
      </c>
      <c r="H206" s="107">
        <v>2160</v>
      </c>
      <c r="I206" s="107">
        <v>2160</v>
      </c>
      <c r="J206" s="107">
        <v>2160</v>
      </c>
      <c r="K206" s="107">
        <v>2600</v>
      </c>
      <c r="L206" s="107">
        <v>2600</v>
      </c>
      <c r="M206" s="107">
        <v>2600</v>
      </c>
      <c r="N206" s="107">
        <v>2600</v>
      </c>
    </row>
    <row r="207" spans="1:14" x14ac:dyDescent="0.25">
      <c r="A207" s="68" t="s">
        <v>18</v>
      </c>
      <c r="B207" s="106">
        <v>2700</v>
      </c>
      <c r="C207" s="106">
        <v>2700</v>
      </c>
      <c r="D207" s="106">
        <v>2700</v>
      </c>
      <c r="E207" s="106">
        <v>2600</v>
      </c>
      <c r="F207" s="106">
        <v>2600</v>
      </c>
      <c r="G207" s="106">
        <v>2600</v>
      </c>
      <c r="H207" s="106">
        <f>H206+0.25*G206-200</f>
        <v>2500</v>
      </c>
      <c r="I207" s="106">
        <f>I206+0.25*H206</f>
        <v>2700</v>
      </c>
      <c r="J207" s="106">
        <f>J206*(1+0.25)-259.96</f>
        <v>2440.04</v>
      </c>
      <c r="K207" s="106">
        <f>K206+0.25*I206-100</f>
        <v>3040</v>
      </c>
      <c r="L207" s="106">
        <f>L206-100</f>
        <v>2500</v>
      </c>
      <c r="M207" s="106">
        <f>M206+0.25*J206-100</f>
        <v>3040</v>
      </c>
      <c r="N207" s="106">
        <f>N206+0.25*L206-100</f>
        <v>3150</v>
      </c>
    </row>
    <row r="208" spans="1:14" ht="27.6" customHeight="1" x14ac:dyDescent="0.25">
      <c r="A208" s="68" t="s">
        <v>19</v>
      </c>
      <c r="B208" s="108" t="s">
        <v>317</v>
      </c>
      <c r="C208" s="108" t="s">
        <v>317</v>
      </c>
      <c r="D208" s="108" t="s">
        <v>317</v>
      </c>
      <c r="E208" s="108" t="s">
        <v>318</v>
      </c>
      <c r="F208" s="108" t="s">
        <v>318</v>
      </c>
      <c r="G208" s="108" t="s">
        <v>318</v>
      </c>
      <c r="H208" s="108" t="s">
        <v>428</v>
      </c>
      <c r="I208" s="108" t="s">
        <v>317</v>
      </c>
      <c r="J208" s="108" t="s">
        <v>908</v>
      </c>
      <c r="K208" s="108" t="s">
        <v>821</v>
      </c>
      <c r="L208" s="108" t="s">
        <v>1030</v>
      </c>
      <c r="M208" s="108" t="s">
        <v>821</v>
      </c>
      <c r="N208" s="108" t="s">
        <v>821</v>
      </c>
    </row>
    <row r="209" spans="1:14" x14ac:dyDescent="0.25">
      <c r="A209" s="68" t="s">
        <v>20</v>
      </c>
      <c r="B209" s="106">
        <v>462.36</v>
      </c>
      <c r="C209" s="106">
        <v>490.22</v>
      </c>
      <c r="D209" s="106">
        <v>657.59</v>
      </c>
      <c r="E209" s="106">
        <v>496.85</v>
      </c>
      <c r="F209" s="107">
        <v>396</v>
      </c>
      <c r="G209" s="107">
        <v>1002.664409132517</v>
      </c>
      <c r="H209" s="107">
        <v>617</v>
      </c>
      <c r="I209" s="107">
        <v>516</v>
      </c>
      <c r="J209" s="107">
        <v>543</v>
      </c>
      <c r="K209" s="107">
        <v>524</v>
      </c>
      <c r="L209" s="107">
        <v>605.1</v>
      </c>
      <c r="M209" s="107"/>
      <c r="N209" s="107"/>
    </row>
    <row r="210" spans="1:14" x14ac:dyDescent="0.25">
      <c r="A210" s="68" t="s">
        <v>21</v>
      </c>
      <c r="B210" s="106">
        <f t="shared" ref="B210:G210" si="10">B207-B209</f>
        <v>2237.64</v>
      </c>
      <c r="C210" s="106">
        <f t="shared" si="10"/>
        <v>2209.7799999999997</v>
      </c>
      <c r="D210" s="106">
        <f t="shared" si="10"/>
        <v>2042.4099999999999</v>
      </c>
      <c r="E210" s="106">
        <f t="shared" si="10"/>
        <v>2103.15</v>
      </c>
      <c r="F210" s="106">
        <f t="shared" si="10"/>
        <v>2204</v>
      </c>
      <c r="G210" s="106">
        <f t="shared" si="10"/>
        <v>1597.335590867483</v>
      </c>
      <c r="H210" s="106">
        <f>H207-H209</f>
        <v>1883</v>
      </c>
      <c r="I210" s="106">
        <f>I207-I209</f>
        <v>2184</v>
      </c>
      <c r="J210" s="106">
        <f>J207-J209</f>
        <v>1897.04</v>
      </c>
      <c r="K210" s="106">
        <f>K207-K209</f>
        <v>2516</v>
      </c>
      <c r="L210" s="106">
        <f>L207-L209</f>
        <v>1894.9</v>
      </c>
      <c r="M210" s="106"/>
      <c r="N210" s="106"/>
    </row>
    <row r="211" spans="1:14" x14ac:dyDescent="0.25">
      <c r="A211" s="73" t="s">
        <v>22</v>
      </c>
      <c r="B211" s="102">
        <v>2016</v>
      </c>
      <c r="C211" s="102">
        <v>2017</v>
      </c>
      <c r="D211" s="102">
        <v>2018</v>
      </c>
      <c r="E211" s="102">
        <v>2019</v>
      </c>
      <c r="F211" s="102">
        <v>2020</v>
      </c>
      <c r="G211" s="102">
        <v>2021</v>
      </c>
      <c r="H211" s="102">
        <v>2022</v>
      </c>
      <c r="I211" s="102">
        <v>2023</v>
      </c>
      <c r="J211" s="102">
        <v>2024</v>
      </c>
      <c r="K211" s="102">
        <v>2025</v>
      </c>
      <c r="L211" s="102">
        <v>2026</v>
      </c>
      <c r="M211" s="102">
        <v>2027</v>
      </c>
      <c r="N211" s="102">
        <v>2028</v>
      </c>
    </row>
    <row r="212" spans="1:14" x14ac:dyDescent="0.25">
      <c r="A212" s="713" t="s">
        <v>791</v>
      </c>
      <c r="B212" s="714"/>
      <c r="C212" s="714"/>
      <c r="D212" s="714"/>
      <c r="E212" s="714"/>
      <c r="F212" s="714"/>
      <c r="G212" s="714"/>
      <c r="H212" s="46"/>
      <c r="I212" s="46"/>
      <c r="J212" s="46"/>
      <c r="K212" s="47"/>
      <c r="L212" s="47"/>
      <c r="M212" s="47"/>
      <c r="N212" s="47"/>
    </row>
    <row r="213" spans="1:14" x14ac:dyDescent="0.25">
      <c r="A213" s="76" t="s">
        <v>319</v>
      </c>
      <c r="B213" s="77"/>
      <c r="C213" s="77"/>
      <c r="D213" s="77"/>
      <c r="E213" s="77"/>
      <c r="F213" s="77"/>
      <c r="G213" s="77"/>
      <c r="H213" s="46"/>
      <c r="I213" s="46"/>
      <c r="J213" s="46"/>
      <c r="K213" s="46"/>
      <c r="L213" s="46"/>
      <c r="M213" s="46"/>
      <c r="N213" s="47"/>
    </row>
    <row r="214" spans="1:14" x14ac:dyDescent="0.25">
      <c r="A214" s="109" t="s">
        <v>1027</v>
      </c>
      <c r="B214" s="80"/>
      <c r="C214" s="80"/>
      <c r="D214" s="80"/>
      <c r="E214" s="80"/>
      <c r="F214" s="80"/>
      <c r="G214" s="80"/>
      <c r="N214" s="64"/>
    </row>
    <row r="215" spans="1:14" x14ac:dyDescent="0.25">
      <c r="A215" s="109" t="s">
        <v>427</v>
      </c>
      <c r="B215" s="80"/>
      <c r="C215" s="80"/>
      <c r="D215" s="80"/>
      <c r="E215" s="80"/>
      <c r="F215" s="80"/>
      <c r="G215" s="80"/>
      <c r="N215" s="64"/>
    </row>
    <row r="216" spans="1:14" x14ac:dyDescent="0.25">
      <c r="A216" s="109" t="s">
        <v>907</v>
      </c>
      <c r="B216" s="80"/>
      <c r="C216" s="80"/>
      <c r="D216" s="80"/>
      <c r="E216" s="80"/>
      <c r="F216" s="80"/>
      <c r="G216" s="80"/>
      <c r="N216" s="64"/>
    </row>
    <row r="217" spans="1:14" x14ac:dyDescent="0.25">
      <c r="A217" s="109" t="s">
        <v>820</v>
      </c>
      <c r="B217" s="80"/>
      <c r="C217" s="80"/>
      <c r="D217" s="80"/>
      <c r="E217" s="80"/>
      <c r="F217" s="80"/>
      <c r="G217" s="80"/>
      <c r="N217" s="64"/>
    </row>
    <row r="218" spans="1:14" x14ac:dyDescent="0.25">
      <c r="A218" s="109" t="s">
        <v>1029</v>
      </c>
      <c r="B218" s="80"/>
      <c r="C218" s="80"/>
      <c r="D218" s="80"/>
      <c r="E218" s="80"/>
      <c r="F218" s="80"/>
      <c r="G218" s="80"/>
      <c r="N218" s="64"/>
    </row>
    <row r="219" spans="1:14" x14ac:dyDescent="0.25">
      <c r="A219" s="109" t="s">
        <v>1100</v>
      </c>
      <c r="B219" s="80"/>
      <c r="C219" s="80"/>
      <c r="D219" s="80"/>
      <c r="E219" s="80"/>
      <c r="F219" s="80"/>
      <c r="G219" s="80"/>
      <c r="N219" s="64"/>
    </row>
    <row r="220" spans="1:14" x14ac:dyDescent="0.25">
      <c r="A220" s="440" t="s">
        <v>1260</v>
      </c>
      <c r="B220" s="111"/>
      <c r="C220" s="111"/>
      <c r="D220" s="111"/>
      <c r="E220" s="111"/>
      <c r="F220" s="111"/>
      <c r="G220" s="111"/>
      <c r="H220" s="34"/>
      <c r="I220" s="34"/>
      <c r="J220" s="34"/>
      <c r="K220" s="34"/>
      <c r="L220" s="34"/>
      <c r="M220" s="34"/>
      <c r="N220" s="48"/>
    </row>
    <row r="222" spans="1:14" x14ac:dyDescent="0.25">
      <c r="A222" s="98" t="s">
        <v>14</v>
      </c>
      <c r="B222" s="66" t="s">
        <v>623</v>
      </c>
      <c r="C222" s="67" t="s">
        <v>15</v>
      </c>
      <c r="D222" s="8"/>
      <c r="E222" s="8"/>
      <c r="F222" s="8"/>
    </row>
    <row r="223" spans="1:14" x14ac:dyDescent="0.25">
      <c r="A223" s="68" t="s">
        <v>16</v>
      </c>
      <c r="B223" s="67">
        <v>2014</v>
      </c>
      <c r="C223" s="67">
        <v>2015</v>
      </c>
      <c r="D223" s="70">
        <v>2016</v>
      </c>
      <c r="E223" s="67">
        <v>2017</v>
      </c>
      <c r="F223" s="66">
        <v>2018</v>
      </c>
      <c r="G223" s="66">
        <v>2019</v>
      </c>
      <c r="H223" s="66">
        <v>2020</v>
      </c>
      <c r="I223" s="66">
        <v>2021</v>
      </c>
      <c r="J223" s="66">
        <v>2022</v>
      </c>
      <c r="K223" s="66">
        <v>2023</v>
      </c>
      <c r="L223" s="66">
        <v>2024</v>
      </c>
      <c r="M223" s="112">
        <v>2025</v>
      </c>
      <c r="N223" s="112">
        <v>2026</v>
      </c>
    </row>
    <row r="224" spans="1:14" x14ac:dyDescent="0.25">
      <c r="A224" s="68" t="s">
        <v>17</v>
      </c>
      <c r="B224" s="99">
        <v>50</v>
      </c>
      <c r="C224" s="99">
        <v>50</v>
      </c>
      <c r="D224" s="99">
        <v>50</v>
      </c>
      <c r="E224" s="99">
        <v>50</v>
      </c>
      <c r="F224" s="99">
        <v>50</v>
      </c>
      <c r="G224" s="99">
        <v>50</v>
      </c>
      <c r="H224" s="99">
        <v>50</v>
      </c>
      <c r="I224" s="99">
        <v>50</v>
      </c>
      <c r="J224" s="99">
        <v>50</v>
      </c>
      <c r="K224" s="99">
        <v>50</v>
      </c>
      <c r="L224" s="99">
        <v>50</v>
      </c>
      <c r="M224" s="113">
        <v>50</v>
      </c>
      <c r="N224" s="113">
        <v>50</v>
      </c>
    </row>
    <row r="225" spans="1:14" x14ac:dyDescent="0.25">
      <c r="A225" s="68" t="s">
        <v>18</v>
      </c>
      <c r="B225" s="99">
        <v>75</v>
      </c>
      <c r="C225" s="99">
        <v>50</v>
      </c>
      <c r="D225" s="99">
        <v>50</v>
      </c>
      <c r="E225" s="99">
        <f>E224*1.5-25</f>
        <v>50</v>
      </c>
      <c r="F225" s="99">
        <f>F224*1.4-25</f>
        <v>45</v>
      </c>
      <c r="G225" s="99">
        <f>G224*1.4-25</f>
        <v>45</v>
      </c>
      <c r="H225" s="99">
        <f>H224*1.4-25</f>
        <v>45</v>
      </c>
      <c r="I225" s="99">
        <f>I224*1.4-25</f>
        <v>45</v>
      </c>
      <c r="J225" s="99">
        <f>J224*1.4-25</f>
        <v>45</v>
      </c>
      <c r="K225" s="99">
        <f>50+0.4*50-25</f>
        <v>45</v>
      </c>
      <c r="L225" s="99">
        <f>50+0.4*50-25</f>
        <v>45</v>
      </c>
      <c r="M225" s="113">
        <f>(M224)+(0.4*50)</f>
        <v>70</v>
      </c>
      <c r="N225" s="113">
        <f>(N224)+(0.4*50)</f>
        <v>70</v>
      </c>
    </row>
    <row r="226" spans="1:14" x14ac:dyDescent="0.25">
      <c r="A226" s="68" t="s">
        <v>19</v>
      </c>
      <c r="B226" s="99" t="s">
        <v>320</v>
      </c>
      <c r="C226" s="99" t="s">
        <v>321</v>
      </c>
      <c r="D226" s="99" t="s">
        <v>321</v>
      </c>
      <c r="E226" s="99" t="s">
        <v>321</v>
      </c>
      <c r="F226" s="99" t="s">
        <v>322</v>
      </c>
      <c r="G226" s="99" t="s">
        <v>322</v>
      </c>
      <c r="H226" s="99" t="s">
        <v>322</v>
      </c>
      <c r="I226" s="99" t="s">
        <v>322</v>
      </c>
      <c r="J226" s="99" t="s">
        <v>322</v>
      </c>
      <c r="K226" s="99" t="s">
        <v>1111</v>
      </c>
      <c r="L226" s="99" t="s">
        <v>1111</v>
      </c>
      <c r="M226" s="114" t="s">
        <v>1147</v>
      </c>
      <c r="N226" s="114" t="s">
        <v>1147</v>
      </c>
    </row>
    <row r="227" spans="1:14" x14ac:dyDescent="0.25">
      <c r="A227" s="68" t="s">
        <v>20</v>
      </c>
      <c r="B227" s="99">
        <v>0</v>
      </c>
      <c r="C227" s="99">
        <v>0</v>
      </c>
      <c r="D227" s="99">
        <v>0</v>
      </c>
      <c r="E227" s="99">
        <v>0</v>
      </c>
      <c r="F227" s="99">
        <v>0</v>
      </c>
      <c r="G227" s="99">
        <v>0</v>
      </c>
      <c r="H227" s="99">
        <v>0</v>
      </c>
      <c r="I227" s="99">
        <v>0</v>
      </c>
      <c r="J227" s="99">
        <v>0</v>
      </c>
      <c r="K227" s="99">
        <v>0</v>
      </c>
      <c r="L227" s="99">
        <v>0</v>
      </c>
      <c r="M227" s="115"/>
      <c r="N227" s="113"/>
    </row>
    <row r="228" spans="1:14" x14ac:dyDescent="0.25">
      <c r="A228" s="68" t="s">
        <v>21</v>
      </c>
      <c r="B228" s="99">
        <f t="shared" ref="B228:I228" si="11">B225</f>
        <v>75</v>
      </c>
      <c r="C228" s="99">
        <f t="shared" si="11"/>
        <v>50</v>
      </c>
      <c r="D228" s="99">
        <f t="shared" si="11"/>
        <v>50</v>
      </c>
      <c r="E228" s="99">
        <f t="shared" si="11"/>
        <v>50</v>
      </c>
      <c r="F228" s="99">
        <f t="shared" si="11"/>
        <v>45</v>
      </c>
      <c r="G228" s="99">
        <f t="shared" si="11"/>
        <v>45</v>
      </c>
      <c r="H228" s="99">
        <f t="shared" si="11"/>
        <v>45</v>
      </c>
      <c r="I228" s="99">
        <f t="shared" si="11"/>
        <v>45</v>
      </c>
      <c r="J228" s="99">
        <f>J225-J227</f>
        <v>45</v>
      </c>
      <c r="K228" s="99">
        <f>K225-K227</f>
        <v>45</v>
      </c>
      <c r="L228" s="99">
        <f>L225-L227</f>
        <v>45</v>
      </c>
      <c r="M228" s="115"/>
      <c r="N228" s="113"/>
    </row>
    <row r="229" spans="1:14" x14ac:dyDescent="0.25">
      <c r="A229" s="92" t="s">
        <v>22</v>
      </c>
      <c r="B229" s="593">
        <v>2016</v>
      </c>
      <c r="C229" s="593">
        <v>2017</v>
      </c>
      <c r="D229" s="593">
        <v>2018</v>
      </c>
      <c r="E229" s="593">
        <v>2019</v>
      </c>
      <c r="F229" s="593">
        <v>2020</v>
      </c>
      <c r="G229" s="593">
        <v>2021</v>
      </c>
      <c r="H229" s="593">
        <v>2022</v>
      </c>
      <c r="I229" s="593">
        <v>2023</v>
      </c>
      <c r="J229" s="593">
        <v>2024</v>
      </c>
      <c r="K229" s="593">
        <v>2025</v>
      </c>
      <c r="L229" s="593">
        <v>2026</v>
      </c>
      <c r="M229" s="594"/>
      <c r="N229" s="594"/>
    </row>
    <row r="230" spans="1:14" x14ac:dyDescent="0.25">
      <c r="A230" s="706" t="s">
        <v>792</v>
      </c>
      <c r="B230" s="707"/>
      <c r="C230" s="707"/>
      <c r="D230" s="707"/>
      <c r="E230" s="707"/>
      <c r="F230" s="707"/>
      <c r="G230" s="707"/>
      <c r="H230" s="19"/>
      <c r="I230" s="19"/>
      <c r="J230" s="19"/>
      <c r="K230" s="19"/>
      <c r="L230" s="19"/>
      <c r="M230" s="19"/>
      <c r="N230" s="63"/>
    </row>
    <row r="231" spans="1:14" x14ac:dyDescent="0.25">
      <c r="A231" s="109" t="s">
        <v>1108</v>
      </c>
      <c r="B231" s="80"/>
      <c r="C231" s="80"/>
      <c r="D231" s="80"/>
      <c r="E231" s="80"/>
      <c r="F231" s="80"/>
      <c r="G231" s="80"/>
      <c r="N231" s="64"/>
    </row>
    <row r="232" spans="1:14" x14ac:dyDescent="0.25">
      <c r="A232" s="723" t="s">
        <v>1109</v>
      </c>
      <c r="B232" s="724"/>
      <c r="C232" s="724"/>
      <c r="D232" s="724"/>
      <c r="E232" s="724"/>
      <c r="F232" s="724"/>
      <c r="G232" s="724"/>
      <c r="N232" s="64"/>
    </row>
    <row r="233" spans="1:14" x14ac:dyDescent="0.25">
      <c r="A233" s="84" t="s">
        <v>1110</v>
      </c>
      <c r="B233" s="116"/>
      <c r="C233" s="116"/>
      <c r="D233" s="116"/>
      <c r="E233" s="116"/>
      <c r="F233" s="116"/>
      <c r="G233" s="116"/>
      <c r="H233" s="34"/>
      <c r="I233" s="34"/>
      <c r="J233" s="34"/>
      <c r="K233" s="34"/>
      <c r="L233" s="34"/>
      <c r="M233" s="34"/>
      <c r="N233" s="48"/>
    </row>
    <row r="234" spans="1:14" x14ac:dyDescent="0.25">
      <c r="A234" s="80"/>
      <c r="B234" s="80"/>
      <c r="C234" s="80"/>
      <c r="D234" s="80"/>
      <c r="E234" s="80"/>
      <c r="F234" s="80"/>
      <c r="G234" s="80"/>
    </row>
    <row r="236" spans="1:14" x14ac:dyDescent="0.25">
      <c r="A236" s="98" t="s">
        <v>14</v>
      </c>
      <c r="B236" s="66" t="s">
        <v>641</v>
      </c>
      <c r="C236" s="67" t="s">
        <v>15</v>
      </c>
      <c r="D236" s="8"/>
      <c r="E236" s="8"/>
      <c r="F236" s="8"/>
      <c r="G236" s="8"/>
    </row>
    <row r="237" spans="1:14" x14ac:dyDescent="0.25">
      <c r="A237" s="68" t="s">
        <v>16</v>
      </c>
      <c r="B237" s="67">
        <v>2014</v>
      </c>
      <c r="C237" s="67">
        <v>2015</v>
      </c>
      <c r="D237" s="70">
        <v>2016</v>
      </c>
      <c r="E237" s="67">
        <v>2017</v>
      </c>
      <c r="F237" s="66">
        <v>2018</v>
      </c>
      <c r="G237" s="66">
        <v>2019</v>
      </c>
      <c r="H237" s="66">
        <v>2020</v>
      </c>
      <c r="I237" s="66">
        <v>2021</v>
      </c>
      <c r="J237" s="66">
        <v>2022</v>
      </c>
      <c r="K237" s="66">
        <v>2023</v>
      </c>
      <c r="L237" s="66">
        <v>2024</v>
      </c>
      <c r="M237" s="66">
        <v>2025</v>
      </c>
      <c r="N237" s="66">
        <v>2026</v>
      </c>
    </row>
    <row r="238" spans="1:14" x14ac:dyDescent="0.25">
      <c r="A238" s="68" t="s">
        <v>17</v>
      </c>
      <c r="B238" s="106">
        <v>3940</v>
      </c>
      <c r="C238" s="106">
        <v>3940</v>
      </c>
      <c r="D238" s="106">
        <v>3940</v>
      </c>
      <c r="E238" s="106">
        <v>3940</v>
      </c>
      <c r="F238" s="106">
        <v>3940</v>
      </c>
      <c r="G238" s="106">
        <v>3940</v>
      </c>
      <c r="H238" s="106">
        <v>3940</v>
      </c>
      <c r="I238" s="106">
        <v>3940</v>
      </c>
      <c r="J238" s="106">
        <v>3940</v>
      </c>
      <c r="K238" s="106">
        <v>3940</v>
      </c>
      <c r="L238" s="106">
        <v>3940</v>
      </c>
      <c r="M238" s="106">
        <v>3940</v>
      </c>
      <c r="N238" s="106">
        <v>3940</v>
      </c>
    </row>
    <row r="239" spans="1:14" x14ac:dyDescent="0.25">
      <c r="A239" s="68" t="s">
        <v>18</v>
      </c>
      <c r="B239" s="106">
        <f>B238*1.3-50</f>
        <v>5072</v>
      </c>
      <c r="C239" s="106">
        <f>C238*1.3-50</f>
        <v>5072</v>
      </c>
      <c r="D239" s="106">
        <f>D238*1.3-50</f>
        <v>5072</v>
      </c>
      <c r="E239" s="106">
        <f>E238*1.3-50</f>
        <v>5072</v>
      </c>
      <c r="F239" s="106">
        <f>F238*1.2-50</f>
        <v>4678</v>
      </c>
      <c r="G239" s="106">
        <f>G238*1.2-50</f>
        <v>4678</v>
      </c>
      <c r="H239" s="106">
        <f>H238*1.2-50</f>
        <v>4678</v>
      </c>
      <c r="I239" s="106">
        <f>I238*1.2-50</f>
        <v>4678</v>
      </c>
      <c r="J239" s="106">
        <f>J238*1.2-50</f>
        <v>4678</v>
      </c>
      <c r="K239" s="106">
        <f>K238*1.1-50</f>
        <v>4284</v>
      </c>
      <c r="L239" s="106">
        <f>L238*1.1-50</f>
        <v>4284</v>
      </c>
      <c r="M239" s="106">
        <f>M238*1.1-50</f>
        <v>4284</v>
      </c>
      <c r="N239" s="106">
        <f>N238*1.1-50</f>
        <v>4284</v>
      </c>
    </row>
    <row r="240" spans="1:14" x14ac:dyDescent="0.25">
      <c r="A240" s="68" t="s">
        <v>19</v>
      </c>
      <c r="B240" s="106" t="s">
        <v>324</v>
      </c>
      <c r="C240" s="106" t="s">
        <v>324</v>
      </c>
      <c r="D240" s="106" t="s">
        <v>324</v>
      </c>
      <c r="E240" s="106" t="s">
        <v>324</v>
      </c>
      <c r="F240" s="106" t="s">
        <v>325</v>
      </c>
      <c r="G240" s="106" t="s">
        <v>325</v>
      </c>
      <c r="H240" s="106" t="s">
        <v>325</v>
      </c>
      <c r="I240" s="106" t="s">
        <v>325</v>
      </c>
      <c r="J240" s="106" t="s">
        <v>325</v>
      </c>
      <c r="K240" s="106" t="s">
        <v>1112</v>
      </c>
      <c r="L240" s="106" t="s">
        <v>1112</v>
      </c>
      <c r="M240" s="106" t="s">
        <v>1112</v>
      </c>
      <c r="N240" s="106" t="s">
        <v>1112</v>
      </c>
    </row>
    <row r="241" spans="1:14" x14ac:dyDescent="0.25">
      <c r="A241" s="68" t="s">
        <v>20</v>
      </c>
      <c r="B241" s="106">
        <v>2892.02</v>
      </c>
      <c r="C241" s="106">
        <v>2599.0703200000003</v>
      </c>
      <c r="D241" s="106">
        <v>2934.78017</v>
      </c>
      <c r="E241" s="106">
        <v>2406.0276984999996</v>
      </c>
      <c r="F241" s="106">
        <v>2798</v>
      </c>
      <c r="G241" s="106">
        <v>2858.8298242939013</v>
      </c>
      <c r="H241" s="106">
        <v>2105</v>
      </c>
      <c r="I241" s="106">
        <v>2823</v>
      </c>
      <c r="J241" s="106">
        <v>2197</v>
      </c>
      <c r="K241" s="106">
        <v>1984</v>
      </c>
      <c r="L241" s="106">
        <v>2377.3000000000002</v>
      </c>
      <c r="M241" s="106"/>
      <c r="N241" s="106"/>
    </row>
    <row r="242" spans="1:14" x14ac:dyDescent="0.25">
      <c r="A242" s="68" t="s">
        <v>21</v>
      </c>
      <c r="B242" s="106">
        <f t="shared" ref="B242:L242" si="12">B239-B241</f>
        <v>2179.98</v>
      </c>
      <c r="C242" s="106">
        <f t="shared" si="12"/>
        <v>2472.9296799999997</v>
      </c>
      <c r="D242" s="106">
        <f t="shared" si="12"/>
        <v>2137.21983</v>
      </c>
      <c r="E242" s="106">
        <f t="shared" si="12"/>
        <v>2665.9723015000004</v>
      </c>
      <c r="F242" s="106">
        <f t="shared" si="12"/>
        <v>1880</v>
      </c>
      <c r="G242" s="106">
        <f t="shared" si="12"/>
        <v>1819.1701757060987</v>
      </c>
      <c r="H242" s="106">
        <f t="shared" si="12"/>
        <v>2573</v>
      </c>
      <c r="I242" s="106">
        <f t="shared" si="12"/>
        <v>1855</v>
      </c>
      <c r="J242" s="106">
        <f t="shared" si="12"/>
        <v>2481</v>
      </c>
      <c r="K242" s="106">
        <f t="shared" si="12"/>
        <v>2300</v>
      </c>
      <c r="L242" s="106">
        <f t="shared" si="12"/>
        <v>1906.6999999999998</v>
      </c>
      <c r="M242" s="106"/>
      <c r="N242" s="106"/>
    </row>
    <row r="243" spans="1:14" x14ac:dyDescent="0.25">
      <c r="A243" s="73" t="s">
        <v>22</v>
      </c>
      <c r="B243" s="74">
        <v>2015</v>
      </c>
      <c r="C243" s="74">
        <v>2016</v>
      </c>
      <c r="D243" s="75">
        <v>2017</v>
      </c>
      <c r="E243" s="74">
        <v>2018</v>
      </c>
      <c r="F243" s="117">
        <v>2019</v>
      </c>
      <c r="G243" s="117">
        <v>2020</v>
      </c>
      <c r="H243" s="117">
        <v>2021</v>
      </c>
      <c r="I243" s="117">
        <v>2022</v>
      </c>
      <c r="J243" s="117">
        <v>2023</v>
      </c>
      <c r="K243" s="117">
        <v>2024</v>
      </c>
      <c r="L243" s="117">
        <v>2025</v>
      </c>
      <c r="M243" s="117">
        <v>2026</v>
      </c>
      <c r="N243" s="117">
        <v>2027</v>
      </c>
    </row>
    <row r="244" spans="1:14" x14ac:dyDescent="0.25">
      <c r="A244" s="713" t="s">
        <v>1031</v>
      </c>
      <c r="B244" s="714"/>
      <c r="C244" s="714"/>
      <c r="D244" s="714"/>
      <c r="E244" s="714"/>
      <c r="F244" s="714"/>
      <c r="G244" s="714"/>
      <c r="H244" s="46"/>
      <c r="I244" s="46"/>
      <c r="J244" s="46"/>
      <c r="K244" s="46"/>
      <c r="L244" s="46"/>
      <c r="M244" s="46"/>
      <c r="N244" s="47"/>
    </row>
    <row r="245" spans="1:14" x14ac:dyDescent="0.25">
      <c r="A245" s="110" t="s">
        <v>1032</v>
      </c>
      <c r="B245" s="111"/>
      <c r="C245" s="111"/>
      <c r="D245" s="111"/>
      <c r="E245" s="111"/>
      <c r="F245" s="111"/>
      <c r="G245" s="111"/>
      <c r="H245" s="34"/>
      <c r="I245" s="34"/>
      <c r="J245" s="34"/>
      <c r="K245" s="34"/>
      <c r="L245" s="34"/>
      <c r="M245" s="34"/>
      <c r="N245" s="48"/>
    </row>
    <row r="247" spans="1:14" x14ac:dyDescent="0.25">
      <c r="A247" s="98" t="s">
        <v>14</v>
      </c>
      <c r="B247" s="66" t="s">
        <v>66</v>
      </c>
      <c r="C247" s="67" t="s">
        <v>15</v>
      </c>
      <c r="D247" s="8"/>
      <c r="E247" s="8"/>
      <c r="F247" s="8"/>
    </row>
    <row r="248" spans="1:14" x14ac:dyDescent="0.25">
      <c r="A248" s="68" t="s">
        <v>16</v>
      </c>
      <c r="B248" s="69"/>
      <c r="C248" s="9">
        <v>2020</v>
      </c>
      <c r="D248" s="9">
        <v>2021</v>
      </c>
      <c r="E248" s="9">
        <v>2022</v>
      </c>
      <c r="F248" s="9">
        <v>2023</v>
      </c>
      <c r="G248" s="9">
        <v>2024</v>
      </c>
      <c r="H248" s="9">
        <v>2025</v>
      </c>
      <c r="I248" s="9">
        <v>2026</v>
      </c>
      <c r="J248" s="9">
        <v>2027</v>
      </c>
      <c r="K248" s="9">
        <v>2028</v>
      </c>
      <c r="L248" s="9"/>
    </row>
    <row r="249" spans="1:14" x14ac:dyDescent="0.25">
      <c r="A249" s="68" t="s">
        <v>17</v>
      </c>
      <c r="B249" s="72"/>
      <c r="C249" s="12">
        <v>6043</v>
      </c>
      <c r="D249" s="12">
        <v>5946.3120000000008</v>
      </c>
      <c r="E249" s="12">
        <v>5994.6559999999999</v>
      </c>
      <c r="F249" s="12">
        <v>5994.6559999999999</v>
      </c>
      <c r="G249" s="12">
        <v>5994.6559999999999</v>
      </c>
      <c r="H249" s="12">
        <v>5994.6559999999999</v>
      </c>
      <c r="I249" s="12">
        <v>5994.6559999999999</v>
      </c>
      <c r="J249" s="12">
        <v>5994.6559999999999</v>
      </c>
      <c r="K249" s="12">
        <v>5994.6559999999999</v>
      </c>
      <c r="L249" s="12"/>
    </row>
    <row r="250" spans="1:14" x14ac:dyDescent="0.25">
      <c r="A250" s="68" t="s">
        <v>18</v>
      </c>
      <c r="B250" s="72"/>
      <c r="C250" s="12"/>
      <c r="D250" s="12"/>
      <c r="E250" s="12">
        <f>E249+C253</f>
        <v>5753.6559999999999</v>
      </c>
      <c r="F250" s="12">
        <f>F249+D253</f>
        <v>5441.9680000000008</v>
      </c>
      <c r="G250" s="12">
        <f>G249-355.34</f>
        <v>5639.3159999999998</v>
      </c>
      <c r="H250" s="12">
        <f>H249-308+F253</f>
        <v>4764.6240000000007</v>
      </c>
      <c r="I250" s="12">
        <f>I249-308-G253</f>
        <v>3694.8900000000003</v>
      </c>
      <c r="J250" s="12">
        <f>J249-308+H253</f>
        <v>5686.6559999999999</v>
      </c>
      <c r="K250" s="12">
        <f>K249-308+I253</f>
        <v>5686.6559999999999</v>
      </c>
      <c r="L250" s="12"/>
    </row>
    <row r="251" spans="1:14" x14ac:dyDescent="0.25">
      <c r="A251" s="68" t="s">
        <v>19</v>
      </c>
      <c r="B251" s="72"/>
      <c r="C251" s="12"/>
      <c r="D251" s="12"/>
      <c r="E251" s="12" t="s">
        <v>714</v>
      </c>
      <c r="F251" s="12" t="s">
        <v>715</v>
      </c>
      <c r="G251" s="12" t="s">
        <v>935</v>
      </c>
      <c r="H251" s="12" t="s">
        <v>1034</v>
      </c>
      <c r="I251" s="12" t="s">
        <v>1148</v>
      </c>
      <c r="J251" s="12" t="s">
        <v>936</v>
      </c>
      <c r="K251" s="12" t="s">
        <v>937</v>
      </c>
      <c r="L251" s="12"/>
      <c r="M251" s="269"/>
    </row>
    <row r="252" spans="1:14" x14ac:dyDescent="0.25">
      <c r="A252" s="68" t="s">
        <v>20</v>
      </c>
      <c r="B252" s="72"/>
      <c r="C252" s="12">
        <v>6284</v>
      </c>
      <c r="D252" s="12">
        <v>6499</v>
      </c>
      <c r="E252" s="12">
        <v>7341</v>
      </c>
      <c r="F252" s="12">
        <v>6364</v>
      </c>
      <c r="G252" s="12">
        <v>3647.55</v>
      </c>
      <c r="H252" s="12"/>
      <c r="I252" s="12"/>
      <c r="J252" s="12"/>
      <c r="K252" s="12"/>
      <c r="L252" s="12"/>
    </row>
    <row r="253" spans="1:14" x14ac:dyDescent="0.25">
      <c r="A253" s="68" t="s">
        <v>21</v>
      </c>
      <c r="B253" s="101"/>
      <c r="C253" s="12">
        <f>C249-C252</f>
        <v>-241</v>
      </c>
      <c r="D253" s="12">
        <f>D249-D252</f>
        <v>-552.68799999999919</v>
      </c>
      <c r="E253" s="12">
        <f>E250-E252</f>
        <v>-1587.3440000000001</v>
      </c>
      <c r="F253" s="12">
        <f>F250-F252</f>
        <v>-922.03199999999924</v>
      </c>
      <c r="G253" s="12">
        <f>G250-G252</f>
        <v>1991.7659999999996</v>
      </c>
      <c r="H253" s="12"/>
      <c r="I253" s="12"/>
      <c r="J253" s="12"/>
      <c r="K253" s="12"/>
      <c r="L253" s="12"/>
    </row>
    <row r="254" spans="1:14" x14ac:dyDescent="0.25">
      <c r="A254" s="73" t="s">
        <v>22</v>
      </c>
      <c r="B254" s="102"/>
      <c r="C254" s="17">
        <v>2022</v>
      </c>
      <c r="D254" s="17">
        <v>2023</v>
      </c>
      <c r="E254" s="17">
        <v>2024</v>
      </c>
      <c r="F254" s="17">
        <v>2025</v>
      </c>
      <c r="G254" s="17">
        <v>2026</v>
      </c>
      <c r="H254" s="17">
        <v>2027</v>
      </c>
      <c r="I254" s="17">
        <v>2028</v>
      </c>
      <c r="J254" s="17">
        <v>2029</v>
      </c>
      <c r="K254" s="17">
        <v>2030</v>
      </c>
      <c r="L254" s="17"/>
    </row>
    <row r="255" spans="1:14" ht="12.75" customHeight="1" x14ac:dyDescent="0.25">
      <c r="A255" s="595" t="s">
        <v>23</v>
      </c>
      <c r="B255" s="596"/>
      <c r="C255" s="596"/>
      <c r="D255" s="596"/>
      <c r="E255" s="596"/>
      <c r="F255" s="596"/>
      <c r="G255" s="596"/>
      <c r="H255" s="596"/>
      <c r="I255" s="596"/>
      <c r="J255" s="596"/>
      <c r="K255" s="597"/>
      <c r="L255" s="597"/>
    </row>
    <row r="256" spans="1:14" ht="12.75" customHeight="1" x14ac:dyDescent="0.25">
      <c r="A256" s="599" t="s">
        <v>654</v>
      </c>
      <c r="B256" s="596"/>
      <c r="C256" s="596"/>
      <c r="D256" s="596"/>
      <c r="E256" s="596"/>
      <c r="F256" s="596"/>
      <c r="G256" s="258"/>
      <c r="H256" s="258"/>
      <c r="I256" s="19"/>
      <c r="J256" s="19"/>
      <c r="K256" s="19"/>
      <c r="L256" s="63"/>
    </row>
    <row r="257" spans="1:12" ht="12.75" customHeight="1" x14ac:dyDescent="0.25">
      <c r="A257" s="118" t="s">
        <v>934</v>
      </c>
      <c r="B257" s="598"/>
      <c r="C257" s="598"/>
      <c r="D257" s="598"/>
      <c r="E257" s="598"/>
      <c r="F257" s="598"/>
      <c r="G257" s="119"/>
      <c r="H257" s="119"/>
      <c r="L257" s="64"/>
    </row>
    <row r="258" spans="1:12" ht="12.75" customHeight="1" x14ac:dyDescent="0.25">
      <c r="A258" s="118"/>
      <c r="B258" s="598"/>
      <c r="C258" s="598"/>
      <c r="D258" s="598"/>
      <c r="E258" s="598"/>
      <c r="F258" s="598"/>
      <c r="G258" s="119"/>
      <c r="H258" s="119"/>
      <c r="L258" s="64"/>
    </row>
    <row r="259" spans="1:12" ht="12.75" customHeight="1" x14ac:dyDescent="0.25">
      <c r="A259" s="118"/>
      <c r="B259" s="598"/>
      <c r="C259" s="598"/>
      <c r="D259" s="598"/>
      <c r="E259" s="598"/>
      <c r="F259" s="598"/>
      <c r="G259" s="119"/>
      <c r="H259" s="119"/>
      <c r="L259" s="64"/>
    </row>
    <row r="260" spans="1:12" ht="12.75" customHeight="1" x14ac:dyDescent="0.25">
      <c r="A260" s="120"/>
      <c r="B260" s="121"/>
      <c r="C260" s="121"/>
      <c r="D260" s="121"/>
      <c r="E260" s="121"/>
      <c r="F260" s="122"/>
      <c r="G260" s="122"/>
      <c r="H260" s="122"/>
      <c r="I260" s="34"/>
      <c r="J260" s="34"/>
      <c r="K260" s="34"/>
      <c r="L260" s="48"/>
    </row>
    <row r="261" spans="1:12" x14ac:dyDescent="0.25">
      <c r="C261" s="123"/>
    </row>
    <row r="262" spans="1:12" x14ac:dyDescent="0.25">
      <c r="A262" s="98" t="s">
        <v>14</v>
      </c>
      <c r="B262" s="66" t="s">
        <v>74</v>
      </c>
      <c r="C262" s="67" t="s">
        <v>15</v>
      </c>
      <c r="D262" s="8"/>
      <c r="E262" s="8"/>
      <c r="F262" s="8"/>
    </row>
    <row r="263" spans="1:12" x14ac:dyDescent="0.25">
      <c r="A263" s="92" t="s">
        <v>16</v>
      </c>
      <c r="B263" s="124">
        <v>2014</v>
      </c>
      <c r="C263" s="124">
        <v>2015</v>
      </c>
      <c r="D263" s="125">
        <v>2016</v>
      </c>
      <c r="E263" s="124">
        <v>2017</v>
      </c>
      <c r="F263" s="126">
        <v>2018</v>
      </c>
      <c r="G263" s="127">
        <v>2019</v>
      </c>
      <c r="H263" s="127">
        <v>2020</v>
      </c>
      <c r="I263" s="127">
        <v>2021</v>
      </c>
      <c r="J263" s="127">
        <v>2022</v>
      </c>
      <c r="K263" s="128">
        <v>2023</v>
      </c>
      <c r="L263" s="128">
        <v>2024</v>
      </c>
    </row>
    <row r="264" spans="1:12" x14ac:dyDescent="0.25">
      <c r="A264" s="129" t="s">
        <v>17</v>
      </c>
      <c r="B264" s="130">
        <v>190</v>
      </c>
      <c r="C264" s="130">
        <v>190</v>
      </c>
      <c r="D264" s="130">
        <v>190</v>
      </c>
      <c r="E264" s="130">
        <v>190</v>
      </c>
      <c r="F264" s="130">
        <v>190</v>
      </c>
      <c r="G264" s="131">
        <v>190</v>
      </c>
      <c r="H264" s="131">
        <v>159.80000000000001</v>
      </c>
      <c r="I264" s="131">
        <v>159.80000000000001</v>
      </c>
      <c r="J264" s="131">
        <v>159.80000000000001</v>
      </c>
      <c r="K264" s="90">
        <v>159.80000000000001</v>
      </c>
      <c r="L264" s="90">
        <v>159.80000000000001</v>
      </c>
    </row>
    <row r="265" spans="1:12" x14ac:dyDescent="0.25">
      <c r="A265" s="129" t="s">
        <v>18</v>
      </c>
      <c r="B265" s="130"/>
      <c r="C265" s="130"/>
      <c r="D265" s="130"/>
      <c r="E265" s="130"/>
      <c r="F265" s="130"/>
      <c r="G265" s="131"/>
      <c r="H265" s="131"/>
      <c r="I265" s="131"/>
      <c r="J265" s="131">
        <v>159.80000000000001</v>
      </c>
      <c r="K265" s="90">
        <v>159.80000000000001</v>
      </c>
      <c r="L265" s="90">
        <v>159.80000000000001</v>
      </c>
    </row>
    <row r="266" spans="1:12" x14ac:dyDescent="0.25">
      <c r="A266" s="129" t="s">
        <v>19</v>
      </c>
      <c r="B266" s="130"/>
      <c r="C266" s="130"/>
      <c r="D266" s="130"/>
      <c r="E266" s="130"/>
      <c r="F266" s="130"/>
      <c r="G266" s="131"/>
      <c r="H266" s="131"/>
      <c r="I266" s="131"/>
      <c r="J266" s="131"/>
      <c r="K266" s="90"/>
      <c r="L266" s="90"/>
    </row>
    <row r="267" spans="1:12" x14ac:dyDescent="0.25">
      <c r="A267" s="129" t="s">
        <v>20</v>
      </c>
      <c r="B267" s="130">
        <v>104.95522</v>
      </c>
      <c r="C267" s="130">
        <v>89.182190000000006</v>
      </c>
      <c r="D267" s="130">
        <v>79.192750000000004</v>
      </c>
      <c r="E267" s="132">
        <v>64.003107999999997</v>
      </c>
      <c r="F267" s="130">
        <v>37</v>
      </c>
      <c r="G267" s="131">
        <v>19.91</v>
      </c>
      <c r="H267" s="131">
        <v>13</v>
      </c>
      <c r="I267" s="131">
        <v>2</v>
      </c>
      <c r="J267" s="131">
        <v>3</v>
      </c>
      <c r="K267" s="90">
        <v>5</v>
      </c>
      <c r="L267" s="90">
        <v>3.04</v>
      </c>
    </row>
    <row r="268" spans="1:12" x14ac:dyDescent="0.25">
      <c r="A268" s="129" t="s">
        <v>21</v>
      </c>
      <c r="B268" s="133"/>
      <c r="C268" s="133"/>
      <c r="D268" s="133"/>
      <c r="E268" s="133"/>
      <c r="F268" s="133"/>
      <c r="G268" s="90"/>
      <c r="H268" s="90"/>
      <c r="I268" s="90"/>
      <c r="J268" s="131">
        <f>J265-J267</f>
        <v>156.80000000000001</v>
      </c>
      <c r="K268" s="131">
        <f t="shared" ref="K268:L268" si="13">K265-K267</f>
        <v>154.80000000000001</v>
      </c>
      <c r="L268" s="131">
        <f t="shared" si="13"/>
        <v>156.76000000000002</v>
      </c>
    </row>
    <row r="269" spans="1:12" x14ac:dyDescent="0.25">
      <c r="A269" s="129" t="s">
        <v>22</v>
      </c>
      <c r="B269" s="134"/>
      <c r="C269" s="134"/>
      <c r="D269" s="134"/>
      <c r="E269" s="134"/>
      <c r="F269" s="134"/>
      <c r="G269" s="90"/>
      <c r="H269" s="90"/>
      <c r="I269" s="90"/>
      <c r="J269" s="90"/>
      <c r="K269" s="90"/>
      <c r="L269" s="90"/>
    </row>
    <row r="270" spans="1:12" ht="36" customHeight="1" x14ac:dyDescent="0.25">
      <c r="A270" s="685" t="s">
        <v>323</v>
      </c>
      <c r="B270" s="686"/>
      <c r="C270" s="686"/>
      <c r="D270" s="686"/>
      <c r="E270" s="686"/>
      <c r="F270" s="686"/>
      <c r="G270" s="686"/>
      <c r="H270" s="686"/>
      <c r="I270" s="686"/>
      <c r="J270" s="686"/>
      <c r="K270" s="686"/>
      <c r="L270" s="687"/>
    </row>
    <row r="271" spans="1:12" x14ac:dyDescent="0.25">
      <c r="C271" s="123"/>
    </row>
    <row r="272" spans="1:12" x14ac:dyDescent="0.25">
      <c r="A272" s="98" t="s">
        <v>14</v>
      </c>
      <c r="B272" s="66" t="s">
        <v>79</v>
      </c>
      <c r="C272" s="67" t="s">
        <v>15</v>
      </c>
      <c r="D272" s="8"/>
      <c r="E272" s="8"/>
      <c r="F272" s="8"/>
    </row>
    <row r="273" spans="1:12" x14ac:dyDescent="0.25">
      <c r="A273" s="68" t="s">
        <v>16</v>
      </c>
      <c r="B273" s="67">
        <v>2014</v>
      </c>
      <c r="C273" s="67">
        <v>2015</v>
      </c>
      <c r="D273" s="70">
        <v>2016</v>
      </c>
      <c r="E273" s="67">
        <v>2017</v>
      </c>
      <c r="F273" s="66">
        <v>2018</v>
      </c>
      <c r="G273" s="9">
        <v>2019</v>
      </c>
      <c r="H273" s="9">
        <v>2020</v>
      </c>
      <c r="I273" s="9">
        <v>2021</v>
      </c>
      <c r="J273" s="9">
        <v>2022</v>
      </c>
      <c r="K273" s="128">
        <v>2023</v>
      </c>
      <c r="L273" s="128">
        <v>2024</v>
      </c>
    </row>
    <row r="274" spans="1:12" x14ac:dyDescent="0.25">
      <c r="A274" s="68" t="s">
        <v>17</v>
      </c>
      <c r="B274" s="101">
        <v>50</v>
      </c>
      <c r="C274" s="101">
        <v>50</v>
      </c>
      <c r="D274" s="101">
        <v>50</v>
      </c>
      <c r="E274" s="101">
        <v>50</v>
      </c>
      <c r="F274" s="135">
        <v>50</v>
      </c>
      <c r="G274" s="12">
        <v>50</v>
      </c>
      <c r="H274" s="12">
        <v>50</v>
      </c>
      <c r="I274" s="12">
        <v>50</v>
      </c>
      <c r="J274" s="12">
        <v>50</v>
      </c>
      <c r="K274" s="90">
        <v>50</v>
      </c>
      <c r="L274" s="90">
        <v>50</v>
      </c>
    </row>
    <row r="275" spans="1:12" x14ac:dyDescent="0.25">
      <c r="A275" s="68" t="s">
        <v>18</v>
      </c>
      <c r="B275" s="101"/>
      <c r="C275" s="101"/>
      <c r="D275" s="101"/>
      <c r="E275" s="101"/>
      <c r="F275" s="135"/>
      <c r="G275" s="11"/>
      <c r="H275" s="12"/>
      <c r="I275" s="12"/>
      <c r="J275" s="12"/>
      <c r="K275" s="90"/>
      <c r="L275" s="90"/>
    </row>
    <row r="276" spans="1:12" x14ac:dyDescent="0.25">
      <c r="A276" s="68" t="s">
        <v>19</v>
      </c>
      <c r="B276" s="101"/>
      <c r="C276" s="101"/>
      <c r="D276" s="101"/>
      <c r="E276" s="101"/>
      <c r="F276" s="135"/>
      <c r="G276" s="11"/>
      <c r="H276" s="12"/>
      <c r="I276" s="12"/>
      <c r="J276" s="12"/>
      <c r="K276" s="90"/>
      <c r="L276" s="90"/>
    </row>
    <row r="277" spans="1:12" x14ac:dyDescent="0.25">
      <c r="A277" s="68" t="s">
        <v>20</v>
      </c>
      <c r="B277" s="101">
        <v>102.32362999999999</v>
      </c>
      <c r="C277" s="101">
        <v>121.20529999999999</v>
      </c>
      <c r="D277" s="101">
        <v>66.934179999999998</v>
      </c>
      <c r="E277" s="101">
        <v>46.581100000000006</v>
      </c>
      <c r="F277" s="101">
        <v>62</v>
      </c>
      <c r="G277" s="11">
        <v>76.31</v>
      </c>
      <c r="H277" s="12">
        <v>46</v>
      </c>
      <c r="I277" s="12">
        <v>0</v>
      </c>
      <c r="J277" s="12">
        <v>0</v>
      </c>
      <c r="K277" s="90">
        <v>17</v>
      </c>
      <c r="L277" s="90">
        <v>1.36</v>
      </c>
    </row>
    <row r="278" spans="1:12" x14ac:dyDescent="0.25">
      <c r="A278" s="68" t="s">
        <v>21</v>
      </c>
      <c r="B278" s="101"/>
      <c r="C278" s="101"/>
      <c r="D278" s="101"/>
      <c r="E278" s="101"/>
      <c r="F278" s="135"/>
      <c r="G278" s="11"/>
      <c r="H278" s="12"/>
      <c r="I278" s="12"/>
      <c r="J278" s="12"/>
      <c r="K278" s="90">
        <v>33</v>
      </c>
      <c r="L278" s="90">
        <v>48.64</v>
      </c>
    </row>
    <row r="279" spans="1:12" x14ac:dyDescent="0.25">
      <c r="A279" s="68" t="s">
        <v>22</v>
      </c>
      <c r="B279" s="69"/>
      <c r="C279" s="69"/>
      <c r="D279" s="136"/>
      <c r="E279" s="69"/>
      <c r="F279" s="137"/>
      <c r="G279" s="11"/>
      <c r="H279" s="12"/>
      <c r="I279" s="12"/>
      <c r="J279" s="12"/>
      <c r="K279" s="90"/>
      <c r="L279" s="90"/>
    </row>
    <row r="280" spans="1:12" x14ac:dyDescent="0.25">
      <c r="A280" s="712" t="s">
        <v>23</v>
      </c>
      <c r="B280" s="712"/>
      <c r="C280" s="712"/>
      <c r="D280" s="712"/>
      <c r="E280" s="712"/>
      <c r="F280" s="712"/>
      <c r="G280" s="11"/>
      <c r="H280" s="12"/>
      <c r="I280" s="12"/>
      <c r="J280" s="12"/>
      <c r="K280" s="90"/>
      <c r="L280" s="90"/>
    </row>
    <row r="281" spans="1:12" ht="38.25" customHeight="1" x14ac:dyDescent="0.25">
      <c r="A281" s="685" t="s">
        <v>323</v>
      </c>
      <c r="B281" s="686"/>
      <c r="C281" s="686"/>
      <c r="D281" s="686"/>
      <c r="E281" s="686"/>
      <c r="F281" s="686"/>
      <c r="G281" s="686"/>
      <c r="H281" s="686"/>
      <c r="I281" s="686"/>
      <c r="J281" s="686"/>
      <c r="K281" s="686"/>
      <c r="L281" s="687"/>
    </row>
    <row r="282" spans="1:12" ht="16.2" customHeight="1" x14ac:dyDescent="0.25">
      <c r="A282" s="138"/>
      <c r="B282" s="138"/>
      <c r="C282" s="138"/>
      <c r="D282" s="138"/>
      <c r="E282" s="138"/>
      <c r="F282" s="138"/>
      <c r="G282" s="138"/>
      <c r="H282" s="138"/>
      <c r="I282" s="138"/>
      <c r="J282" s="138"/>
      <c r="K282" s="138"/>
      <c r="L282" s="138"/>
    </row>
    <row r="283" spans="1:12" ht="16.2" customHeight="1" x14ac:dyDescent="0.25">
      <c r="A283" s="98" t="s">
        <v>14</v>
      </c>
      <c r="B283" s="66" t="s">
        <v>1149</v>
      </c>
      <c r="C283" s="67" t="s">
        <v>15</v>
      </c>
      <c r="D283" s="8"/>
      <c r="E283" s="8"/>
      <c r="F283" s="8"/>
      <c r="G283" s="138"/>
      <c r="H283" s="138"/>
      <c r="I283" s="138"/>
      <c r="J283" s="138"/>
      <c r="K283" s="138"/>
      <c r="L283" s="138"/>
    </row>
    <row r="284" spans="1:12" ht="16.2" customHeight="1" x14ac:dyDescent="0.25">
      <c r="A284" s="68" t="s">
        <v>16</v>
      </c>
      <c r="B284" s="67">
        <v>2023</v>
      </c>
      <c r="C284" s="67">
        <v>2024</v>
      </c>
      <c r="D284" s="600">
        <v>2025</v>
      </c>
      <c r="E284" s="138"/>
      <c r="F284" s="138"/>
      <c r="G284" s="138"/>
      <c r="H284" s="138"/>
      <c r="I284" s="138"/>
      <c r="J284" s="138"/>
    </row>
    <row r="285" spans="1:12" ht="16.2" customHeight="1" x14ac:dyDescent="0.25">
      <c r="A285" s="68" t="s">
        <v>17</v>
      </c>
      <c r="B285" s="101">
        <v>208</v>
      </c>
      <c r="C285" s="101">
        <v>208</v>
      </c>
      <c r="D285" s="101">
        <v>208</v>
      </c>
      <c r="E285" s="138"/>
      <c r="F285" s="138"/>
      <c r="G285" s="138"/>
      <c r="H285" s="138"/>
      <c r="I285" s="138"/>
      <c r="J285" s="138"/>
    </row>
    <row r="286" spans="1:12" ht="16.2" customHeight="1" x14ac:dyDescent="0.25">
      <c r="A286" s="68" t="s">
        <v>18</v>
      </c>
      <c r="B286" s="101"/>
      <c r="C286" s="101">
        <v>208</v>
      </c>
      <c r="D286" s="101">
        <v>208</v>
      </c>
      <c r="E286" s="138"/>
      <c r="F286" s="138"/>
      <c r="G286" s="138"/>
      <c r="H286" s="138"/>
      <c r="I286" s="138"/>
      <c r="J286" s="138"/>
    </row>
    <row r="287" spans="1:12" ht="16.2" customHeight="1" x14ac:dyDescent="0.25">
      <c r="A287" s="68" t="s">
        <v>19</v>
      </c>
      <c r="B287" s="101"/>
      <c r="C287" s="101"/>
      <c r="D287" s="101"/>
      <c r="E287" s="138"/>
      <c r="F287" s="138"/>
      <c r="G287" s="138"/>
      <c r="H287" s="138"/>
      <c r="I287" s="138"/>
      <c r="J287" s="138"/>
    </row>
    <row r="288" spans="1:12" ht="16.2" customHeight="1" x14ac:dyDescent="0.25">
      <c r="A288" s="68" t="s">
        <v>20</v>
      </c>
      <c r="B288" s="101">
        <v>121</v>
      </c>
      <c r="C288" s="101">
        <v>30.579499999999999</v>
      </c>
      <c r="D288" s="101"/>
      <c r="E288" s="138"/>
      <c r="F288" s="138"/>
      <c r="G288" s="138"/>
      <c r="H288" s="138"/>
      <c r="I288" s="138"/>
      <c r="J288" s="138"/>
    </row>
    <row r="289" spans="1:14" ht="16.2" customHeight="1" x14ac:dyDescent="0.25">
      <c r="A289" s="68" t="s">
        <v>21</v>
      </c>
      <c r="B289" s="101">
        <v>87</v>
      </c>
      <c r="C289" s="646">
        <f>C286-C288</f>
        <v>177.4205</v>
      </c>
      <c r="D289" s="101"/>
      <c r="E289" s="138"/>
      <c r="F289" s="138"/>
      <c r="G289" s="138"/>
      <c r="H289" s="138"/>
      <c r="I289" s="138"/>
      <c r="J289" s="138"/>
    </row>
    <row r="290" spans="1:14" ht="16.2" customHeight="1" x14ac:dyDescent="0.25">
      <c r="A290" s="92" t="s">
        <v>22</v>
      </c>
      <c r="B290" s="272">
        <v>2025</v>
      </c>
      <c r="C290" s="272">
        <v>2026</v>
      </c>
      <c r="D290" s="272">
        <v>2027</v>
      </c>
      <c r="E290" s="138"/>
      <c r="F290" s="138"/>
      <c r="G290" s="138"/>
      <c r="H290" s="138"/>
      <c r="I290" s="138"/>
      <c r="J290" s="138"/>
    </row>
    <row r="291" spans="1:14" x14ac:dyDescent="0.25">
      <c r="A291" s="601" t="s">
        <v>23</v>
      </c>
      <c r="B291" s="482"/>
      <c r="C291" s="482"/>
      <c r="D291" s="602"/>
      <c r="E291" s="8"/>
      <c r="F291" s="8"/>
    </row>
    <row r="292" spans="1:14" x14ac:dyDescent="0.25">
      <c r="A292" s="8"/>
      <c r="B292" s="8"/>
      <c r="C292" s="8"/>
      <c r="D292" s="8"/>
      <c r="E292" s="8"/>
      <c r="F292" s="8"/>
    </row>
    <row r="293" spans="1:14" x14ac:dyDescent="0.25">
      <c r="A293" s="10" t="s">
        <v>12</v>
      </c>
      <c r="B293" s="7" t="s">
        <v>171</v>
      </c>
    </row>
    <row r="294" spans="1:14" x14ac:dyDescent="0.25">
      <c r="A294" s="41" t="s">
        <v>14</v>
      </c>
      <c r="B294" s="24" t="s">
        <v>623</v>
      </c>
      <c r="C294" s="9" t="s">
        <v>15</v>
      </c>
    </row>
    <row r="295" spans="1:14" x14ac:dyDescent="0.25">
      <c r="A295" s="9" t="s">
        <v>16</v>
      </c>
      <c r="B295" s="9"/>
      <c r="C295" s="9">
        <v>2016</v>
      </c>
      <c r="D295" s="9">
        <v>2017</v>
      </c>
      <c r="E295" s="9">
        <v>2018</v>
      </c>
      <c r="F295" s="9">
        <v>2019</v>
      </c>
      <c r="G295" s="9">
        <v>2020</v>
      </c>
      <c r="H295" s="9">
        <v>2021</v>
      </c>
      <c r="I295" s="9">
        <v>2022</v>
      </c>
      <c r="J295" s="9">
        <v>2023</v>
      </c>
      <c r="K295" s="9">
        <v>2024</v>
      </c>
      <c r="L295" s="9">
        <v>2025</v>
      </c>
    </row>
    <row r="296" spans="1:14" x14ac:dyDescent="0.25">
      <c r="A296" s="11" t="s">
        <v>17</v>
      </c>
      <c r="B296" s="11"/>
      <c r="C296" s="12">
        <v>1348</v>
      </c>
      <c r="D296" s="12">
        <v>1348</v>
      </c>
      <c r="E296" s="12">
        <v>1348</v>
      </c>
      <c r="F296" s="12">
        <v>1348</v>
      </c>
      <c r="G296" s="12">
        <v>1348</v>
      </c>
      <c r="H296" s="12">
        <v>1348</v>
      </c>
      <c r="I296" s="12">
        <v>1348</v>
      </c>
      <c r="J296" s="12">
        <v>1348</v>
      </c>
      <c r="K296" s="12">
        <v>1348</v>
      </c>
      <c r="L296" s="90">
        <v>558.65</v>
      </c>
    </row>
    <row r="297" spans="1:14" x14ac:dyDescent="0.25">
      <c r="A297" s="11" t="s">
        <v>18</v>
      </c>
      <c r="B297" s="11"/>
      <c r="C297" s="12">
        <v>2040.2</v>
      </c>
      <c r="D297" s="12">
        <v>2070.1999999999998</v>
      </c>
      <c r="E297" s="12">
        <v>2070.1999999999998</v>
      </c>
      <c r="F297" s="12">
        <v>2045.1999999999998</v>
      </c>
      <c r="G297" s="12">
        <f>G296*1.15+125+35+35+100</f>
        <v>1845.1999999999998</v>
      </c>
      <c r="H297" s="12">
        <f>H296+0.15*F296+150+35+35+200</f>
        <v>1970.2</v>
      </c>
      <c r="I297" s="12">
        <f>I296+150+35+35+250+202.2</f>
        <v>2020.2</v>
      </c>
      <c r="J297" s="12">
        <f>J296+125+35+35+327+202.2</f>
        <v>2072.1999999999998</v>
      </c>
      <c r="K297" s="12">
        <f>K296+125+35+35+280+202.2</f>
        <v>2025.2</v>
      </c>
      <c r="L297" s="90">
        <v>608.46400499999982</v>
      </c>
    </row>
    <row r="298" spans="1:14" x14ac:dyDescent="0.25">
      <c r="A298" s="11" t="s">
        <v>19</v>
      </c>
      <c r="B298" s="11"/>
      <c r="C298" s="12"/>
      <c r="D298" s="12"/>
      <c r="E298" s="12"/>
      <c r="F298" s="12"/>
      <c r="G298" s="12"/>
      <c r="H298" s="12"/>
      <c r="I298" s="12"/>
      <c r="J298" s="12"/>
      <c r="K298" s="12"/>
      <c r="L298" s="90"/>
    </row>
    <row r="299" spans="1:14" x14ac:dyDescent="0.25">
      <c r="A299" s="11" t="s">
        <v>20</v>
      </c>
      <c r="B299" s="11"/>
      <c r="C299" s="12">
        <v>1558.88</v>
      </c>
      <c r="D299" s="12">
        <v>1209.21</v>
      </c>
      <c r="E299" s="12">
        <v>786.81</v>
      </c>
      <c r="F299" s="12">
        <v>997.23400000000004</v>
      </c>
      <c r="G299" s="12">
        <v>1335.83</v>
      </c>
      <c r="H299" s="12">
        <v>1380.2959000000001</v>
      </c>
      <c r="I299" s="12">
        <v>1343.9679999999998</v>
      </c>
      <c r="J299" s="12">
        <v>1925.9659999999999</v>
      </c>
      <c r="K299" s="12">
        <v>1687.3495874040746</v>
      </c>
      <c r="L299" s="90"/>
    </row>
    <row r="300" spans="1:14" x14ac:dyDescent="0.25">
      <c r="A300" s="11" t="s">
        <v>21</v>
      </c>
      <c r="B300" s="11"/>
      <c r="C300" s="12">
        <v>481.32</v>
      </c>
      <c r="D300" s="12">
        <v>860.99</v>
      </c>
      <c r="E300" s="12">
        <v>1283.3900000000001</v>
      </c>
      <c r="F300" s="12">
        <v>1047.9659999999999</v>
      </c>
      <c r="G300" s="12">
        <f>G297-G299</f>
        <v>509.36999999999989</v>
      </c>
      <c r="H300" s="12">
        <f>H297-H299</f>
        <v>589.90409999999997</v>
      </c>
      <c r="I300" s="12">
        <f>I297-I299</f>
        <v>676.2320000000002</v>
      </c>
      <c r="J300" s="12">
        <f>J297-J299</f>
        <v>146.23399999999992</v>
      </c>
      <c r="K300" s="12">
        <f>K297-K299</f>
        <v>337.85041259592549</v>
      </c>
      <c r="L300" s="90"/>
    </row>
    <row r="301" spans="1:14" x14ac:dyDescent="0.25">
      <c r="A301" s="17" t="s">
        <v>22</v>
      </c>
      <c r="B301" s="17"/>
      <c r="C301" s="17">
        <v>2018</v>
      </c>
      <c r="D301" s="17">
        <v>2019</v>
      </c>
      <c r="E301" s="17">
        <v>2020</v>
      </c>
      <c r="F301" s="17">
        <v>2021</v>
      </c>
      <c r="G301" s="17">
        <v>2022</v>
      </c>
      <c r="H301" s="17">
        <v>2023</v>
      </c>
      <c r="I301" s="17">
        <v>2024</v>
      </c>
      <c r="J301" s="17">
        <v>2025</v>
      </c>
      <c r="K301" s="17">
        <v>2026</v>
      </c>
      <c r="L301" s="90">
        <v>2027</v>
      </c>
    </row>
    <row r="302" spans="1:14" x14ac:dyDescent="0.25">
      <c r="A302" s="139" t="s">
        <v>168</v>
      </c>
      <c r="B302" s="61"/>
      <c r="C302" s="61"/>
      <c r="D302" s="61"/>
      <c r="E302" s="61"/>
      <c r="F302" s="61"/>
      <c r="G302" s="61"/>
      <c r="H302" s="61"/>
      <c r="I302" s="61"/>
      <c r="J302" s="61"/>
      <c r="K302" s="53"/>
      <c r="L302" s="140"/>
      <c r="M302" s="49"/>
      <c r="N302" s="49"/>
    </row>
    <row r="303" spans="1:14" x14ac:dyDescent="0.25">
      <c r="A303" s="56" t="s">
        <v>169</v>
      </c>
      <c r="B303" s="49"/>
      <c r="C303" s="49"/>
      <c r="D303" s="49"/>
      <c r="E303" s="49"/>
      <c r="F303" s="49"/>
      <c r="G303" s="49"/>
      <c r="H303" s="49"/>
      <c r="I303" s="49"/>
      <c r="J303" s="49"/>
      <c r="K303" s="49"/>
      <c r="L303" s="140"/>
      <c r="M303" s="49"/>
      <c r="N303" s="49"/>
    </row>
    <row r="304" spans="1:14" x14ac:dyDescent="0.25">
      <c r="A304" s="56" t="s">
        <v>170</v>
      </c>
      <c r="B304" s="49"/>
      <c r="C304" s="49"/>
      <c r="D304" s="49"/>
      <c r="E304" s="49"/>
      <c r="F304" s="49"/>
      <c r="G304" s="49"/>
      <c r="H304" s="49"/>
      <c r="I304" s="49"/>
      <c r="J304" s="49"/>
      <c r="K304" s="49"/>
      <c r="L304" s="140"/>
      <c r="M304" s="49"/>
      <c r="N304" s="49"/>
    </row>
    <row r="305" spans="1:13" x14ac:dyDescent="0.25">
      <c r="A305" s="56" t="s">
        <v>390</v>
      </c>
      <c r="L305" s="64"/>
    </row>
    <row r="306" spans="1:13" x14ac:dyDescent="0.25">
      <c r="A306" s="56" t="s">
        <v>511</v>
      </c>
      <c r="L306" s="64"/>
    </row>
    <row r="307" spans="1:13" x14ac:dyDescent="0.25">
      <c r="A307" s="56" t="s">
        <v>512</v>
      </c>
      <c r="L307" s="64"/>
    </row>
    <row r="308" spans="1:13" x14ac:dyDescent="0.25">
      <c r="A308" s="56" t="s">
        <v>606</v>
      </c>
      <c r="L308" s="64"/>
    </row>
    <row r="309" spans="1:13" x14ac:dyDescent="0.25">
      <c r="A309" s="56" t="s">
        <v>768</v>
      </c>
      <c r="L309" s="64"/>
    </row>
    <row r="310" spans="1:13" x14ac:dyDescent="0.25">
      <c r="A310" s="49" t="s">
        <v>978</v>
      </c>
      <c r="L310" s="64"/>
    </row>
    <row r="311" spans="1:13" s="34" customFormat="1" x14ac:dyDescent="0.25">
      <c r="A311" s="141"/>
      <c r="L311" s="48"/>
    </row>
    <row r="313" spans="1:13" x14ac:dyDescent="0.25">
      <c r="A313" s="6" t="s">
        <v>14</v>
      </c>
      <c r="B313" s="142" t="s">
        <v>645</v>
      </c>
      <c r="C313" s="9" t="s">
        <v>15</v>
      </c>
      <c r="E313" s="143"/>
    </row>
    <row r="314" spans="1:13" x14ac:dyDescent="0.25">
      <c r="A314" s="10" t="s">
        <v>16</v>
      </c>
      <c r="B314" s="10"/>
      <c r="C314" s="144">
        <v>2015</v>
      </c>
      <c r="D314" s="144">
        <v>2016</v>
      </c>
      <c r="E314" s="144">
        <v>2017</v>
      </c>
      <c r="F314" s="144">
        <v>2018</v>
      </c>
      <c r="G314" s="144">
        <v>2019</v>
      </c>
      <c r="H314" s="144">
        <v>2020</v>
      </c>
      <c r="I314" s="144">
        <v>2021</v>
      </c>
      <c r="J314" s="144">
        <v>2022</v>
      </c>
      <c r="K314" s="144">
        <v>2023</v>
      </c>
      <c r="L314" s="144">
        <v>2024</v>
      </c>
      <c r="M314" s="90">
        <v>2025</v>
      </c>
    </row>
    <row r="315" spans="1:13" x14ac:dyDescent="0.25">
      <c r="A315" s="10" t="s">
        <v>17</v>
      </c>
      <c r="B315" s="10"/>
      <c r="C315" s="145">
        <v>452.47</v>
      </c>
      <c r="D315" s="145">
        <v>452.47</v>
      </c>
      <c r="E315" s="145">
        <v>452.47</v>
      </c>
      <c r="F315" s="145">
        <v>530.59</v>
      </c>
      <c r="G315" s="145">
        <v>530.59</v>
      </c>
      <c r="H315" s="145">
        <v>530.59</v>
      </c>
      <c r="I315" s="145">
        <v>530.59</v>
      </c>
      <c r="J315" s="145">
        <v>558.65</v>
      </c>
      <c r="K315" s="145">
        <v>558.65</v>
      </c>
      <c r="L315" s="145">
        <v>558.65</v>
      </c>
      <c r="M315" s="90">
        <v>558.65</v>
      </c>
    </row>
    <row r="316" spans="1:13" x14ac:dyDescent="0.25">
      <c r="A316" s="10" t="s">
        <v>18</v>
      </c>
      <c r="B316" s="10"/>
      <c r="C316" s="145">
        <f>C315+24.4+86.5</f>
        <v>563.37</v>
      </c>
      <c r="D316" s="145">
        <f>D315+C319+51.98</f>
        <v>534.48</v>
      </c>
      <c r="E316" s="145">
        <f>E315+0.1*D315+55.98</f>
        <v>553.697</v>
      </c>
      <c r="F316" s="145">
        <f>F315+0.1*E315+73.98</f>
        <v>649.81700000000001</v>
      </c>
      <c r="G316" s="145">
        <f>G315+0.1*F315+9.62+60.44</f>
        <v>653.70900000000006</v>
      </c>
      <c r="H316" s="145">
        <f>H315+G319+79.44+4.78</f>
        <v>635.64900000000011</v>
      </c>
      <c r="I316" s="145">
        <f>I315+H319+100.44+4.78</f>
        <v>679.85600000000022</v>
      </c>
      <c r="J316" s="145">
        <f>J315+I319+60+4.78</f>
        <v>674.75400000000013</v>
      </c>
      <c r="K316" s="145">
        <f>K315+J319+5.18+60</f>
        <v>663.4140000000001</v>
      </c>
      <c r="L316" s="145">
        <f>L315+60+K319</f>
        <v>671.75000000000011</v>
      </c>
      <c r="M316" s="131">
        <f>M315+L319+60</f>
        <v>668.50300500000003</v>
      </c>
    </row>
    <row r="317" spans="1:13" x14ac:dyDescent="0.25">
      <c r="A317" s="10" t="s">
        <v>19</v>
      </c>
      <c r="B317" s="10"/>
      <c r="C317" s="146"/>
      <c r="D317" s="146"/>
      <c r="E317" s="146"/>
      <c r="F317" s="12"/>
      <c r="G317" s="12"/>
      <c r="H317" s="12"/>
      <c r="I317" s="12"/>
      <c r="J317" s="12"/>
      <c r="K317" s="12"/>
      <c r="L317" s="12"/>
      <c r="M317" s="90"/>
    </row>
    <row r="318" spans="1:13" x14ac:dyDescent="0.25">
      <c r="A318" s="10" t="s">
        <v>20</v>
      </c>
      <c r="B318" s="10"/>
      <c r="C318" s="145">
        <v>533.34</v>
      </c>
      <c r="D318" s="145">
        <v>473.69</v>
      </c>
      <c r="E318" s="146">
        <v>473.03</v>
      </c>
      <c r="F318" s="12">
        <v>553.98</v>
      </c>
      <c r="G318" s="12">
        <v>632.86999999999989</v>
      </c>
      <c r="H318" s="12">
        <v>591.60299999999995</v>
      </c>
      <c r="I318" s="12">
        <v>628.53200000000004</v>
      </c>
      <c r="J318" s="12">
        <v>635.16999999999996</v>
      </c>
      <c r="K318" s="12">
        <v>610.31399999999996</v>
      </c>
      <c r="L318" s="12">
        <v>621.89699500000006</v>
      </c>
      <c r="M318" s="90"/>
    </row>
    <row r="319" spans="1:13" x14ac:dyDescent="0.25">
      <c r="A319" s="10" t="s">
        <v>21</v>
      </c>
      <c r="B319" s="10"/>
      <c r="C319" s="12">
        <f>C316-C318</f>
        <v>30.029999999999973</v>
      </c>
      <c r="D319" s="12">
        <f t="shared" ref="D319:K319" si="14">D316-D318</f>
        <v>60.79000000000002</v>
      </c>
      <c r="E319" s="12">
        <f t="shared" si="14"/>
        <v>80.66700000000003</v>
      </c>
      <c r="F319" s="12">
        <f t="shared" si="14"/>
        <v>95.836999999999989</v>
      </c>
      <c r="G319" s="12">
        <f t="shared" si="14"/>
        <v>20.839000000000169</v>
      </c>
      <c r="H319" s="12">
        <f t="shared" si="14"/>
        <v>44.046000000000163</v>
      </c>
      <c r="I319" s="12">
        <f>I316-I318</f>
        <v>51.324000000000183</v>
      </c>
      <c r="J319" s="12">
        <f t="shared" si="14"/>
        <v>39.584000000000174</v>
      </c>
      <c r="K319" s="12">
        <f t="shared" si="14"/>
        <v>53.100000000000136</v>
      </c>
      <c r="L319" s="12">
        <f>L316-L318</f>
        <v>49.853005000000053</v>
      </c>
      <c r="M319" s="90"/>
    </row>
    <row r="320" spans="1:13" x14ac:dyDescent="0.25">
      <c r="A320" s="16" t="s">
        <v>22</v>
      </c>
      <c r="B320" s="16"/>
      <c r="C320" s="147">
        <v>2016</v>
      </c>
      <c r="D320" s="147">
        <v>2017</v>
      </c>
      <c r="E320" s="148">
        <v>2018</v>
      </c>
      <c r="F320" s="17">
        <v>2019</v>
      </c>
      <c r="G320" s="17">
        <v>2020</v>
      </c>
      <c r="H320" s="17">
        <v>2021</v>
      </c>
      <c r="I320" s="17">
        <v>2022</v>
      </c>
      <c r="J320" s="17">
        <v>2023</v>
      </c>
      <c r="K320" s="17">
        <v>2024</v>
      </c>
      <c r="L320" s="17">
        <v>2025</v>
      </c>
      <c r="M320" s="90">
        <v>2026</v>
      </c>
    </row>
    <row r="321" spans="1:14" x14ac:dyDescent="0.25">
      <c r="A321" s="16" t="s">
        <v>963</v>
      </c>
      <c r="B321" s="46"/>
      <c r="C321" s="149"/>
      <c r="D321" s="149"/>
      <c r="E321" s="61"/>
      <c r="F321" s="46"/>
      <c r="G321" s="46"/>
      <c r="H321" s="46"/>
      <c r="I321" s="46"/>
      <c r="J321" s="46"/>
      <c r="K321" s="46"/>
      <c r="L321" s="19"/>
      <c r="M321" s="64"/>
    </row>
    <row r="322" spans="1:14" x14ac:dyDescent="0.25">
      <c r="A322" s="56" t="s">
        <v>964</v>
      </c>
      <c r="B322" s="49"/>
      <c r="C322" s="49"/>
      <c r="D322" s="49"/>
      <c r="E322" s="49"/>
      <c r="F322" s="49"/>
      <c r="G322" s="49"/>
      <c r="M322" s="64"/>
    </row>
    <row r="323" spans="1:14" x14ac:dyDescent="0.25">
      <c r="A323" s="56" t="s">
        <v>965</v>
      </c>
      <c r="B323" s="49"/>
      <c r="C323" s="49"/>
      <c r="D323" s="49"/>
      <c r="E323" s="49"/>
      <c r="F323" s="49"/>
      <c r="G323" s="49"/>
      <c r="M323" s="64"/>
    </row>
    <row r="324" spans="1:14" x14ac:dyDescent="0.25">
      <c r="A324" s="56" t="s">
        <v>728</v>
      </c>
      <c r="B324" s="49"/>
      <c r="C324" s="49"/>
      <c r="D324" s="49"/>
      <c r="E324" s="49"/>
      <c r="F324" s="49"/>
      <c r="G324" s="49"/>
      <c r="M324" s="64"/>
    </row>
    <row r="325" spans="1:14" x14ac:dyDescent="0.25">
      <c r="A325" s="39" t="s">
        <v>729</v>
      </c>
      <c r="M325" s="64"/>
    </row>
    <row r="326" spans="1:14" x14ac:dyDescent="0.25">
      <c r="A326" s="39" t="s">
        <v>730</v>
      </c>
      <c r="M326" s="64"/>
    </row>
    <row r="327" spans="1:14" x14ac:dyDescent="0.25">
      <c r="A327" s="39" t="s">
        <v>731</v>
      </c>
      <c r="M327" s="64"/>
    </row>
    <row r="328" spans="1:14" x14ac:dyDescent="0.25">
      <c r="A328" s="39" t="s">
        <v>769</v>
      </c>
      <c r="M328" s="64"/>
    </row>
    <row r="329" spans="1:14" x14ac:dyDescent="0.25">
      <c r="A329" s="39" t="s">
        <v>884</v>
      </c>
      <c r="M329" s="64"/>
    </row>
    <row r="330" spans="1:14" x14ac:dyDescent="0.25">
      <c r="A330" s="39" t="s">
        <v>977</v>
      </c>
      <c r="M330" s="64"/>
    </row>
    <row r="331" spans="1:14" x14ac:dyDescent="0.25">
      <c r="A331" s="150" t="s">
        <v>1266</v>
      </c>
      <c r="M331" s="64"/>
    </row>
    <row r="332" spans="1:14" x14ac:dyDescent="0.25">
      <c r="A332" s="41" t="s">
        <v>607</v>
      </c>
      <c r="B332" s="34"/>
      <c r="C332" s="34"/>
      <c r="D332" s="34"/>
      <c r="E332" s="34"/>
      <c r="F332" s="34"/>
      <c r="G332" s="34"/>
      <c r="H332" s="34"/>
      <c r="I332" s="34"/>
      <c r="J332" s="34"/>
      <c r="K332" s="34"/>
      <c r="L332" s="34"/>
      <c r="M332" s="48"/>
    </row>
    <row r="335" spans="1:14" x14ac:dyDescent="0.25">
      <c r="A335" s="6" t="s">
        <v>12</v>
      </c>
      <c r="B335" s="7" t="s">
        <v>153</v>
      </c>
      <c r="N335" s="3">
        <f>242*0.25</f>
        <v>60.5</v>
      </c>
    </row>
    <row r="336" spans="1:14" x14ac:dyDescent="0.25">
      <c r="A336" s="151" t="s">
        <v>14</v>
      </c>
      <c r="B336" s="7" t="s">
        <v>624</v>
      </c>
      <c r="C336" s="9" t="s">
        <v>15</v>
      </c>
    </row>
    <row r="337" spans="1:17" x14ac:dyDescent="0.25">
      <c r="A337" s="152" t="s">
        <v>16</v>
      </c>
      <c r="B337" s="153">
        <v>2010</v>
      </c>
      <c r="C337" s="153">
        <v>2011</v>
      </c>
      <c r="D337" s="153">
        <v>2012</v>
      </c>
      <c r="E337" s="153">
        <v>2013</v>
      </c>
      <c r="F337" s="153">
        <v>2014</v>
      </c>
      <c r="G337" s="153">
        <v>2015</v>
      </c>
      <c r="H337" s="153">
        <v>2016</v>
      </c>
      <c r="I337" s="153">
        <v>2017</v>
      </c>
      <c r="J337" s="153">
        <v>2018</v>
      </c>
      <c r="K337" s="153">
        <v>2019</v>
      </c>
      <c r="L337" s="154">
        <v>2020</v>
      </c>
      <c r="M337" s="154">
        <v>2021</v>
      </c>
      <c r="N337" s="154">
        <v>2022</v>
      </c>
      <c r="O337" s="154">
        <v>2023</v>
      </c>
      <c r="P337" s="154">
        <v>2024</v>
      </c>
      <c r="Q337" s="154">
        <v>2025</v>
      </c>
    </row>
    <row r="338" spans="1:17" x14ac:dyDescent="0.25">
      <c r="A338" s="152" t="s">
        <v>17</v>
      </c>
      <c r="B338" s="155">
        <v>200</v>
      </c>
      <c r="C338" s="155">
        <v>200</v>
      </c>
      <c r="D338" s="155">
        <v>200</v>
      </c>
      <c r="E338" s="155">
        <v>200</v>
      </c>
      <c r="F338" s="155">
        <v>200</v>
      </c>
      <c r="G338" s="155">
        <v>200</v>
      </c>
      <c r="H338" s="156">
        <v>200</v>
      </c>
      <c r="I338" s="155">
        <v>200</v>
      </c>
      <c r="J338" s="155">
        <v>200</v>
      </c>
      <c r="K338" s="155">
        <v>215</v>
      </c>
      <c r="L338" s="12">
        <v>215</v>
      </c>
      <c r="M338" s="12">
        <v>242</v>
      </c>
      <c r="N338" s="12">
        <v>242</v>
      </c>
      <c r="O338" s="12">
        <v>242</v>
      </c>
      <c r="P338" s="12">
        <v>302</v>
      </c>
      <c r="Q338" s="12">
        <v>302</v>
      </c>
    </row>
    <row r="339" spans="1:17" x14ac:dyDescent="0.25">
      <c r="A339" s="152" t="s">
        <v>18</v>
      </c>
      <c r="B339" s="155">
        <v>250</v>
      </c>
      <c r="C339" s="155">
        <v>250</v>
      </c>
      <c r="D339" s="155">
        <v>250</v>
      </c>
      <c r="E339" s="155">
        <v>250</v>
      </c>
      <c r="F339" s="155">
        <v>200</v>
      </c>
      <c r="G339" s="155">
        <v>250</v>
      </c>
      <c r="H339" s="156">
        <v>250</v>
      </c>
      <c r="I339" s="155">
        <v>250</v>
      </c>
      <c r="J339" s="155">
        <v>250</v>
      </c>
      <c r="K339" s="155">
        <v>265</v>
      </c>
      <c r="L339" s="155">
        <v>265</v>
      </c>
      <c r="M339" s="155">
        <f>M338+0.25*K338</f>
        <v>295.75</v>
      </c>
      <c r="N339" s="155">
        <f>N338+0.25*L338</f>
        <v>295.75</v>
      </c>
      <c r="O339" s="155">
        <f>O338+M342</f>
        <v>246.43</v>
      </c>
      <c r="P339" s="155">
        <f>P338+N342</f>
        <v>357.88</v>
      </c>
      <c r="Q339" s="155">
        <f>Q338+O342</f>
        <v>357.93</v>
      </c>
    </row>
    <row r="340" spans="1:17" x14ac:dyDescent="0.25">
      <c r="A340" s="152" t="s">
        <v>19</v>
      </c>
      <c r="B340" s="155"/>
      <c r="C340" s="155"/>
      <c r="D340" s="155"/>
      <c r="E340" s="155"/>
      <c r="F340" s="155"/>
      <c r="G340" s="155"/>
      <c r="H340" s="156"/>
      <c r="I340" s="156"/>
      <c r="J340" s="156"/>
      <c r="K340" s="156"/>
      <c r="L340" s="156"/>
      <c r="M340" s="12"/>
      <c r="N340" s="12"/>
      <c r="O340" s="12"/>
      <c r="P340" s="12"/>
      <c r="Q340" s="12"/>
    </row>
    <row r="341" spans="1:17" x14ac:dyDescent="0.25">
      <c r="A341" s="152" t="s">
        <v>20</v>
      </c>
      <c r="B341" s="155">
        <v>150</v>
      </c>
      <c r="C341" s="155">
        <v>101</v>
      </c>
      <c r="D341" s="155">
        <v>21</v>
      </c>
      <c r="E341" s="155">
        <v>81.085999999999999</v>
      </c>
      <c r="F341" s="155">
        <v>34.866999999999997</v>
      </c>
      <c r="G341" s="155">
        <v>20.963999999999999</v>
      </c>
      <c r="H341" s="156">
        <v>103.196</v>
      </c>
      <c r="I341" s="156">
        <v>123.654</v>
      </c>
      <c r="J341" s="156">
        <v>123.839</v>
      </c>
      <c r="K341" s="156">
        <v>129.16</v>
      </c>
      <c r="L341" s="156">
        <v>207.66</v>
      </c>
      <c r="M341" s="12">
        <v>291.32</v>
      </c>
      <c r="N341" s="12">
        <v>239.87</v>
      </c>
      <c r="O341" s="12">
        <v>190.5</v>
      </c>
      <c r="P341" s="131">
        <v>279.01</v>
      </c>
      <c r="Q341" s="12"/>
    </row>
    <row r="342" spans="1:17" x14ac:dyDescent="0.25">
      <c r="A342" s="152" t="s">
        <v>21</v>
      </c>
      <c r="B342" s="155">
        <v>100</v>
      </c>
      <c r="C342" s="155">
        <v>149</v>
      </c>
      <c r="D342" s="155">
        <v>229</v>
      </c>
      <c r="E342" s="155">
        <v>168.91399999999999</v>
      </c>
      <c r="F342" s="155">
        <v>165.13300000000001</v>
      </c>
      <c r="G342" s="155">
        <v>229.036</v>
      </c>
      <c r="H342" s="156">
        <v>146.804</v>
      </c>
      <c r="I342" s="156">
        <v>126.364</v>
      </c>
      <c r="J342" s="156">
        <v>126.161</v>
      </c>
      <c r="K342" s="156">
        <v>135.84</v>
      </c>
      <c r="L342" s="156">
        <f>L339-L341</f>
        <v>57.34</v>
      </c>
      <c r="M342" s="156">
        <f>M339-M341</f>
        <v>4.4300000000000068</v>
      </c>
      <c r="N342" s="156">
        <f>N339-N341</f>
        <v>55.879999999999995</v>
      </c>
      <c r="O342" s="156">
        <f>O339-O341</f>
        <v>55.930000000000007</v>
      </c>
      <c r="P342" s="156">
        <f>P339-P341</f>
        <v>78.87</v>
      </c>
      <c r="Q342" s="12">
        <v>357.93</v>
      </c>
    </row>
    <row r="343" spans="1:17" x14ac:dyDescent="0.25">
      <c r="A343" s="157" t="s">
        <v>22</v>
      </c>
      <c r="B343" s="158">
        <v>2012</v>
      </c>
      <c r="C343" s="158">
        <v>2013</v>
      </c>
      <c r="D343" s="158">
        <v>2014</v>
      </c>
      <c r="E343" s="158">
        <v>2015</v>
      </c>
      <c r="F343" s="158">
        <v>2016</v>
      </c>
      <c r="G343" s="158">
        <v>2017</v>
      </c>
      <c r="H343" s="159">
        <v>2018</v>
      </c>
      <c r="I343" s="159">
        <v>2019</v>
      </c>
      <c r="J343" s="159">
        <v>2020</v>
      </c>
      <c r="K343" s="159">
        <v>2021</v>
      </c>
      <c r="L343" s="159">
        <v>2022</v>
      </c>
      <c r="M343" s="159">
        <v>2023</v>
      </c>
      <c r="N343" s="159">
        <v>2024</v>
      </c>
      <c r="O343" s="159">
        <v>2025</v>
      </c>
      <c r="P343" s="159">
        <v>2026</v>
      </c>
      <c r="Q343" s="159">
        <v>2027</v>
      </c>
    </row>
    <row r="344" spans="1:17" x14ac:dyDescent="0.25">
      <c r="A344" s="692" t="s">
        <v>154</v>
      </c>
      <c r="B344" s="693"/>
      <c r="C344" s="693"/>
      <c r="D344" s="693"/>
      <c r="E344" s="693"/>
      <c r="F344" s="693"/>
      <c r="G344" s="693"/>
      <c r="H344" s="693"/>
      <c r="I344" s="693"/>
      <c r="J344" s="693"/>
      <c r="K344" s="693"/>
      <c r="L344" s="693"/>
      <c r="M344" s="693"/>
      <c r="N344" s="693"/>
      <c r="O344" s="693"/>
      <c r="P344" s="88"/>
      <c r="Q344" s="88"/>
    </row>
    <row r="345" spans="1:17" x14ac:dyDescent="0.25">
      <c r="A345" s="160" t="s">
        <v>328</v>
      </c>
      <c r="B345" s="19"/>
      <c r="C345" s="19"/>
      <c r="D345" s="19"/>
      <c r="E345" s="19"/>
      <c r="F345" s="19"/>
      <c r="G345" s="19"/>
      <c r="H345" s="19"/>
      <c r="I345" s="19"/>
      <c r="J345" s="19"/>
      <c r="K345" s="19"/>
      <c r="L345" s="19"/>
      <c r="M345" s="19"/>
      <c r="N345" s="19"/>
      <c r="O345" s="19"/>
      <c r="P345" s="19"/>
      <c r="Q345" s="63"/>
    </row>
    <row r="346" spans="1:17" x14ac:dyDescent="0.25">
      <c r="A346" s="161" t="s">
        <v>372</v>
      </c>
      <c r="Q346" s="64"/>
    </row>
    <row r="347" spans="1:17" x14ac:dyDescent="0.25">
      <c r="A347" s="161" t="s">
        <v>373</v>
      </c>
      <c r="Q347" s="64"/>
    </row>
    <row r="348" spans="1:17" x14ac:dyDescent="0.25">
      <c r="A348" s="161" t="s">
        <v>431</v>
      </c>
      <c r="Q348" s="64"/>
    </row>
    <row r="349" spans="1:17" x14ac:dyDescent="0.25">
      <c r="A349" s="161" t="s">
        <v>608</v>
      </c>
      <c r="Q349" s="64"/>
    </row>
    <row r="350" spans="1:17" x14ac:dyDescent="0.25">
      <c r="A350" s="161" t="s">
        <v>770</v>
      </c>
      <c r="Q350" s="64"/>
    </row>
    <row r="351" spans="1:17" x14ac:dyDescent="0.25">
      <c r="A351" s="161" t="s">
        <v>994</v>
      </c>
      <c r="Q351" s="64"/>
    </row>
    <row r="352" spans="1:17" s="34" customFormat="1" x14ac:dyDescent="0.25">
      <c r="A352" s="162" t="s">
        <v>1119</v>
      </c>
      <c r="Q352" s="48"/>
    </row>
    <row r="354" spans="1:18" x14ac:dyDescent="0.25">
      <c r="A354" s="9" t="s">
        <v>14</v>
      </c>
      <c r="B354" s="9" t="s">
        <v>638</v>
      </c>
      <c r="C354" s="9" t="s">
        <v>15</v>
      </c>
    </row>
    <row r="355" spans="1:18" x14ac:dyDescent="0.25">
      <c r="A355" s="152" t="s">
        <v>16</v>
      </c>
      <c r="B355" s="153">
        <v>2010</v>
      </c>
      <c r="C355" s="153">
        <v>2011</v>
      </c>
      <c r="D355" s="153">
        <v>2012</v>
      </c>
      <c r="E355" s="153">
        <v>2013</v>
      </c>
      <c r="F355" s="153">
        <v>2014</v>
      </c>
      <c r="G355" s="153">
        <v>2015</v>
      </c>
      <c r="H355" s="153">
        <v>2016</v>
      </c>
      <c r="I355" s="153">
        <v>2017</v>
      </c>
      <c r="J355" s="153">
        <v>2018</v>
      </c>
      <c r="K355" s="153">
        <v>2019</v>
      </c>
      <c r="L355" s="153">
        <v>2020</v>
      </c>
      <c r="M355" s="154">
        <v>2021</v>
      </c>
      <c r="N355" s="154">
        <v>2022</v>
      </c>
      <c r="O355" s="154">
        <v>2023</v>
      </c>
      <c r="P355" s="154">
        <v>2024</v>
      </c>
      <c r="Q355" s="154">
        <v>2025</v>
      </c>
      <c r="R355" s="154">
        <v>2026</v>
      </c>
    </row>
    <row r="356" spans="1:18" x14ac:dyDescent="0.25">
      <c r="A356" s="152" t="s">
        <v>17</v>
      </c>
      <c r="B356" s="155">
        <v>100</v>
      </c>
      <c r="C356" s="155">
        <v>100</v>
      </c>
      <c r="D356" s="155">
        <v>100</v>
      </c>
      <c r="E356" s="155">
        <v>100</v>
      </c>
      <c r="F356" s="155">
        <v>100</v>
      </c>
      <c r="G356" s="155">
        <v>100</v>
      </c>
      <c r="H356" s="156">
        <v>100</v>
      </c>
      <c r="I356" s="155">
        <v>200</v>
      </c>
      <c r="J356" s="156">
        <v>200</v>
      </c>
      <c r="K356" s="155">
        <v>200</v>
      </c>
      <c r="L356" s="155">
        <v>200</v>
      </c>
      <c r="M356" s="156">
        <v>200</v>
      </c>
      <c r="N356" s="156">
        <v>200</v>
      </c>
      <c r="O356" s="156">
        <v>240</v>
      </c>
      <c r="P356" s="156">
        <v>240</v>
      </c>
      <c r="Q356" s="156">
        <v>240</v>
      </c>
      <c r="R356" s="156">
        <v>240</v>
      </c>
    </row>
    <row r="357" spans="1:18" x14ac:dyDescent="0.25">
      <c r="A357" s="152" t="s">
        <v>18</v>
      </c>
      <c r="B357" s="155">
        <v>100</v>
      </c>
      <c r="C357" s="155">
        <v>100</v>
      </c>
      <c r="D357" s="155">
        <v>100</v>
      </c>
      <c r="E357" s="155">
        <v>100</v>
      </c>
      <c r="F357" s="155">
        <v>100</v>
      </c>
      <c r="G357" s="155">
        <v>125</v>
      </c>
      <c r="H357" s="156">
        <v>125</v>
      </c>
      <c r="I357" s="155">
        <f>200+G360</f>
        <v>204.595</v>
      </c>
      <c r="J357" s="155">
        <v>250</v>
      </c>
      <c r="K357" s="155">
        <f>K356+I360</f>
        <v>220.04499999999999</v>
      </c>
      <c r="L357" s="155">
        <v>250</v>
      </c>
      <c r="M357" s="156">
        <f>M356*1.25</f>
        <v>250</v>
      </c>
      <c r="N357" s="156">
        <f>N356*1.25</f>
        <v>250</v>
      </c>
      <c r="O357" s="156">
        <f>O356+0.25*M356</f>
        <v>290</v>
      </c>
      <c r="P357" s="156">
        <f>P356+2.98</f>
        <v>242.98</v>
      </c>
      <c r="Q357" s="156">
        <f>Q356+O356*0.25</f>
        <v>300</v>
      </c>
      <c r="R357" s="156">
        <f>R356+P356*0.25</f>
        <v>300</v>
      </c>
    </row>
    <row r="358" spans="1:18" x14ac:dyDescent="0.25">
      <c r="A358" s="152" t="s">
        <v>19</v>
      </c>
      <c r="B358" s="163"/>
      <c r="C358" s="163"/>
      <c r="D358" s="163"/>
      <c r="E358" s="163"/>
      <c r="F358" s="163"/>
      <c r="G358" s="163"/>
      <c r="H358" s="12"/>
      <c r="I358" s="12"/>
      <c r="J358" s="12"/>
      <c r="K358" s="12"/>
      <c r="L358" s="12"/>
      <c r="M358" s="12"/>
      <c r="N358" s="12"/>
      <c r="O358" s="12"/>
      <c r="P358" s="12"/>
      <c r="Q358" s="12"/>
      <c r="R358" s="12"/>
    </row>
    <row r="359" spans="1:18" x14ac:dyDescent="0.25">
      <c r="A359" s="152" t="s">
        <v>20</v>
      </c>
      <c r="B359" s="155">
        <v>100</v>
      </c>
      <c r="C359" s="155">
        <v>80.05</v>
      </c>
      <c r="D359" s="155">
        <v>61.02</v>
      </c>
      <c r="E359" s="155">
        <v>65.126999999999995</v>
      </c>
      <c r="F359" s="155">
        <v>33.822000000000003</v>
      </c>
      <c r="G359" s="155">
        <v>120.405</v>
      </c>
      <c r="H359" s="156">
        <v>94.369</v>
      </c>
      <c r="I359" s="156">
        <v>184.55</v>
      </c>
      <c r="J359" s="156">
        <v>116.455</v>
      </c>
      <c r="K359" s="156">
        <v>132.07</v>
      </c>
      <c r="L359" s="156">
        <v>183.94</v>
      </c>
      <c r="M359" s="156">
        <v>9.66</v>
      </c>
      <c r="N359" s="156">
        <v>31.19</v>
      </c>
      <c r="O359" s="156">
        <v>91.44</v>
      </c>
      <c r="P359" s="156">
        <v>116.16</v>
      </c>
      <c r="Q359" s="156"/>
      <c r="R359" s="156"/>
    </row>
    <row r="360" spans="1:18" x14ac:dyDescent="0.25">
      <c r="A360" s="152" t="s">
        <v>21</v>
      </c>
      <c r="B360" s="155">
        <f>B357-B359</f>
        <v>0</v>
      </c>
      <c r="C360" s="155">
        <f t="shared" ref="C360:P360" si="15">C357-C359</f>
        <v>19.950000000000003</v>
      </c>
      <c r="D360" s="155">
        <f t="shared" si="15"/>
        <v>38.979999999999997</v>
      </c>
      <c r="E360" s="155">
        <f t="shared" si="15"/>
        <v>34.873000000000005</v>
      </c>
      <c r="F360" s="155">
        <f t="shared" si="15"/>
        <v>66.177999999999997</v>
      </c>
      <c r="G360" s="155">
        <f t="shared" si="15"/>
        <v>4.5949999999999989</v>
      </c>
      <c r="H360" s="155">
        <f t="shared" si="15"/>
        <v>30.631</v>
      </c>
      <c r="I360" s="155">
        <f t="shared" si="15"/>
        <v>20.044999999999987</v>
      </c>
      <c r="J360" s="155">
        <f t="shared" si="15"/>
        <v>133.54500000000002</v>
      </c>
      <c r="K360" s="155">
        <f t="shared" si="15"/>
        <v>87.974999999999994</v>
      </c>
      <c r="L360" s="155">
        <f t="shared" si="15"/>
        <v>66.06</v>
      </c>
      <c r="M360" s="155">
        <f t="shared" si="15"/>
        <v>240.34</v>
      </c>
      <c r="N360" s="155">
        <f t="shared" si="15"/>
        <v>218.81</v>
      </c>
      <c r="O360" s="155">
        <f t="shared" si="15"/>
        <v>198.56</v>
      </c>
      <c r="P360" s="155">
        <f t="shared" si="15"/>
        <v>126.82</v>
      </c>
      <c r="Q360" s="156"/>
      <c r="R360" s="156"/>
    </row>
    <row r="361" spans="1:18" x14ac:dyDescent="0.25">
      <c r="A361" s="157" t="s">
        <v>22</v>
      </c>
      <c r="B361" s="158">
        <v>2012</v>
      </c>
      <c r="C361" s="158">
        <v>2013</v>
      </c>
      <c r="D361" s="158">
        <v>2014</v>
      </c>
      <c r="E361" s="158">
        <v>2015</v>
      </c>
      <c r="F361" s="158">
        <v>2016</v>
      </c>
      <c r="G361" s="158">
        <v>2017</v>
      </c>
      <c r="H361" s="159">
        <v>2018</v>
      </c>
      <c r="I361" s="159">
        <v>2019</v>
      </c>
      <c r="J361" s="159">
        <v>2020</v>
      </c>
      <c r="K361" s="159">
        <v>2021</v>
      </c>
      <c r="L361" s="159">
        <v>2022</v>
      </c>
      <c r="M361" s="159">
        <v>2023</v>
      </c>
      <c r="N361" s="159">
        <v>2024</v>
      </c>
      <c r="O361" s="159">
        <v>2025</v>
      </c>
      <c r="P361" s="159">
        <v>2026</v>
      </c>
      <c r="Q361" s="159">
        <v>2027</v>
      </c>
      <c r="R361" s="159">
        <v>2028</v>
      </c>
    </row>
    <row r="362" spans="1:18" x14ac:dyDescent="0.25">
      <c r="A362" s="29" t="s">
        <v>154</v>
      </c>
      <c r="B362" s="30"/>
      <c r="C362" s="30"/>
      <c r="D362" s="30"/>
      <c r="E362" s="30"/>
      <c r="F362" s="30"/>
      <c r="G362" s="30"/>
      <c r="H362" s="30"/>
      <c r="I362" s="30"/>
      <c r="J362" s="30"/>
      <c r="K362" s="30"/>
      <c r="L362" s="30"/>
      <c r="M362" s="30"/>
      <c r="N362" s="30"/>
      <c r="O362" s="30"/>
      <c r="P362" s="88"/>
      <c r="Q362" s="88"/>
      <c r="R362" s="88"/>
    </row>
    <row r="363" spans="1:18" x14ac:dyDescent="0.25">
      <c r="A363" s="160" t="s">
        <v>155</v>
      </c>
      <c r="B363" s="19"/>
      <c r="C363" s="19"/>
      <c r="D363" s="19"/>
      <c r="E363" s="19"/>
      <c r="F363" s="19"/>
      <c r="G363" s="19"/>
      <c r="H363" s="19"/>
      <c r="I363" s="19"/>
      <c r="J363" s="19"/>
      <c r="K363" s="19"/>
      <c r="L363" s="19"/>
      <c r="M363" s="19"/>
      <c r="N363" s="19"/>
      <c r="O363" s="19"/>
      <c r="P363" s="19"/>
      <c r="Q363" s="19"/>
      <c r="R363" s="63"/>
    </row>
    <row r="364" spans="1:18" x14ac:dyDescent="0.25">
      <c r="A364" s="161" t="s">
        <v>336</v>
      </c>
      <c r="R364" s="64"/>
    </row>
    <row r="365" spans="1:18" x14ac:dyDescent="0.25">
      <c r="A365" s="161" t="s">
        <v>156</v>
      </c>
      <c r="R365" s="64"/>
    </row>
    <row r="366" spans="1:18" x14ac:dyDescent="0.25">
      <c r="A366" s="161" t="s">
        <v>337</v>
      </c>
      <c r="R366" s="64"/>
    </row>
    <row r="367" spans="1:18" x14ac:dyDescent="0.25">
      <c r="A367" s="161" t="s">
        <v>432</v>
      </c>
      <c r="R367" s="64"/>
    </row>
    <row r="368" spans="1:18" x14ac:dyDescent="0.25">
      <c r="A368" s="161" t="s">
        <v>578</v>
      </c>
      <c r="R368" s="64"/>
    </row>
    <row r="369" spans="1:18" x14ac:dyDescent="0.25">
      <c r="A369" s="161" t="s">
        <v>771</v>
      </c>
      <c r="R369" s="64"/>
    </row>
    <row r="370" spans="1:18" x14ac:dyDescent="0.25">
      <c r="A370" s="161" t="s">
        <v>922</v>
      </c>
      <c r="R370" s="64"/>
    </row>
    <row r="371" spans="1:18" x14ac:dyDescent="0.25">
      <c r="A371" s="196" t="s">
        <v>1113</v>
      </c>
      <c r="R371" s="64"/>
    </row>
    <row r="372" spans="1:18" x14ac:dyDescent="0.25">
      <c r="A372" s="162" t="s">
        <v>1262</v>
      </c>
      <c r="B372" s="34"/>
      <c r="C372" s="34"/>
      <c r="D372" s="34"/>
      <c r="E372" s="34"/>
      <c r="F372" s="34"/>
      <c r="G372" s="34"/>
      <c r="H372" s="34"/>
      <c r="I372" s="34"/>
      <c r="J372" s="34"/>
      <c r="K372" s="34"/>
      <c r="L372" s="34"/>
      <c r="M372" s="34"/>
      <c r="N372" s="34"/>
      <c r="O372" s="34"/>
      <c r="P372" s="34"/>
      <c r="Q372" s="34"/>
      <c r="R372" s="48"/>
    </row>
    <row r="374" spans="1:18" x14ac:dyDescent="0.25">
      <c r="A374" s="6" t="s">
        <v>14</v>
      </c>
      <c r="B374" s="7" t="s">
        <v>623</v>
      </c>
      <c r="C374" s="7" t="s">
        <v>15</v>
      </c>
    </row>
    <row r="375" spans="1:18" x14ac:dyDescent="0.25">
      <c r="A375" s="164" t="s">
        <v>16</v>
      </c>
      <c r="B375" s="165">
        <v>2010</v>
      </c>
      <c r="C375" s="153">
        <v>2011</v>
      </c>
      <c r="D375" s="153">
        <v>2012</v>
      </c>
      <c r="E375" s="153">
        <v>2013</v>
      </c>
      <c r="F375" s="153">
        <v>2014</v>
      </c>
      <c r="G375" s="153">
        <v>2015</v>
      </c>
      <c r="H375" s="153">
        <v>2016</v>
      </c>
      <c r="I375" s="153">
        <v>2017</v>
      </c>
      <c r="J375" s="153">
        <v>2018</v>
      </c>
      <c r="K375" s="153">
        <v>2019</v>
      </c>
      <c r="L375" s="153">
        <v>2020</v>
      </c>
      <c r="M375" s="154">
        <v>2021</v>
      </c>
      <c r="N375" s="154">
        <v>2022</v>
      </c>
      <c r="O375" s="154">
        <v>2023</v>
      </c>
      <c r="P375" s="154">
        <v>2024</v>
      </c>
      <c r="Q375" s="90">
        <v>2025</v>
      </c>
    </row>
    <row r="376" spans="1:18" x14ac:dyDescent="0.25">
      <c r="A376" s="152" t="s">
        <v>17</v>
      </c>
      <c r="B376" s="155">
        <v>75</v>
      </c>
      <c r="C376" s="155">
        <v>75</v>
      </c>
      <c r="D376" s="155">
        <v>75</v>
      </c>
      <c r="E376" s="155">
        <v>75</v>
      </c>
      <c r="F376" s="155">
        <v>75</v>
      </c>
      <c r="G376" s="155">
        <v>75</v>
      </c>
      <c r="H376" s="155">
        <v>75</v>
      </c>
      <c r="I376" s="155">
        <v>75</v>
      </c>
      <c r="J376" s="156">
        <v>100</v>
      </c>
      <c r="K376" s="155">
        <v>100</v>
      </c>
      <c r="L376" s="155">
        <v>100</v>
      </c>
      <c r="M376" s="156">
        <v>100</v>
      </c>
      <c r="N376" s="156">
        <v>100</v>
      </c>
      <c r="O376" s="156">
        <v>100</v>
      </c>
      <c r="P376" s="156">
        <v>100</v>
      </c>
      <c r="Q376" s="90">
        <v>111</v>
      </c>
    </row>
    <row r="377" spans="1:18" x14ac:dyDescent="0.25">
      <c r="A377" s="152" t="s">
        <v>18</v>
      </c>
      <c r="B377" s="155">
        <v>79</v>
      </c>
      <c r="C377" s="155">
        <v>80</v>
      </c>
      <c r="D377" s="155">
        <v>105.3</v>
      </c>
      <c r="E377" s="155">
        <v>100</v>
      </c>
      <c r="F377" s="155">
        <v>100</v>
      </c>
      <c r="G377" s="156">
        <v>104.054</v>
      </c>
      <c r="H377" s="155">
        <v>137.5</v>
      </c>
      <c r="I377" s="155">
        <v>88</v>
      </c>
      <c r="J377" s="156">
        <v>90.442999999999998</v>
      </c>
      <c r="K377" s="155">
        <f>K376-12.726+6.69</f>
        <v>93.963999999999999</v>
      </c>
      <c r="L377" s="155">
        <v>103.95</v>
      </c>
      <c r="M377" s="156">
        <f>M376+K380</f>
        <v>102.404</v>
      </c>
      <c r="N377" s="156">
        <f>N376+L380</f>
        <v>107.78</v>
      </c>
      <c r="O377" s="156">
        <f>O376+0.15*M376</f>
        <v>115</v>
      </c>
      <c r="P377" s="156">
        <f>P376+0.15*N376</f>
        <v>115</v>
      </c>
      <c r="Q377" s="90">
        <v>121</v>
      </c>
    </row>
    <row r="378" spans="1:18" x14ac:dyDescent="0.25">
      <c r="A378" s="152" t="s">
        <v>19</v>
      </c>
      <c r="B378" s="155"/>
      <c r="C378" s="155"/>
      <c r="D378" s="155"/>
      <c r="E378" s="155"/>
      <c r="F378" s="155"/>
      <c r="G378" s="156"/>
      <c r="H378" s="156"/>
      <c r="I378" s="156"/>
      <c r="J378" s="166"/>
      <c r="K378" s="156"/>
      <c r="L378" s="156"/>
      <c r="M378" s="156"/>
      <c r="N378" s="156"/>
      <c r="O378" s="156"/>
      <c r="P378" s="156"/>
      <c r="Q378" s="90"/>
    </row>
    <row r="379" spans="1:18" x14ac:dyDescent="0.25">
      <c r="A379" s="152" t="s">
        <v>20</v>
      </c>
      <c r="B379" s="155">
        <v>74</v>
      </c>
      <c r="C379" s="155">
        <v>74.7</v>
      </c>
      <c r="D379" s="155">
        <v>59</v>
      </c>
      <c r="E379" s="155">
        <v>95.945999999999998</v>
      </c>
      <c r="F379" s="155">
        <v>60.292999999999999</v>
      </c>
      <c r="G379" s="156">
        <v>140.78</v>
      </c>
      <c r="H379" s="156">
        <v>135.05699999999999</v>
      </c>
      <c r="I379" s="156">
        <v>81.31</v>
      </c>
      <c r="J379" s="156">
        <v>86.498000000000005</v>
      </c>
      <c r="K379" s="156">
        <v>91.56</v>
      </c>
      <c r="L379" s="156">
        <v>96.17</v>
      </c>
      <c r="M379" s="156">
        <v>58.583999999999996</v>
      </c>
      <c r="N379" s="156">
        <v>37.61</v>
      </c>
      <c r="O379" s="156">
        <v>105</v>
      </c>
      <c r="P379" s="156">
        <v>103.21</v>
      </c>
      <c r="Q379" s="90"/>
    </row>
    <row r="380" spans="1:18" x14ac:dyDescent="0.25">
      <c r="A380" s="152" t="s">
        <v>21</v>
      </c>
      <c r="B380" s="155">
        <v>5</v>
      </c>
      <c r="C380" s="155">
        <v>5.3</v>
      </c>
      <c r="D380" s="155">
        <v>46.3</v>
      </c>
      <c r="E380" s="155">
        <v>4.0540000000000003</v>
      </c>
      <c r="F380" s="155">
        <v>39.707000000000001</v>
      </c>
      <c r="G380" s="156">
        <v>-36.725999999999999</v>
      </c>
      <c r="H380" s="156">
        <v>2.4430000000000001</v>
      </c>
      <c r="I380" s="156">
        <v>6.6899999999999977</v>
      </c>
      <c r="J380" s="156">
        <v>3.9449999999999998</v>
      </c>
      <c r="K380" s="156">
        <f t="shared" ref="K380:P380" si="16">K377-K379</f>
        <v>2.4039999999999964</v>
      </c>
      <c r="L380" s="156">
        <f t="shared" si="16"/>
        <v>7.7800000000000011</v>
      </c>
      <c r="M380" s="156">
        <f t="shared" si="16"/>
        <v>43.82</v>
      </c>
      <c r="N380" s="156">
        <f t="shared" si="16"/>
        <v>70.17</v>
      </c>
      <c r="O380" s="156">
        <f t="shared" si="16"/>
        <v>10</v>
      </c>
      <c r="P380" s="156">
        <f t="shared" si="16"/>
        <v>11.790000000000006</v>
      </c>
      <c r="Q380" s="90"/>
    </row>
    <row r="381" spans="1:18" x14ac:dyDescent="0.25">
      <c r="A381" s="157" t="s">
        <v>22</v>
      </c>
      <c r="B381" s="158">
        <v>2011</v>
      </c>
      <c r="C381" s="158">
        <v>2012</v>
      </c>
      <c r="D381" s="158">
        <v>2014</v>
      </c>
      <c r="E381" s="158">
        <v>2015</v>
      </c>
      <c r="F381" s="158">
        <v>2016</v>
      </c>
      <c r="G381" s="159">
        <v>2017</v>
      </c>
      <c r="H381" s="159">
        <v>2018</v>
      </c>
      <c r="I381" s="159">
        <v>2019</v>
      </c>
      <c r="J381" s="159">
        <v>2020</v>
      </c>
      <c r="K381" s="159">
        <v>2021</v>
      </c>
      <c r="L381" s="159">
        <v>2022</v>
      </c>
      <c r="M381" s="17">
        <v>2023</v>
      </c>
      <c r="N381" s="17">
        <v>2024</v>
      </c>
      <c r="O381" s="17">
        <v>2025</v>
      </c>
      <c r="P381" s="17">
        <v>2026</v>
      </c>
      <c r="Q381" s="90">
        <v>2027</v>
      </c>
    </row>
    <row r="382" spans="1:18" x14ac:dyDescent="0.25">
      <c r="A382" s="16" t="s">
        <v>154</v>
      </c>
      <c r="B382" s="46"/>
      <c r="C382" s="46"/>
      <c r="D382" s="46"/>
      <c r="E382" s="46"/>
      <c r="F382" s="46"/>
      <c r="G382" s="46"/>
      <c r="H382" s="46"/>
      <c r="I382" s="46"/>
      <c r="J382" s="46"/>
      <c r="K382" s="46"/>
      <c r="L382" s="46"/>
      <c r="M382" s="46"/>
      <c r="N382" s="46"/>
      <c r="O382" s="47"/>
      <c r="P382" s="47"/>
      <c r="Q382" s="90"/>
    </row>
    <row r="383" spans="1:18" x14ac:dyDescent="0.25">
      <c r="A383" s="700" t="s">
        <v>433</v>
      </c>
      <c r="B383" s="701"/>
      <c r="C383" s="701"/>
      <c r="D383" s="701"/>
      <c r="E383" s="701"/>
      <c r="F383" s="701"/>
      <c r="G383" s="701"/>
      <c r="H383" s="701"/>
      <c r="I383" s="701"/>
      <c r="J383" s="701"/>
      <c r="K383" s="701"/>
      <c r="L383" s="701"/>
      <c r="M383" s="701"/>
      <c r="N383" s="36"/>
      <c r="O383" s="36"/>
      <c r="P383" s="30"/>
      <c r="Q383" s="88"/>
    </row>
    <row r="384" spans="1:18" x14ac:dyDescent="0.25">
      <c r="A384" s="160" t="s">
        <v>338</v>
      </c>
      <c r="B384" s="19"/>
      <c r="C384" s="19"/>
      <c r="D384" s="19"/>
      <c r="E384" s="19"/>
      <c r="F384" s="19"/>
      <c r="G384" s="19"/>
      <c r="H384" s="19"/>
      <c r="I384" s="19"/>
      <c r="J384" s="19"/>
      <c r="K384" s="19"/>
      <c r="L384" s="19"/>
      <c r="M384" s="19"/>
      <c r="N384" s="19"/>
      <c r="O384" s="19"/>
      <c r="P384" s="19"/>
      <c r="Q384" s="63"/>
    </row>
    <row r="385" spans="1:17" x14ac:dyDescent="0.25">
      <c r="A385" s="39" t="s">
        <v>157</v>
      </c>
      <c r="Q385" s="64"/>
    </row>
    <row r="386" spans="1:17" x14ac:dyDescent="0.25">
      <c r="A386" s="39" t="s">
        <v>434</v>
      </c>
      <c r="Q386" s="64"/>
    </row>
    <row r="387" spans="1:17" x14ac:dyDescent="0.25">
      <c r="A387" s="39" t="s">
        <v>435</v>
      </c>
      <c r="Q387" s="64"/>
    </row>
    <row r="388" spans="1:17" x14ac:dyDescent="0.25">
      <c r="A388" s="39" t="s">
        <v>609</v>
      </c>
      <c r="Q388" s="64"/>
    </row>
    <row r="389" spans="1:17" x14ac:dyDescent="0.25">
      <c r="A389" s="39" t="s">
        <v>772</v>
      </c>
      <c r="Q389" s="64"/>
    </row>
    <row r="390" spans="1:17" x14ac:dyDescent="0.25">
      <c r="A390" s="39" t="s">
        <v>995</v>
      </c>
      <c r="Q390" s="64"/>
    </row>
    <row r="391" spans="1:17" s="34" customFormat="1" x14ac:dyDescent="0.25">
      <c r="A391" s="42" t="s">
        <v>1150</v>
      </c>
      <c r="Q391" s="48"/>
    </row>
    <row r="393" spans="1:17" x14ac:dyDescent="0.25">
      <c r="A393" s="6" t="s">
        <v>14</v>
      </c>
      <c r="B393" s="7" t="s">
        <v>641</v>
      </c>
      <c r="C393" s="7" t="s">
        <v>15</v>
      </c>
    </row>
    <row r="394" spans="1:17" x14ac:dyDescent="0.25">
      <c r="A394" s="152" t="s">
        <v>16</v>
      </c>
      <c r="B394" s="153">
        <v>2010</v>
      </c>
      <c r="C394" s="153">
        <v>2011</v>
      </c>
      <c r="D394" s="153">
        <v>2012</v>
      </c>
      <c r="E394" s="153">
        <v>2013</v>
      </c>
      <c r="F394" s="153">
        <v>2014</v>
      </c>
      <c r="G394" s="153">
        <v>2015</v>
      </c>
      <c r="H394" s="153">
        <v>2016</v>
      </c>
      <c r="I394" s="153">
        <v>2017</v>
      </c>
      <c r="J394" s="154">
        <v>2018</v>
      </c>
      <c r="K394" s="153">
        <v>2019</v>
      </c>
      <c r="L394" s="153">
        <v>2020</v>
      </c>
      <c r="M394" s="154">
        <v>2021</v>
      </c>
      <c r="N394" s="154">
        <v>2022</v>
      </c>
      <c r="O394" s="154">
        <v>2023</v>
      </c>
      <c r="P394" s="154">
        <v>2024</v>
      </c>
      <c r="Q394" s="154">
        <v>2025</v>
      </c>
    </row>
    <row r="395" spans="1:17" x14ac:dyDescent="0.25">
      <c r="A395" s="152" t="s">
        <v>17</v>
      </c>
      <c r="B395" s="155">
        <v>263</v>
      </c>
      <c r="C395" s="155">
        <v>263</v>
      </c>
      <c r="D395" s="155">
        <v>263</v>
      </c>
      <c r="E395" s="155">
        <v>263</v>
      </c>
      <c r="F395" s="155">
        <v>263</v>
      </c>
      <c r="G395" s="155">
        <v>263</v>
      </c>
      <c r="H395" s="155">
        <v>263</v>
      </c>
      <c r="I395" s="155">
        <v>313</v>
      </c>
      <c r="J395" s="156">
        <v>313</v>
      </c>
      <c r="K395" s="155">
        <v>313</v>
      </c>
      <c r="L395" s="155">
        <v>313</v>
      </c>
      <c r="M395" s="155">
        <v>313</v>
      </c>
      <c r="N395" s="155">
        <v>313</v>
      </c>
      <c r="O395" s="155">
        <v>313</v>
      </c>
      <c r="P395" s="155">
        <v>313</v>
      </c>
      <c r="Q395" s="90">
        <v>313</v>
      </c>
    </row>
    <row r="396" spans="1:17" x14ac:dyDescent="0.25">
      <c r="A396" s="152" t="s">
        <v>18</v>
      </c>
      <c r="B396" s="155">
        <v>393</v>
      </c>
      <c r="C396" s="155">
        <v>362</v>
      </c>
      <c r="D396" s="155">
        <v>377.49</v>
      </c>
      <c r="E396" s="155">
        <v>263</v>
      </c>
      <c r="F396" s="155">
        <v>324.99</v>
      </c>
      <c r="G396" s="156">
        <v>330.03800000000001</v>
      </c>
      <c r="H396" s="155">
        <v>341.9</v>
      </c>
      <c r="I396" s="155">
        <v>315.34399999999999</v>
      </c>
      <c r="J396" s="156">
        <v>391.9</v>
      </c>
      <c r="K396" s="155">
        <v>326.76</v>
      </c>
      <c r="L396" s="155">
        <v>350.05</v>
      </c>
      <c r="M396" s="12">
        <f>M395+0.2*K395</f>
        <v>375.6</v>
      </c>
      <c r="N396" s="12">
        <f>N395+0.2*L395</f>
        <v>375.6</v>
      </c>
      <c r="O396" s="12">
        <f>O395+0.1*M395</f>
        <v>344.3</v>
      </c>
      <c r="P396" s="12">
        <f>P395+0.1*N395</f>
        <v>344.3</v>
      </c>
      <c r="Q396" s="131">
        <f>Q395+0.1*O395</f>
        <v>344.3</v>
      </c>
    </row>
    <row r="397" spans="1:17" x14ac:dyDescent="0.25">
      <c r="A397" s="152" t="s">
        <v>19</v>
      </c>
      <c r="B397" s="155"/>
      <c r="C397" s="155"/>
      <c r="D397" s="155"/>
      <c r="E397" s="155"/>
      <c r="F397" s="155"/>
      <c r="G397" s="156"/>
      <c r="H397" s="156"/>
      <c r="I397" s="156"/>
      <c r="J397" s="156"/>
      <c r="K397" s="156"/>
      <c r="L397" s="156"/>
      <c r="M397" s="11"/>
      <c r="N397" s="11"/>
      <c r="O397" s="11"/>
      <c r="P397" s="11"/>
      <c r="Q397" s="90"/>
    </row>
    <row r="398" spans="1:17" x14ac:dyDescent="0.25">
      <c r="A398" s="152" t="s">
        <v>20</v>
      </c>
      <c r="B398" s="155">
        <v>294</v>
      </c>
      <c r="C398" s="155">
        <v>247.51</v>
      </c>
      <c r="D398" s="155">
        <v>315.5</v>
      </c>
      <c r="E398" s="155">
        <v>195.96199999999999</v>
      </c>
      <c r="F398" s="155">
        <v>205.89400000000001</v>
      </c>
      <c r="G398" s="156">
        <v>327.69600000000003</v>
      </c>
      <c r="H398" s="156">
        <v>222.22</v>
      </c>
      <c r="I398" s="156">
        <v>301.58</v>
      </c>
      <c r="J398" s="156">
        <v>354.85</v>
      </c>
      <c r="K398" s="156">
        <v>210.91</v>
      </c>
      <c r="L398" s="156">
        <v>88.54</v>
      </c>
      <c r="M398" s="11">
        <v>36.729999999999997</v>
      </c>
      <c r="N398" s="11">
        <v>187.61</v>
      </c>
      <c r="O398" s="11">
        <v>109.44</v>
      </c>
      <c r="P398" s="11">
        <v>127.83</v>
      </c>
      <c r="Q398" s="90"/>
    </row>
    <row r="399" spans="1:17" x14ac:dyDescent="0.25">
      <c r="A399" s="152" t="s">
        <v>21</v>
      </c>
      <c r="B399" s="155">
        <v>99</v>
      </c>
      <c r="C399" s="155">
        <v>114.49</v>
      </c>
      <c r="D399" s="155">
        <v>61.99</v>
      </c>
      <c r="E399" s="155">
        <v>67.037999999999997</v>
      </c>
      <c r="F399" s="155">
        <v>119.096</v>
      </c>
      <c r="G399" s="156">
        <v>2.3439999999999999</v>
      </c>
      <c r="H399" s="156">
        <v>119.68</v>
      </c>
      <c r="I399" s="156">
        <v>13.759999999999991</v>
      </c>
      <c r="J399" s="156">
        <v>37.049999999999997</v>
      </c>
      <c r="K399" s="156">
        <f t="shared" ref="K399:P399" si="17">K396-K398</f>
        <v>115.85</v>
      </c>
      <c r="L399" s="156">
        <f t="shared" si="17"/>
        <v>261.51</v>
      </c>
      <c r="M399" s="156">
        <f t="shared" si="17"/>
        <v>338.87</v>
      </c>
      <c r="N399" s="156">
        <f t="shared" si="17"/>
        <v>187.99</v>
      </c>
      <c r="O399" s="156">
        <f t="shared" si="17"/>
        <v>234.86</v>
      </c>
      <c r="P399" s="156">
        <f t="shared" si="17"/>
        <v>216.47000000000003</v>
      </c>
      <c r="Q399" s="90"/>
    </row>
    <row r="400" spans="1:17" x14ac:dyDescent="0.25">
      <c r="A400" s="167" t="s">
        <v>22</v>
      </c>
      <c r="B400" s="168">
        <v>2011</v>
      </c>
      <c r="C400" s="168">
        <v>2012</v>
      </c>
      <c r="D400" s="168">
        <v>2014</v>
      </c>
      <c r="E400" s="168">
        <v>2015</v>
      </c>
      <c r="F400" s="168">
        <v>2016</v>
      </c>
      <c r="G400" s="169">
        <v>2017</v>
      </c>
      <c r="H400" s="169">
        <v>2018</v>
      </c>
      <c r="I400" s="169">
        <v>2019</v>
      </c>
      <c r="J400" s="169">
        <v>2020</v>
      </c>
      <c r="K400" s="169">
        <v>2021</v>
      </c>
      <c r="L400" s="169">
        <v>2022</v>
      </c>
      <c r="M400" s="127">
        <v>2023</v>
      </c>
      <c r="N400" s="127">
        <v>2024</v>
      </c>
      <c r="O400" s="127">
        <v>2025</v>
      </c>
      <c r="P400" s="127">
        <v>2026</v>
      </c>
      <c r="Q400" s="127">
        <v>2027</v>
      </c>
    </row>
    <row r="401" spans="1:17" x14ac:dyDescent="0.25">
      <c r="A401" s="29" t="s">
        <v>154</v>
      </c>
      <c r="B401" s="30"/>
      <c r="C401" s="30"/>
      <c r="D401" s="30"/>
      <c r="E401" s="30"/>
      <c r="F401" s="30"/>
      <c r="G401" s="30"/>
      <c r="H401" s="30"/>
      <c r="I401" s="30"/>
      <c r="J401" s="30"/>
      <c r="K401" s="30"/>
      <c r="L401" s="30"/>
      <c r="M401" s="30"/>
      <c r="N401" s="30"/>
      <c r="O401" s="30"/>
      <c r="P401" s="30"/>
      <c r="Q401" s="63"/>
    </row>
    <row r="402" spans="1:17" x14ac:dyDescent="0.25">
      <c r="A402" s="161" t="s">
        <v>158</v>
      </c>
      <c r="Q402" s="63"/>
    </row>
    <row r="403" spans="1:17" x14ac:dyDescent="0.25">
      <c r="A403" s="161" t="s">
        <v>339</v>
      </c>
      <c r="Q403" s="64"/>
    </row>
    <row r="404" spans="1:17" x14ac:dyDescent="0.25">
      <c r="A404" s="161" t="s">
        <v>340</v>
      </c>
      <c r="Q404" s="64"/>
    </row>
    <row r="405" spans="1:17" x14ac:dyDescent="0.25">
      <c r="A405" s="161" t="s">
        <v>436</v>
      </c>
      <c r="Q405" s="64"/>
    </row>
    <row r="406" spans="1:17" x14ac:dyDescent="0.25">
      <c r="A406" s="161" t="s">
        <v>610</v>
      </c>
      <c r="Q406" s="64"/>
    </row>
    <row r="407" spans="1:17" x14ac:dyDescent="0.25">
      <c r="A407" s="161" t="s">
        <v>773</v>
      </c>
      <c r="Q407" s="64"/>
    </row>
    <row r="408" spans="1:17" x14ac:dyDescent="0.25">
      <c r="A408" s="3" t="s">
        <v>996</v>
      </c>
      <c r="Q408" s="64"/>
    </row>
    <row r="409" spans="1:17" x14ac:dyDescent="0.25">
      <c r="A409" s="43" t="s">
        <v>1151</v>
      </c>
      <c r="B409" s="34"/>
      <c r="C409" s="34"/>
      <c r="D409" s="34"/>
      <c r="E409" s="34"/>
      <c r="F409" s="34"/>
      <c r="G409" s="34"/>
      <c r="H409" s="34"/>
      <c r="I409" s="34"/>
      <c r="J409" s="34"/>
      <c r="K409" s="34"/>
      <c r="L409" s="34"/>
      <c r="M409" s="34"/>
      <c r="N409" s="34"/>
      <c r="O409" s="34"/>
      <c r="P409" s="34"/>
      <c r="Q409" s="48"/>
    </row>
    <row r="411" spans="1:17" x14ac:dyDescent="0.25">
      <c r="A411" s="6" t="s">
        <v>14</v>
      </c>
      <c r="B411" s="7" t="s">
        <v>66</v>
      </c>
      <c r="C411" s="7" t="s">
        <v>15</v>
      </c>
    </row>
    <row r="412" spans="1:17" x14ac:dyDescent="0.25">
      <c r="A412" s="164" t="s">
        <v>16</v>
      </c>
      <c r="B412" s="165">
        <v>2010</v>
      </c>
      <c r="C412" s="153">
        <v>2011</v>
      </c>
      <c r="D412" s="153">
        <v>2012</v>
      </c>
      <c r="E412" s="153">
        <v>2013</v>
      </c>
      <c r="F412" s="153">
        <v>2014</v>
      </c>
      <c r="G412" s="153">
        <v>2015</v>
      </c>
      <c r="H412" s="153">
        <v>2016</v>
      </c>
      <c r="I412" s="153">
        <v>2017</v>
      </c>
      <c r="J412" s="153">
        <v>2018</v>
      </c>
      <c r="K412" s="154">
        <v>2019</v>
      </c>
      <c r="L412" s="154">
        <v>2020</v>
      </c>
      <c r="M412" s="154">
        <v>2021</v>
      </c>
      <c r="N412" s="154">
        <v>2022</v>
      </c>
      <c r="O412" s="154">
        <v>2023</v>
      </c>
      <c r="P412" s="154">
        <v>2024</v>
      </c>
      <c r="Q412" s="154">
        <v>2025</v>
      </c>
    </row>
    <row r="413" spans="1:17" x14ac:dyDescent="0.25">
      <c r="A413" s="152" t="s">
        <v>17</v>
      </c>
      <c r="B413" s="155">
        <v>5900</v>
      </c>
      <c r="C413" s="155">
        <v>5572</v>
      </c>
      <c r="D413" s="155">
        <v>5572</v>
      </c>
      <c r="E413" s="155">
        <v>5572</v>
      </c>
      <c r="F413" s="155">
        <v>5572</v>
      </c>
      <c r="G413" s="155">
        <v>5572</v>
      </c>
      <c r="H413" s="155">
        <v>5376</v>
      </c>
      <c r="I413" s="155">
        <v>5376</v>
      </c>
      <c r="J413" s="156">
        <v>5376</v>
      </c>
      <c r="K413" s="156">
        <v>5376</v>
      </c>
      <c r="L413" s="156">
        <v>4462.08</v>
      </c>
      <c r="M413" s="156">
        <v>4390.6867200000006</v>
      </c>
      <c r="N413" s="156">
        <v>4426.38</v>
      </c>
      <c r="O413" s="156">
        <v>4426.38</v>
      </c>
      <c r="P413" s="156">
        <v>4426.38</v>
      </c>
      <c r="Q413" s="90">
        <v>4624.07</v>
      </c>
    </row>
    <row r="414" spans="1:17" x14ac:dyDescent="0.25">
      <c r="A414" s="152" t="s">
        <v>18</v>
      </c>
      <c r="B414" s="155">
        <v>9670</v>
      </c>
      <c r="C414" s="155">
        <v>8572</v>
      </c>
      <c r="D414" s="155">
        <v>10173</v>
      </c>
      <c r="E414" s="155">
        <v>8502</v>
      </c>
      <c r="F414" s="155">
        <v>10173.6</v>
      </c>
      <c r="G414" s="155">
        <v>10173.6</v>
      </c>
      <c r="H414" s="155">
        <v>7182.4</v>
      </c>
      <c r="I414" s="155">
        <v>7182.4</v>
      </c>
      <c r="J414" s="155">
        <v>7182.4</v>
      </c>
      <c r="K414" s="156">
        <v>7182.4</v>
      </c>
      <c r="L414" s="156">
        <f>L413+0.15*J413+600</f>
        <v>5868.48</v>
      </c>
      <c r="M414" s="156">
        <f>M413+0.1*K413+600</f>
        <v>5528.286720000001</v>
      </c>
      <c r="N414" s="156">
        <f>N413+0.1*L413+600</f>
        <v>5472.5879999999997</v>
      </c>
      <c r="O414" s="156">
        <f>O413+0.1*M413+600</f>
        <v>5465.4486720000004</v>
      </c>
      <c r="P414" s="156">
        <f>P413+0.1*N413+600</f>
        <v>5469.018</v>
      </c>
      <c r="Q414" s="90">
        <v>5024.22</v>
      </c>
    </row>
    <row r="415" spans="1:17" x14ac:dyDescent="0.25">
      <c r="A415" s="152" t="s">
        <v>19</v>
      </c>
      <c r="B415" s="152"/>
      <c r="C415" s="152"/>
      <c r="D415" s="152"/>
      <c r="E415" s="152"/>
      <c r="F415" s="152"/>
      <c r="G415" s="11"/>
      <c r="H415" s="11"/>
      <c r="I415" s="11"/>
      <c r="J415" s="170"/>
      <c r="K415" s="11"/>
      <c r="L415" s="11"/>
      <c r="M415" s="11"/>
      <c r="N415" s="11"/>
      <c r="O415" s="11"/>
      <c r="P415" s="11"/>
      <c r="Q415" s="90"/>
    </row>
    <row r="416" spans="1:17" x14ac:dyDescent="0.25">
      <c r="A416" s="152" t="s">
        <v>20</v>
      </c>
      <c r="B416" s="155">
        <v>5489</v>
      </c>
      <c r="C416" s="155">
        <v>3720.78</v>
      </c>
      <c r="D416" s="155">
        <v>3231</v>
      </c>
      <c r="E416" s="155">
        <v>2371.0340000000001</v>
      </c>
      <c r="F416" s="155">
        <v>2231.75</v>
      </c>
      <c r="G416" s="156">
        <v>4941.848</v>
      </c>
      <c r="H416" s="156">
        <v>5852.39</v>
      </c>
      <c r="I416" s="156">
        <v>5514.3580000000002</v>
      </c>
      <c r="J416" s="156">
        <v>4823.0860000000002</v>
      </c>
      <c r="K416" s="156">
        <v>5718.49</v>
      </c>
      <c r="L416" s="156">
        <v>3613.58</v>
      </c>
      <c r="M416" s="156">
        <v>1638.49</v>
      </c>
      <c r="N416" s="156">
        <v>3248.94</v>
      </c>
      <c r="O416" s="156">
        <v>5415.3</v>
      </c>
      <c r="P416" s="156">
        <v>5132.71</v>
      </c>
      <c r="Q416" s="90"/>
    </row>
    <row r="417" spans="1:17" x14ac:dyDescent="0.25">
      <c r="A417" s="152" t="s">
        <v>21</v>
      </c>
      <c r="B417" s="155">
        <v>4181</v>
      </c>
      <c r="C417" s="155">
        <v>4581.22</v>
      </c>
      <c r="D417" s="155">
        <v>6942</v>
      </c>
      <c r="E417" s="155">
        <v>6130.6959999999999</v>
      </c>
      <c r="F417" s="155">
        <v>7941.85</v>
      </c>
      <c r="G417" s="156">
        <v>5232.116</v>
      </c>
      <c r="H417" s="156">
        <v>1330.01</v>
      </c>
      <c r="I417" s="156">
        <v>1449.932</v>
      </c>
      <c r="J417" s="156">
        <v>2359.3139999999999</v>
      </c>
      <c r="K417" s="156">
        <f t="shared" ref="K417:P417" si="18">K414-K416</f>
        <v>1463.9099999999999</v>
      </c>
      <c r="L417" s="156">
        <f t="shared" si="18"/>
        <v>2254.8999999999996</v>
      </c>
      <c r="M417" s="156">
        <f t="shared" si="18"/>
        <v>3889.7967200000012</v>
      </c>
      <c r="N417" s="156">
        <f t="shared" si="18"/>
        <v>2223.6479999999997</v>
      </c>
      <c r="O417" s="156">
        <f t="shared" si="18"/>
        <v>50.148672000000261</v>
      </c>
      <c r="P417" s="156">
        <f t="shared" si="18"/>
        <v>336.30799999999999</v>
      </c>
      <c r="Q417" s="90"/>
    </row>
    <row r="418" spans="1:17" x14ac:dyDescent="0.25">
      <c r="A418" s="157" t="s">
        <v>22</v>
      </c>
      <c r="B418" s="157">
        <v>2012</v>
      </c>
      <c r="C418" s="157">
        <v>2013</v>
      </c>
      <c r="D418" s="157">
        <v>2014</v>
      </c>
      <c r="E418" s="157">
        <v>2015</v>
      </c>
      <c r="F418" s="157">
        <v>2016</v>
      </c>
      <c r="G418" s="17">
        <v>2017</v>
      </c>
      <c r="H418" s="17">
        <v>2018</v>
      </c>
      <c r="I418" s="17">
        <v>2019</v>
      </c>
      <c r="J418" s="17">
        <v>2020</v>
      </c>
      <c r="K418" s="17">
        <v>2021</v>
      </c>
      <c r="L418" s="17">
        <v>2022</v>
      </c>
      <c r="M418" s="17">
        <v>2023</v>
      </c>
      <c r="N418" s="17">
        <v>2024</v>
      </c>
      <c r="O418" s="17">
        <v>2025</v>
      </c>
      <c r="P418" s="17">
        <v>2026</v>
      </c>
      <c r="Q418" s="62"/>
    </row>
    <row r="419" spans="1:17" x14ac:dyDescent="0.25">
      <c r="A419" s="10" t="s">
        <v>154</v>
      </c>
      <c r="B419" s="36"/>
      <c r="C419" s="36"/>
      <c r="D419" s="36"/>
      <c r="E419" s="36"/>
      <c r="F419" s="36"/>
      <c r="G419" s="36"/>
      <c r="H419" s="36"/>
      <c r="I419" s="36"/>
      <c r="J419" s="36"/>
      <c r="K419" s="36"/>
      <c r="L419" s="36"/>
      <c r="M419" s="36"/>
      <c r="N419" s="36"/>
      <c r="O419" s="36"/>
      <c r="P419" s="30"/>
      <c r="Q419" s="88"/>
    </row>
    <row r="420" spans="1:17" x14ac:dyDescent="0.25">
      <c r="A420" s="161" t="s">
        <v>159</v>
      </c>
      <c r="Q420" s="63"/>
    </row>
    <row r="421" spans="1:17" x14ac:dyDescent="0.25">
      <c r="A421" s="161" t="s">
        <v>160</v>
      </c>
      <c r="Q421" s="64"/>
    </row>
    <row r="422" spans="1:17" x14ac:dyDescent="0.25">
      <c r="A422" s="161" t="s">
        <v>437</v>
      </c>
      <c r="Q422" s="64"/>
    </row>
    <row r="423" spans="1:17" x14ac:dyDescent="0.25">
      <c r="A423" s="161" t="s">
        <v>590</v>
      </c>
      <c r="Q423" s="64"/>
    </row>
    <row r="424" spans="1:17" x14ac:dyDescent="0.25">
      <c r="A424" s="161" t="s">
        <v>611</v>
      </c>
      <c r="Q424" s="64"/>
    </row>
    <row r="425" spans="1:17" x14ac:dyDescent="0.25">
      <c r="A425" s="161" t="s">
        <v>774</v>
      </c>
      <c r="Q425" s="64"/>
    </row>
    <row r="426" spans="1:17" x14ac:dyDescent="0.25">
      <c r="A426" s="123" t="s">
        <v>997</v>
      </c>
      <c r="Q426" s="64"/>
    </row>
    <row r="427" spans="1:17" x14ac:dyDescent="0.25">
      <c r="A427" s="171" t="s">
        <v>1152</v>
      </c>
      <c r="B427" s="34"/>
      <c r="C427" s="34"/>
      <c r="D427" s="34"/>
      <c r="E427" s="34"/>
      <c r="F427" s="34"/>
      <c r="G427" s="34"/>
      <c r="H427" s="34"/>
      <c r="I427" s="34"/>
      <c r="J427" s="34"/>
      <c r="K427" s="34"/>
      <c r="L427" s="34"/>
      <c r="M427" s="34"/>
      <c r="N427" s="34"/>
      <c r="O427" s="34"/>
      <c r="P427" s="34"/>
      <c r="Q427" s="48"/>
    </row>
    <row r="429" spans="1:17" x14ac:dyDescent="0.25">
      <c r="A429" s="6" t="s">
        <v>14</v>
      </c>
      <c r="B429" s="7" t="s">
        <v>74</v>
      </c>
      <c r="C429" s="7" t="s">
        <v>15</v>
      </c>
    </row>
    <row r="430" spans="1:17" x14ac:dyDescent="0.25">
      <c r="A430" s="164" t="s">
        <v>16</v>
      </c>
      <c r="B430" s="165">
        <v>2010</v>
      </c>
      <c r="C430" s="153">
        <v>2011</v>
      </c>
      <c r="D430" s="153">
        <v>2012</v>
      </c>
      <c r="E430" s="153">
        <v>2013</v>
      </c>
      <c r="F430" s="153">
        <v>2014</v>
      </c>
      <c r="G430" s="153">
        <v>2015</v>
      </c>
      <c r="H430" s="153">
        <v>2016</v>
      </c>
      <c r="I430" s="153">
        <v>2017</v>
      </c>
      <c r="J430" s="153">
        <v>2018</v>
      </c>
      <c r="K430" s="154">
        <v>2019</v>
      </c>
      <c r="L430" s="154">
        <v>2020</v>
      </c>
      <c r="M430" s="154">
        <v>2021</v>
      </c>
      <c r="N430" s="154">
        <v>2022</v>
      </c>
      <c r="O430" s="154">
        <v>2023</v>
      </c>
      <c r="P430" s="154">
        <v>2024</v>
      </c>
      <c r="Q430" s="154">
        <v>2025</v>
      </c>
    </row>
    <row r="431" spans="1:17" x14ac:dyDescent="0.25">
      <c r="A431" s="152" t="s">
        <v>17</v>
      </c>
      <c r="B431" s="155">
        <v>100.5</v>
      </c>
      <c r="C431" s="155">
        <v>100.5</v>
      </c>
      <c r="D431" s="155">
        <v>100.5</v>
      </c>
      <c r="E431" s="155">
        <v>45</v>
      </c>
      <c r="F431" s="155">
        <v>45</v>
      </c>
      <c r="G431" s="155">
        <v>45</v>
      </c>
      <c r="H431" s="155">
        <v>45</v>
      </c>
      <c r="I431" s="155">
        <v>45</v>
      </c>
      <c r="J431" s="156">
        <v>45</v>
      </c>
      <c r="K431" s="156">
        <v>45</v>
      </c>
      <c r="L431" s="156">
        <v>37.9</v>
      </c>
      <c r="M431" s="156">
        <v>37.9</v>
      </c>
      <c r="N431" s="156">
        <v>37.9</v>
      </c>
      <c r="O431" s="156">
        <v>37.9</v>
      </c>
      <c r="P431" s="156">
        <v>37.9</v>
      </c>
      <c r="Q431" s="156">
        <v>37.9</v>
      </c>
    </row>
    <row r="432" spans="1:17" x14ac:dyDescent="0.25">
      <c r="A432" s="152" t="s">
        <v>18</v>
      </c>
      <c r="B432" s="155">
        <v>100.5</v>
      </c>
      <c r="C432" s="155">
        <v>100.5</v>
      </c>
      <c r="D432" s="155">
        <v>100.5</v>
      </c>
      <c r="E432" s="155">
        <v>45</v>
      </c>
      <c r="F432" s="155">
        <v>45</v>
      </c>
      <c r="G432" s="155">
        <v>45</v>
      </c>
      <c r="H432" s="155">
        <v>50.34</v>
      </c>
      <c r="I432" s="155">
        <v>45.585000000000001</v>
      </c>
      <c r="J432" s="155">
        <v>45.628999999999998</v>
      </c>
      <c r="K432" s="156">
        <v>50.27</v>
      </c>
      <c r="L432" s="156">
        <f>L431+J435</f>
        <v>41.338000000000001</v>
      </c>
      <c r="M432" s="156">
        <f>M431+K435</f>
        <v>41.77</v>
      </c>
      <c r="N432" s="156"/>
      <c r="O432" s="156"/>
      <c r="P432" s="156"/>
      <c r="Q432" s="156"/>
    </row>
    <row r="433" spans="1:17" x14ac:dyDescent="0.25">
      <c r="A433" s="152" t="s">
        <v>19</v>
      </c>
      <c r="B433" s="152"/>
      <c r="C433" s="152"/>
      <c r="D433" s="152"/>
      <c r="E433" s="152"/>
      <c r="F433" s="152"/>
      <c r="G433" s="11"/>
      <c r="H433" s="11"/>
      <c r="I433" s="11"/>
      <c r="J433" s="11"/>
      <c r="K433" s="11"/>
      <c r="L433" s="11"/>
      <c r="M433" s="11"/>
      <c r="N433" s="11"/>
      <c r="O433" s="11"/>
      <c r="P433" s="11"/>
      <c r="Q433" s="11"/>
    </row>
    <row r="434" spans="1:17" x14ac:dyDescent="0.25">
      <c r="A434" s="152" t="s">
        <v>20</v>
      </c>
      <c r="B434" s="155">
        <v>77</v>
      </c>
      <c r="C434" s="155">
        <v>99.5</v>
      </c>
      <c r="D434" s="155">
        <v>35</v>
      </c>
      <c r="E434" s="155">
        <v>44.86</v>
      </c>
      <c r="F434" s="155">
        <v>39.659999999999997</v>
      </c>
      <c r="G434" s="156">
        <v>44.414999999999999</v>
      </c>
      <c r="H434" s="156">
        <v>49.710999999999999</v>
      </c>
      <c r="I434" s="156">
        <v>40.31</v>
      </c>
      <c r="J434" s="156">
        <v>42.191000000000003</v>
      </c>
      <c r="K434" s="156">
        <v>46.4</v>
      </c>
      <c r="L434" s="156">
        <v>37.24</v>
      </c>
      <c r="M434" s="156">
        <v>4.03</v>
      </c>
      <c r="N434" s="156">
        <v>10.41</v>
      </c>
      <c r="O434" s="156">
        <v>35.4</v>
      </c>
      <c r="P434" s="156">
        <v>37.36</v>
      </c>
      <c r="Q434" s="156"/>
    </row>
    <row r="435" spans="1:17" x14ac:dyDescent="0.25">
      <c r="A435" s="152" t="s">
        <v>21</v>
      </c>
      <c r="B435" s="155">
        <v>23.5</v>
      </c>
      <c r="C435" s="155">
        <v>1</v>
      </c>
      <c r="D435" s="155">
        <v>65.5</v>
      </c>
      <c r="E435" s="155">
        <v>0.14199999999999999</v>
      </c>
      <c r="F435" s="155">
        <v>5.34</v>
      </c>
      <c r="G435" s="156">
        <v>0.58499999999999996</v>
      </c>
      <c r="H435" s="156">
        <v>0.629</v>
      </c>
      <c r="I435" s="156">
        <v>5.269999999999996</v>
      </c>
      <c r="J435" s="156">
        <v>3.4380000000000002</v>
      </c>
      <c r="K435" s="156">
        <f>K432-K434</f>
        <v>3.8700000000000045</v>
      </c>
      <c r="L435" s="156">
        <f>L432-L434</f>
        <v>4.097999999999999</v>
      </c>
      <c r="M435" s="156">
        <f>M432-M434</f>
        <v>37.74</v>
      </c>
      <c r="N435" s="156">
        <f>N431-N434</f>
        <v>27.49</v>
      </c>
      <c r="O435" s="156">
        <f>O431-O434</f>
        <v>2.5</v>
      </c>
      <c r="P435" s="156">
        <f>P431-P434</f>
        <v>0.53999999999999915</v>
      </c>
      <c r="Q435" s="156"/>
    </row>
    <row r="436" spans="1:17" x14ac:dyDescent="0.25">
      <c r="A436" s="157" t="s">
        <v>22</v>
      </c>
      <c r="B436" s="158" t="s">
        <v>161</v>
      </c>
      <c r="C436" s="158" t="s">
        <v>161</v>
      </c>
      <c r="D436" s="158" t="s">
        <v>161</v>
      </c>
      <c r="E436" s="158">
        <v>2015</v>
      </c>
      <c r="F436" s="158">
        <v>2016</v>
      </c>
      <c r="G436" s="159">
        <v>2017</v>
      </c>
      <c r="H436" s="159">
        <v>2018</v>
      </c>
      <c r="I436" s="159">
        <v>2019</v>
      </c>
      <c r="J436" s="159">
        <v>2020</v>
      </c>
      <c r="K436" s="159">
        <v>2021</v>
      </c>
      <c r="L436" s="158"/>
      <c r="M436" s="158"/>
      <c r="N436" s="158"/>
      <c r="O436" s="158"/>
      <c r="P436" s="158"/>
      <c r="Q436" s="158"/>
    </row>
    <row r="437" spans="1:17" x14ac:dyDescent="0.25">
      <c r="A437" s="90" t="s">
        <v>154</v>
      </c>
      <c r="B437" s="90"/>
      <c r="C437" s="90"/>
      <c r="D437" s="90"/>
      <c r="E437" s="90"/>
      <c r="F437" s="90"/>
      <c r="G437" s="90"/>
      <c r="H437" s="90"/>
      <c r="I437" s="90"/>
      <c r="J437" s="90"/>
      <c r="K437" s="90"/>
      <c r="L437" s="90"/>
      <c r="M437" s="90"/>
      <c r="N437" s="90"/>
      <c r="O437" s="90"/>
      <c r="P437" s="90"/>
      <c r="Q437" s="90"/>
    </row>
    <row r="438" spans="1:17" x14ac:dyDescent="0.25">
      <c r="A438" s="29" t="s">
        <v>612</v>
      </c>
      <c r="B438" s="30"/>
      <c r="C438" s="30"/>
      <c r="D438" s="30"/>
      <c r="E438" s="30"/>
      <c r="F438" s="30"/>
      <c r="G438" s="30"/>
      <c r="H438" s="30"/>
      <c r="I438" s="30"/>
      <c r="J438" s="30"/>
      <c r="K438" s="30"/>
      <c r="L438" s="30"/>
      <c r="M438" s="30"/>
      <c r="N438" s="30"/>
      <c r="O438" s="30"/>
      <c r="P438" s="88"/>
      <c r="Q438" s="88"/>
    </row>
    <row r="439" spans="1:17" x14ac:dyDescent="0.25">
      <c r="A439" s="160" t="s">
        <v>162</v>
      </c>
      <c r="B439" s="19"/>
      <c r="C439" s="19"/>
      <c r="D439" s="19"/>
      <c r="E439" s="19"/>
      <c r="F439" s="19"/>
      <c r="G439" s="19"/>
      <c r="H439" s="19"/>
      <c r="I439" s="19"/>
      <c r="J439" s="19"/>
      <c r="K439" s="19"/>
      <c r="L439" s="19"/>
      <c r="M439" s="19"/>
      <c r="N439" s="19"/>
      <c r="O439" s="19"/>
      <c r="P439" s="19"/>
      <c r="Q439" s="63"/>
    </row>
    <row r="440" spans="1:17" x14ac:dyDescent="0.25">
      <c r="A440" s="161" t="s">
        <v>341</v>
      </c>
      <c r="Q440" s="64"/>
    </row>
    <row r="441" spans="1:17" x14ac:dyDescent="0.25">
      <c r="A441" s="39" t="s">
        <v>342</v>
      </c>
      <c r="Q441" s="64"/>
    </row>
    <row r="442" spans="1:17" x14ac:dyDescent="0.25">
      <c r="A442" s="39" t="s">
        <v>438</v>
      </c>
      <c r="Q442" s="64"/>
    </row>
    <row r="443" spans="1:17" x14ac:dyDescent="0.25">
      <c r="A443" s="41" t="s">
        <v>775</v>
      </c>
      <c r="B443" s="34"/>
      <c r="C443" s="34"/>
      <c r="D443" s="34"/>
      <c r="E443" s="34"/>
      <c r="F443" s="34"/>
      <c r="G443" s="34"/>
      <c r="H443" s="34"/>
      <c r="I443" s="34"/>
      <c r="J443" s="34"/>
      <c r="K443" s="34"/>
      <c r="L443" s="34"/>
      <c r="M443" s="34"/>
      <c r="N443" s="34"/>
      <c r="O443" s="34"/>
      <c r="P443" s="34"/>
      <c r="Q443" s="48"/>
    </row>
    <row r="445" spans="1:17" x14ac:dyDescent="0.25">
      <c r="A445" s="6" t="s">
        <v>14</v>
      </c>
      <c r="B445" s="7" t="s">
        <v>79</v>
      </c>
      <c r="C445" s="7" t="s">
        <v>15</v>
      </c>
    </row>
    <row r="446" spans="1:17" x14ac:dyDescent="0.25">
      <c r="A446" s="164" t="s">
        <v>16</v>
      </c>
      <c r="B446" s="165">
        <v>2010</v>
      </c>
      <c r="C446" s="153">
        <v>2011</v>
      </c>
      <c r="D446" s="153">
        <v>2012</v>
      </c>
      <c r="E446" s="153">
        <v>2013</v>
      </c>
      <c r="F446" s="153">
        <v>2014</v>
      </c>
      <c r="G446" s="153">
        <v>2015</v>
      </c>
      <c r="H446" s="153">
        <v>2016</v>
      </c>
      <c r="I446" s="153">
        <v>2017</v>
      </c>
      <c r="J446" s="153">
        <v>2018</v>
      </c>
      <c r="K446" s="154">
        <v>2019</v>
      </c>
      <c r="L446" s="154">
        <v>2020</v>
      </c>
      <c r="M446" s="154">
        <v>2021</v>
      </c>
      <c r="N446" s="154">
        <v>2022</v>
      </c>
      <c r="O446" s="154">
        <v>2023</v>
      </c>
      <c r="P446" s="154">
        <v>2024</v>
      </c>
      <c r="Q446" s="154">
        <v>2025</v>
      </c>
    </row>
    <row r="447" spans="1:17" x14ac:dyDescent="0.25">
      <c r="A447" s="152" t="s">
        <v>17</v>
      </c>
      <c r="B447" s="155">
        <v>9.9</v>
      </c>
      <c r="C447" s="155">
        <v>9.9</v>
      </c>
      <c r="D447" s="155">
        <v>9.9</v>
      </c>
      <c r="E447" s="155">
        <v>10</v>
      </c>
      <c r="F447" s="155">
        <v>10</v>
      </c>
      <c r="G447" s="155">
        <v>10</v>
      </c>
      <c r="H447" s="156">
        <v>10</v>
      </c>
      <c r="I447" s="156">
        <v>10</v>
      </c>
      <c r="J447" s="156">
        <v>10</v>
      </c>
      <c r="K447" s="156">
        <v>10</v>
      </c>
      <c r="L447" s="156">
        <v>10</v>
      </c>
      <c r="M447" s="156">
        <v>10</v>
      </c>
      <c r="N447" s="156">
        <v>10</v>
      </c>
      <c r="O447" s="156">
        <v>10</v>
      </c>
      <c r="P447" s="156">
        <v>10</v>
      </c>
      <c r="Q447" s="156">
        <v>10</v>
      </c>
    </row>
    <row r="448" spans="1:17" x14ac:dyDescent="0.25">
      <c r="A448" s="152" t="s">
        <v>18</v>
      </c>
      <c r="B448" s="155">
        <v>9.9</v>
      </c>
      <c r="C448" s="155">
        <v>9.9</v>
      </c>
      <c r="D448" s="155">
        <v>9.9</v>
      </c>
      <c r="E448" s="155">
        <v>10</v>
      </c>
      <c r="F448" s="155">
        <v>10</v>
      </c>
      <c r="G448" s="155">
        <v>12</v>
      </c>
      <c r="H448" s="156">
        <v>12</v>
      </c>
      <c r="I448" s="156">
        <v>12</v>
      </c>
      <c r="J448" s="155">
        <v>12</v>
      </c>
      <c r="K448" s="156">
        <v>12</v>
      </c>
      <c r="L448" s="156">
        <f>L447*1.2</f>
        <v>12</v>
      </c>
      <c r="M448" s="156">
        <f>M447*1.2</f>
        <v>12</v>
      </c>
      <c r="N448" s="156"/>
      <c r="O448" s="156"/>
      <c r="P448" s="156"/>
      <c r="Q448" s="156"/>
    </row>
    <row r="449" spans="1:17" x14ac:dyDescent="0.25">
      <c r="A449" s="152" t="s">
        <v>19</v>
      </c>
      <c r="B449" s="152"/>
      <c r="C449" s="152"/>
      <c r="D449" s="152"/>
      <c r="E449" s="152"/>
      <c r="F449" s="152"/>
      <c r="G449" s="11"/>
      <c r="H449" s="11"/>
      <c r="I449" s="11"/>
      <c r="J449" s="11"/>
      <c r="K449" s="11"/>
      <c r="L449" s="11"/>
      <c r="M449" s="11"/>
      <c r="N449" s="11"/>
      <c r="O449" s="11"/>
      <c r="P449" s="11"/>
      <c r="Q449" s="11"/>
    </row>
    <row r="450" spans="1:17" x14ac:dyDescent="0.25">
      <c r="A450" s="152" t="s">
        <v>20</v>
      </c>
      <c r="B450" s="155">
        <v>8</v>
      </c>
      <c r="C450" s="155">
        <v>0.73</v>
      </c>
      <c r="D450" s="155">
        <v>0.21</v>
      </c>
      <c r="E450" s="155">
        <v>2.1179999999999999</v>
      </c>
      <c r="F450" s="155">
        <v>0</v>
      </c>
      <c r="G450" s="156">
        <v>0.34799999999999998</v>
      </c>
      <c r="H450" s="156">
        <v>0.26300000000000001</v>
      </c>
      <c r="I450" s="156">
        <v>2.5299999999999998</v>
      </c>
      <c r="J450" s="156">
        <v>3.23</v>
      </c>
      <c r="K450" s="156">
        <v>2.88</v>
      </c>
      <c r="L450" s="156">
        <v>1.81</v>
      </c>
      <c r="M450" s="156">
        <v>1.57</v>
      </c>
      <c r="N450" s="156">
        <v>2.13</v>
      </c>
      <c r="O450" s="156">
        <v>1.5</v>
      </c>
      <c r="P450" s="156">
        <v>1.92</v>
      </c>
      <c r="Q450" s="156"/>
    </row>
    <row r="451" spans="1:17" x14ac:dyDescent="0.25">
      <c r="A451" s="152" t="s">
        <v>21</v>
      </c>
      <c r="B451" s="155">
        <v>1.9</v>
      </c>
      <c r="C451" s="155">
        <v>9.17</v>
      </c>
      <c r="D451" s="155">
        <v>9.69</v>
      </c>
      <c r="E451" s="155">
        <v>7.8819999999999997</v>
      </c>
      <c r="F451" s="155">
        <v>10</v>
      </c>
      <c r="G451" s="156">
        <v>11.651999999999999</v>
      </c>
      <c r="H451" s="156">
        <v>11.737</v>
      </c>
      <c r="I451" s="156">
        <v>9.4700000000000006</v>
      </c>
      <c r="J451" s="156">
        <v>8.77</v>
      </c>
      <c r="K451" s="156">
        <f>K448-K450</f>
        <v>9.120000000000001</v>
      </c>
      <c r="L451" s="156">
        <f>L448-L450</f>
        <v>10.19</v>
      </c>
      <c r="M451" s="156">
        <f>M448-M450</f>
        <v>10.43</v>
      </c>
      <c r="N451" s="156">
        <f>N447-N450</f>
        <v>7.87</v>
      </c>
      <c r="O451" s="156">
        <f>O447-O450</f>
        <v>8.5</v>
      </c>
      <c r="P451" s="156">
        <f>P447-P450</f>
        <v>8.08</v>
      </c>
      <c r="Q451" s="156"/>
    </row>
    <row r="452" spans="1:17" x14ac:dyDescent="0.25">
      <c r="A452" s="157" t="s">
        <v>22</v>
      </c>
      <c r="B452" s="158" t="s">
        <v>161</v>
      </c>
      <c r="C452" s="158" t="s">
        <v>161</v>
      </c>
      <c r="D452" s="158" t="s">
        <v>161</v>
      </c>
      <c r="E452" s="158">
        <v>2015</v>
      </c>
      <c r="F452" s="158">
        <v>2016</v>
      </c>
      <c r="G452" s="159">
        <v>2017</v>
      </c>
      <c r="H452" s="159">
        <v>2018</v>
      </c>
      <c r="I452" s="159">
        <v>2019</v>
      </c>
      <c r="J452" s="159">
        <v>2020</v>
      </c>
      <c r="K452" s="159">
        <v>2021</v>
      </c>
      <c r="L452" s="158"/>
      <c r="M452" s="158"/>
      <c r="N452" s="158"/>
      <c r="O452" s="158"/>
      <c r="P452" s="158"/>
      <c r="Q452" s="158"/>
    </row>
    <row r="453" spans="1:17" x14ac:dyDescent="0.25">
      <c r="A453" s="29" t="s">
        <v>154</v>
      </c>
      <c r="B453" s="30"/>
      <c r="C453" s="30"/>
      <c r="D453" s="30"/>
      <c r="E453" s="30"/>
      <c r="F453" s="30"/>
      <c r="G453" s="30"/>
      <c r="H453" s="30"/>
      <c r="I453" s="30"/>
      <c r="J453" s="30"/>
      <c r="K453" s="30"/>
      <c r="L453" s="30"/>
      <c r="M453" s="30"/>
      <c r="N453" s="30"/>
      <c r="O453" s="30"/>
      <c r="P453" s="88"/>
      <c r="Q453" s="63"/>
    </row>
    <row r="454" spans="1:17" x14ac:dyDescent="0.25">
      <c r="A454" s="39" t="s">
        <v>613</v>
      </c>
      <c r="Q454" s="63"/>
    </row>
    <row r="455" spans="1:17" x14ac:dyDescent="0.25">
      <c r="A455" s="39" t="s">
        <v>163</v>
      </c>
      <c r="Q455" s="64"/>
    </row>
    <row r="456" spans="1:17" x14ac:dyDescent="0.25">
      <c r="A456" s="39" t="s">
        <v>343</v>
      </c>
      <c r="Q456" s="64"/>
    </row>
    <row r="457" spans="1:17" x14ac:dyDescent="0.25">
      <c r="A457" s="39" t="s">
        <v>439</v>
      </c>
      <c r="Q457" s="64"/>
    </row>
    <row r="458" spans="1:17" x14ac:dyDescent="0.25">
      <c r="A458" s="41" t="s">
        <v>775</v>
      </c>
      <c r="B458" s="34"/>
      <c r="C458" s="34"/>
      <c r="D458" s="34"/>
      <c r="E458" s="34"/>
      <c r="F458" s="34"/>
      <c r="G458" s="34"/>
      <c r="H458" s="34"/>
      <c r="I458" s="34"/>
      <c r="J458" s="34"/>
      <c r="K458" s="34"/>
      <c r="L458" s="34"/>
      <c r="M458" s="34"/>
      <c r="N458" s="34"/>
      <c r="O458" s="34"/>
      <c r="P458" s="34"/>
      <c r="Q458" s="48"/>
    </row>
    <row r="461" spans="1:17" x14ac:dyDescent="0.25">
      <c r="A461" s="6" t="s">
        <v>12</v>
      </c>
      <c r="B461" s="7" t="s">
        <v>85</v>
      </c>
    </row>
    <row r="462" spans="1:17" x14ac:dyDescent="0.25">
      <c r="A462" s="6" t="s">
        <v>14</v>
      </c>
      <c r="B462" s="7" t="s">
        <v>624</v>
      </c>
      <c r="C462" s="9" t="s">
        <v>15</v>
      </c>
    </row>
    <row r="463" spans="1:17" x14ac:dyDescent="0.25">
      <c r="A463" s="10" t="s">
        <v>16</v>
      </c>
      <c r="B463" s="154">
        <v>2015</v>
      </c>
      <c r="C463" s="172">
        <v>2016</v>
      </c>
      <c r="D463" s="154">
        <v>2017</v>
      </c>
      <c r="E463" s="173">
        <v>2018</v>
      </c>
      <c r="F463" s="173">
        <v>2019</v>
      </c>
      <c r="G463" s="154">
        <v>2020</v>
      </c>
      <c r="H463" s="154">
        <v>2021</v>
      </c>
      <c r="I463" s="154">
        <v>2022</v>
      </c>
      <c r="J463" s="154">
        <v>2023</v>
      </c>
      <c r="K463" s="154">
        <v>2024</v>
      </c>
      <c r="L463" s="154">
        <v>2025</v>
      </c>
    </row>
    <row r="464" spans="1:17" x14ac:dyDescent="0.25">
      <c r="A464" s="10" t="s">
        <v>17</v>
      </c>
      <c r="B464" s="156">
        <v>3271.7</v>
      </c>
      <c r="C464" s="174">
        <v>3271.7</v>
      </c>
      <c r="D464" s="156">
        <v>3271.7</v>
      </c>
      <c r="E464" s="175">
        <v>3926</v>
      </c>
      <c r="F464" s="175">
        <v>3926</v>
      </c>
      <c r="G464" s="156">
        <v>3926</v>
      </c>
      <c r="H464" s="156">
        <v>4416.8999999999996</v>
      </c>
      <c r="I464" s="156">
        <v>4416.8999999999996</v>
      </c>
      <c r="J464" s="156">
        <v>4416.8999999999996</v>
      </c>
      <c r="K464" s="156">
        <v>5521.1</v>
      </c>
      <c r="L464" s="156">
        <v>5521.1</v>
      </c>
    </row>
    <row r="465" spans="1:12" x14ac:dyDescent="0.25">
      <c r="A465" s="10" t="s">
        <v>18</v>
      </c>
      <c r="B465" s="156">
        <v>3789.62</v>
      </c>
      <c r="C465" s="174">
        <v>3789.62</v>
      </c>
      <c r="D465" s="156">
        <v>3789.62</v>
      </c>
      <c r="E465" s="175">
        <v>4281.62</v>
      </c>
      <c r="F465" s="175">
        <v>4543.9250000000002</v>
      </c>
      <c r="G465" s="175">
        <v>4707.5</v>
      </c>
      <c r="H465" s="175">
        <f>H464+0.25*F464-200</f>
        <v>5198.3999999999996</v>
      </c>
      <c r="I465" s="175">
        <f>I464+0.25*G464-200</f>
        <v>5198.3999999999996</v>
      </c>
      <c r="J465" s="175">
        <f>J464+0.25*H464-200</f>
        <v>5321.125</v>
      </c>
      <c r="K465" s="175">
        <f>K464+0.25*I464-200</f>
        <v>6425.3250000000007</v>
      </c>
      <c r="L465" s="175">
        <f>L464+0.25*J464-200</f>
        <v>6425.3250000000007</v>
      </c>
    </row>
    <row r="466" spans="1:12" ht="26.4" x14ac:dyDescent="0.25">
      <c r="A466" s="10" t="s">
        <v>19</v>
      </c>
      <c r="B466" s="176" t="s">
        <v>86</v>
      </c>
      <c r="C466" s="176" t="s">
        <v>86</v>
      </c>
      <c r="D466" s="176" t="s">
        <v>86</v>
      </c>
      <c r="E466" s="177" t="s">
        <v>87</v>
      </c>
      <c r="F466" s="177" t="s">
        <v>391</v>
      </c>
      <c r="G466" s="177" t="s">
        <v>392</v>
      </c>
      <c r="H466" s="177" t="s">
        <v>442</v>
      </c>
      <c r="I466" s="177" t="s">
        <v>442</v>
      </c>
      <c r="J466" s="177" t="s">
        <v>777</v>
      </c>
      <c r="K466" s="177" t="s">
        <v>967</v>
      </c>
      <c r="L466" s="177" t="s">
        <v>967</v>
      </c>
    </row>
    <row r="467" spans="1:12" x14ac:dyDescent="0.25">
      <c r="A467" s="10" t="s">
        <v>20</v>
      </c>
      <c r="B467" s="156">
        <v>2857</v>
      </c>
      <c r="C467" s="174">
        <v>3134</v>
      </c>
      <c r="D467" s="156">
        <v>2385</v>
      </c>
      <c r="E467" s="156">
        <v>2926</v>
      </c>
      <c r="F467" s="175">
        <v>2770</v>
      </c>
      <c r="G467" s="156">
        <v>3549</v>
      </c>
      <c r="H467" s="156">
        <v>2896</v>
      </c>
      <c r="I467" s="156">
        <v>2806</v>
      </c>
      <c r="J467" s="156">
        <v>2782</v>
      </c>
      <c r="K467" s="156">
        <v>2446</v>
      </c>
      <c r="L467" s="156"/>
    </row>
    <row r="468" spans="1:12" x14ac:dyDescent="0.25">
      <c r="A468" s="10" t="s">
        <v>21</v>
      </c>
      <c r="B468" s="156">
        <v>932.62</v>
      </c>
      <c r="C468" s="174">
        <v>655.62</v>
      </c>
      <c r="D468" s="156">
        <v>1404.62</v>
      </c>
      <c r="E468" s="156">
        <v>1355.62</v>
      </c>
      <c r="F468" s="175">
        <v>1773.9250000000002</v>
      </c>
      <c r="G468" s="175">
        <f t="shared" ref="G468:L468" si="19">G465-G467</f>
        <v>1158.5</v>
      </c>
      <c r="H468" s="175">
        <f t="shared" si="19"/>
        <v>2302.3999999999996</v>
      </c>
      <c r="I468" s="175">
        <f t="shared" si="19"/>
        <v>2392.3999999999996</v>
      </c>
      <c r="J468" s="156">
        <f t="shared" si="19"/>
        <v>2539.125</v>
      </c>
      <c r="K468" s="156">
        <f t="shared" si="19"/>
        <v>3979.3250000000007</v>
      </c>
      <c r="L468" s="156">
        <f t="shared" si="19"/>
        <v>6425.3250000000007</v>
      </c>
    </row>
    <row r="469" spans="1:12" x14ac:dyDescent="0.25">
      <c r="A469" s="16" t="s">
        <v>22</v>
      </c>
      <c r="B469" s="159">
        <v>2017</v>
      </c>
      <c r="C469" s="178">
        <v>2018</v>
      </c>
      <c r="D469" s="159">
        <v>2019</v>
      </c>
      <c r="E469" s="179">
        <v>2020</v>
      </c>
      <c r="F469" s="179">
        <v>2021</v>
      </c>
      <c r="G469" s="159">
        <v>2022</v>
      </c>
      <c r="H469" s="159">
        <v>2023</v>
      </c>
      <c r="I469" s="159">
        <v>2024</v>
      </c>
      <c r="J469" s="159">
        <v>2025</v>
      </c>
      <c r="K469" s="159">
        <v>2026</v>
      </c>
      <c r="L469" s="180">
        <v>2027</v>
      </c>
    </row>
    <row r="470" spans="1:12" x14ac:dyDescent="0.25">
      <c r="A470" s="16" t="s">
        <v>23</v>
      </c>
      <c r="B470" s="46"/>
      <c r="C470" s="46"/>
      <c r="D470" s="46"/>
      <c r="E470" s="46"/>
      <c r="F470" s="46"/>
      <c r="G470" s="46"/>
      <c r="H470" s="46"/>
      <c r="I470" s="46"/>
      <c r="J470" s="47"/>
      <c r="K470" s="47"/>
      <c r="L470" s="62"/>
    </row>
    <row r="471" spans="1:12" x14ac:dyDescent="0.25">
      <c r="A471" s="16" t="s">
        <v>88</v>
      </c>
      <c r="B471" s="46"/>
      <c r="C471" s="46"/>
      <c r="D471" s="46"/>
      <c r="E471" s="46"/>
      <c r="F471" s="46"/>
      <c r="G471" s="46"/>
      <c r="H471" s="46"/>
      <c r="I471" s="46"/>
      <c r="J471" s="46"/>
      <c r="K471" s="19"/>
      <c r="L471" s="63"/>
    </row>
    <row r="472" spans="1:12" x14ac:dyDescent="0.25">
      <c r="A472" s="690" t="s">
        <v>393</v>
      </c>
      <c r="B472" s="691"/>
      <c r="C472" s="691"/>
      <c r="D472" s="691"/>
      <c r="E472" s="691"/>
      <c r="F472" s="691"/>
      <c r="G472" s="691"/>
      <c r="L472" s="64"/>
    </row>
    <row r="473" spans="1:12" x14ac:dyDescent="0.25">
      <c r="A473" s="39" t="s">
        <v>344</v>
      </c>
      <c r="L473" s="64"/>
    </row>
    <row r="474" spans="1:12" x14ac:dyDescent="0.25">
      <c r="A474" s="39" t="s">
        <v>394</v>
      </c>
      <c r="L474" s="64"/>
    </row>
    <row r="475" spans="1:12" x14ac:dyDescent="0.25">
      <c r="A475" s="39" t="s">
        <v>440</v>
      </c>
      <c r="L475" s="64"/>
    </row>
    <row r="476" spans="1:12" x14ac:dyDescent="0.25">
      <c r="A476" s="39" t="s">
        <v>441</v>
      </c>
      <c r="L476" s="64"/>
    </row>
    <row r="477" spans="1:12" x14ac:dyDescent="0.25">
      <c r="A477" s="39" t="s">
        <v>585</v>
      </c>
      <c r="L477" s="64"/>
    </row>
    <row r="478" spans="1:12" x14ac:dyDescent="0.25">
      <c r="A478" s="690" t="s">
        <v>776</v>
      </c>
      <c r="B478" s="691"/>
      <c r="C478" s="691"/>
      <c r="D478" s="691"/>
      <c r="E478" s="691"/>
      <c r="F478" s="691"/>
      <c r="G478" s="691"/>
      <c r="L478" s="64"/>
    </row>
    <row r="479" spans="1:12" x14ac:dyDescent="0.25">
      <c r="A479" s="161" t="s">
        <v>966</v>
      </c>
      <c r="B479" s="123"/>
      <c r="C479" s="123"/>
      <c r="D479" s="123"/>
      <c r="E479" s="123"/>
      <c r="F479" s="123"/>
      <c r="G479" s="123"/>
      <c r="L479" s="64"/>
    </row>
    <row r="480" spans="1:12" x14ac:dyDescent="0.25">
      <c r="A480" s="171" t="s">
        <v>1120</v>
      </c>
      <c r="B480" s="181"/>
      <c r="C480" s="181"/>
      <c r="D480" s="181"/>
      <c r="E480" s="181"/>
      <c r="F480" s="181"/>
      <c r="G480" s="181"/>
      <c r="H480" s="34"/>
      <c r="I480" s="34"/>
      <c r="J480" s="34"/>
      <c r="K480" s="34"/>
      <c r="L480" s="48"/>
    </row>
    <row r="482" spans="1:13" x14ac:dyDescent="0.25">
      <c r="A482" s="6" t="s">
        <v>14</v>
      </c>
      <c r="B482" s="7" t="s">
        <v>638</v>
      </c>
      <c r="C482" s="9" t="s">
        <v>15</v>
      </c>
    </row>
    <row r="483" spans="1:13" x14ac:dyDescent="0.25">
      <c r="A483" s="10" t="s">
        <v>16</v>
      </c>
      <c r="B483" s="154">
        <v>2015</v>
      </c>
      <c r="C483" s="172">
        <v>2016</v>
      </c>
      <c r="D483" s="154">
        <v>2017</v>
      </c>
      <c r="E483" s="173">
        <v>2018</v>
      </c>
      <c r="F483" s="173">
        <v>2019</v>
      </c>
      <c r="G483" s="154">
        <v>2020</v>
      </c>
      <c r="H483" s="154">
        <v>2021</v>
      </c>
      <c r="I483" s="154">
        <v>2022</v>
      </c>
      <c r="J483" s="154">
        <v>2023</v>
      </c>
      <c r="K483" s="154">
        <v>2024</v>
      </c>
      <c r="L483" s="154">
        <v>2025</v>
      </c>
      <c r="M483" s="154">
        <v>2026</v>
      </c>
    </row>
    <row r="484" spans="1:13" x14ac:dyDescent="0.25">
      <c r="A484" s="10" t="s">
        <v>17</v>
      </c>
      <c r="B484" s="156">
        <v>9400</v>
      </c>
      <c r="C484" s="174">
        <v>9400</v>
      </c>
      <c r="D484" s="156">
        <v>9400</v>
      </c>
      <c r="E484" s="175">
        <v>9400</v>
      </c>
      <c r="F484" s="175">
        <v>9400</v>
      </c>
      <c r="G484" s="156">
        <v>9400</v>
      </c>
      <c r="H484" s="156">
        <v>9400</v>
      </c>
      <c r="I484" s="156">
        <v>9400</v>
      </c>
      <c r="J484" s="156">
        <v>10340</v>
      </c>
      <c r="K484" s="156">
        <v>10340</v>
      </c>
      <c r="L484" s="156">
        <v>10340</v>
      </c>
      <c r="M484" s="156">
        <v>10340</v>
      </c>
    </row>
    <row r="485" spans="1:13" x14ac:dyDescent="0.25">
      <c r="A485" s="10" t="s">
        <v>18</v>
      </c>
      <c r="B485" s="156">
        <v>11506.75</v>
      </c>
      <c r="C485" s="174">
        <v>11750</v>
      </c>
      <c r="D485" s="156">
        <v>11750</v>
      </c>
      <c r="E485" s="175">
        <v>11750</v>
      </c>
      <c r="F485" s="175">
        <f>F484*1.25</f>
        <v>11750</v>
      </c>
      <c r="G485" s="156">
        <f>G484*1.25-200</f>
        <v>11550</v>
      </c>
      <c r="H485" s="156">
        <f>H484+F488</f>
        <v>11524</v>
      </c>
      <c r="I485" s="156">
        <f>I484+G488+85</f>
        <v>11184</v>
      </c>
      <c r="J485" s="156">
        <f>J484+H488</f>
        <v>11345</v>
      </c>
      <c r="K485" s="156">
        <f>K484+139.98</f>
        <v>10479.98</v>
      </c>
      <c r="L485" s="182">
        <f>L484+J488+2135-1425.02</f>
        <v>11499.98</v>
      </c>
      <c r="M485" s="156"/>
    </row>
    <row r="486" spans="1:13" ht="26.4" x14ac:dyDescent="0.25">
      <c r="A486" s="10" t="s">
        <v>19</v>
      </c>
      <c r="B486" s="176" t="s">
        <v>89</v>
      </c>
      <c r="C486" s="176" t="s">
        <v>90</v>
      </c>
      <c r="D486" s="176" t="s">
        <v>90</v>
      </c>
      <c r="E486" s="177" t="s">
        <v>90</v>
      </c>
      <c r="F486" s="177" t="s">
        <v>90</v>
      </c>
      <c r="G486" s="183" t="s">
        <v>346</v>
      </c>
      <c r="H486" s="183" t="s">
        <v>444</v>
      </c>
      <c r="I486" s="183" t="s">
        <v>712</v>
      </c>
      <c r="J486" s="183" t="s">
        <v>870</v>
      </c>
      <c r="K486" s="183" t="s">
        <v>923</v>
      </c>
      <c r="L486" s="184" t="s">
        <v>1142</v>
      </c>
      <c r="M486" s="183"/>
    </row>
    <row r="487" spans="1:13" x14ac:dyDescent="0.25">
      <c r="A487" s="10" t="s">
        <v>20</v>
      </c>
      <c r="B487" s="156">
        <v>7157</v>
      </c>
      <c r="C487" s="174">
        <v>8907</v>
      </c>
      <c r="D487" s="156">
        <v>9090</v>
      </c>
      <c r="E487" s="156">
        <v>9227</v>
      </c>
      <c r="F487" s="175">
        <v>9626</v>
      </c>
      <c r="G487" s="156">
        <v>9851</v>
      </c>
      <c r="H487" s="156">
        <v>10519</v>
      </c>
      <c r="I487" s="156">
        <v>8894</v>
      </c>
      <c r="J487" s="156">
        <v>10895</v>
      </c>
      <c r="K487" s="156">
        <v>11905</v>
      </c>
      <c r="L487" s="156"/>
      <c r="M487" s="156"/>
    </row>
    <row r="488" spans="1:13" x14ac:dyDescent="0.25">
      <c r="A488" s="10" t="s">
        <v>21</v>
      </c>
      <c r="B488" s="156">
        <v>4349.75</v>
      </c>
      <c r="C488" s="174">
        <v>2843</v>
      </c>
      <c r="D488" s="156">
        <v>2660</v>
      </c>
      <c r="E488" s="156">
        <v>2523</v>
      </c>
      <c r="F488" s="175">
        <f>F485-F487</f>
        <v>2124</v>
      </c>
      <c r="G488" s="156">
        <f>G485-G487</f>
        <v>1699</v>
      </c>
      <c r="H488" s="156">
        <v>1005</v>
      </c>
      <c r="I488" s="156">
        <f>I485-I487</f>
        <v>2290</v>
      </c>
      <c r="J488" s="156">
        <f>J485-J487</f>
        <v>450</v>
      </c>
      <c r="K488" s="182">
        <f t="shared" ref="K488" si="20">K485-K487</f>
        <v>-1425.0200000000004</v>
      </c>
      <c r="L488" s="156"/>
      <c r="M488" s="156"/>
    </row>
    <row r="489" spans="1:13" ht="52.8" x14ac:dyDescent="0.25">
      <c r="A489" s="16" t="s">
        <v>22</v>
      </c>
      <c r="B489" s="159">
        <v>2017</v>
      </c>
      <c r="C489" s="178">
        <v>2018</v>
      </c>
      <c r="D489" s="159">
        <v>2019</v>
      </c>
      <c r="E489" s="179">
        <v>2020</v>
      </c>
      <c r="F489" s="179">
        <v>2021</v>
      </c>
      <c r="G489" s="179">
        <v>2022</v>
      </c>
      <c r="H489" s="179">
        <v>2023</v>
      </c>
      <c r="I489" s="179">
        <v>2024</v>
      </c>
      <c r="J489" s="179">
        <v>2025</v>
      </c>
      <c r="K489" s="179">
        <v>2026</v>
      </c>
      <c r="L489" s="185" t="s">
        <v>1155</v>
      </c>
      <c r="M489" s="179">
        <v>2028</v>
      </c>
    </row>
    <row r="490" spans="1:13" x14ac:dyDescent="0.25">
      <c r="A490" s="29" t="s">
        <v>23</v>
      </c>
      <c r="B490" s="688"/>
      <c r="C490" s="688"/>
      <c r="D490" s="688"/>
      <c r="E490" s="688"/>
      <c r="F490" s="688"/>
      <c r="G490" s="688"/>
      <c r="H490" s="688"/>
      <c r="I490" s="688"/>
      <c r="J490" s="688"/>
      <c r="K490" s="688"/>
      <c r="L490" s="688"/>
      <c r="M490" s="689"/>
    </row>
    <row r="491" spans="1:13" x14ac:dyDescent="0.25">
      <c r="A491" s="690" t="s">
        <v>91</v>
      </c>
      <c r="B491" s="691"/>
      <c r="C491" s="691"/>
      <c r="D491" s="691"/>
      <c r="E491" s="691"/>
      <c r="F491" s="691"/>
      <c r="M491" s="64"/>
    </row>
    <row r="492" spans="1:13" x14ac:dyDescent="0.25">
      <c r="A492" s="161" t="s">
        <v>345</v>
      </c>
      <c r="B492" s="32"/>
      <c r="C492" s="32"/>
      <c r="D492" s="32"/>
      <c r="E492" s="32"/>
      <c r="F492" s="32"/>
      <c r="M492" s="64"/>
    </row>
    <row r="493" spans="1:13" x14ac:dyDescent="0.25">
      <c r="A493" s="161" t="s">
        <v>443</v>
      </c>
      <c r="B493" s="32"/>
      <c r="C493" s="32"/>
      <c r="D493" s="32"/>
      <c r="E493" s="32"/>
      <c r="F493" s="32"/>
      <c r="M493" s="64"/>
    </row>
    <row r="494" spans="1:13" x14ac:dyDescent="0.25">
      <c r="A494" s="161" t="s">
        <v>713</v>
      </c>
      <c r="B494" s="32"/>
      <c r="C494" s="32"/>
      <c r="D494" s="32"/>
      <c r="E494" s="32"/>
      <c r="F494" s="32"/>
      <c r="M494" s="64"/>
    </row>
    <row r="495" spans="1:13" x14ac:dyDescent="0.25">
      <c r="A495" s="161" t="s">
        <v>871</v>
      </c>
      <c r="B495" s="32"/>
      <c r="C495" s="32"/>
      <c r="D495" s="32"/>
      <c r="E495" s="32"/>
      <c r="F495" s="32"/>
      <c r="M495" s="64"/>
    </row>
    <row r="496" spans="1:13" x14ac:dyDescent="0.25">
      <c r="A496" s="161" t="s">
        <v>993</v>
      </c>
      <c r="B496" s="32"/>
      <c r="C496" s="32"/>
      <c r="D496" s="32"/>
      <c r="E496" s="32"/>
      <c r="F496" s="32"/>
      <c r="M496" s="64"/>
    </row>
    <row r="497" spans="1:13" x14ac:dyDescent="0.25">
      <c r="A497" s="162" t="s">
        <v>1143</v>
      </c>
      <c r="B497" s="22"/>
      <c r="C497" s="22"/>
      <c r="D497" s="22"/>
      <c r="E497" s="22"/>
      <c r="F497" s="22"/>
      <c r="G497" s="34"/>
      <c r="H497" s="34"/>
      <c r="I497" s="34"/>
      <c r="J497" s="34"/>
      <c r="K497" s="34"/>
      <c r="L497" s="34"/>
      <c r="M497" s="48"/>
    </row>
    <row r="499" spans="1:13" x14ac:dyDescent="0.25">
      <c r="A499" s="6" t="s">
        <v>14</v>
      </c>
      <c r="B499" s="7" t="s">
        <v>623</v>
      </c>
      <c r="C499" s="9" t="s">
        <v>15</v>
      </c>
    </row>
    <row r="500" spans="1:13" x14ac:dyDescent="0.25">
      <c r="A500" s="10" t="s">
        <v>16</v>
      </c>
      <c r="B500" s="154">
        <v>2015</v>
      </c>
      <c r="C500" s="172">
        <v>2016</v>
      </c>
      <c r="D500" s="154">
        <v>2017</v>
      </c>
      <c r="E500" s="173">
        <v>2018</v>
      </c>
      <c r="F500" s="173">
        <v>2019</v>
      </c>
      <c r="G500" s="154">
        <v>2020</v>
      </c>
      <c r="H500" s="154">
        <v>2021</v>
      </c>
      <c r="I500" s="154">
        <v>2022</v>
      </c>
      <c r="J500" s="154">
        <v>2023</v>
      </c>
      <c r="K500" s="154">
        <v>2024</v>
      </c>
      <c r="L500" s="154">
        <v>2025</v>
      </c>
    </row>
    <row r="501" spans="1:13" x14ac:dyDescent="0.25">
      <c r="A501" s="10" t="s">
        <v>17</v>
      </c>
      <c r="B501" s="156">
        <v>270</v>
      </c>
      <c r="C501" s="174">
        <v>270</v>
      </c>
      <c r="D501" s="156">
        <v>270</v>
      </c>
      <c r="E501" s="175">
        <v>270</v>
      </c>
      <c r="F501" s="175">
        <v>270</v>
      </c>
      <c r="G501" s="156">
        <v>270</v>
      </c>
      <c r="H501" s="156">
        <v>270</v>
      </c>
      <c r="I501" s="156">
        <v>270</v>
      </c>
      <c r="J501" s="156">
        <v>270</v>
      </c>
      <c r="K501" s="156">
        <v>270</v>
      </c>
      <c r="L501" s="156">
        <v>270</v>
      </c>
    </row>
    <row r="502" spans="1:13" x14ac:dyDescent="0.25">
      <c r="A502" s="10" t="s">
        <v>18</v>
      </c>
      <c r="B502" s="156">
        <v>370</v>
      </c>
      <c r="C502" s="174">
        <v>370</v>
      </c>
      <c r="D502" s="156">
        <v>370</v>
      </c>
      <c r="E502" s="175">
        <v>343</v>
      </c>
      <c r="F502" s="175">
        <v>343</v>
      </c>
      <c r="G502" s="156">
        <f>G501*1.4-35-20</f>
        <v>323</v>
      </c>
      <c r="H502" s="156">
        <f>H501*1.4-35-20</f>
        <v>323</v>
      </c>
      <c r="I502" s="156">
        <f>I501*1.4-35-20</f>
        <v>323</v>
      </c>
      <c r="J502" s="156">
        <v>323</v>
      </c>
      <c r="K502" s="156">
        <f>K501+0.4*I501-35-20</f>
        <v>323</v>
      </c>
      <c r="L502" s="156">
        <v>378</v>
      </c>
    </row>
    <row r="503" spans="1:13" x14ac:dyDescent="0.25">
      <c r="A503" s="10" t="s">
        <v>19</v>
      </c>
      <c r="B503" s="176" t="s">
        <v>92</v>
      </c>
      <c r="C503" s="176" t="s">
        <v>92</v>
      </c>
      <c r="D503" s="176" t="s">
        <v>92</v>
      </c>
      <c r="E503" s="177" t="s">
        <v>93</v>
      </c>
      <c r="F503" s="177" t="s">
        <v>93</v>
      </c>
      <c r="G503" s="183" t="s">
        <v>351</v>
      </c>
      <c r="H503" s="183" t="s">
        <v>351</v>
      </c>
      <c r="I503" s="183" t="s">
        <v>351</v>
      </c>
      <c r="J503" s="183" t="s">
        <v>351</v>
      </c>
      <c r="K503" s="183" t="s">
        <v>351</v>
      </c>
      <c r="L503" s="156" t="s">
        <v>1153</v>
      </c>
    </row>
    <row r="504" spans="1:13" x14ac:dyDescent="0.25">
      <c r="A504" s="10" t="s">
        <v>20</v>
      </c>
      <c r="B504" s="156">
        <v>115</v>
      </c>
      <c r="C504" s="156">
        <v>151.72</v>
      </c>
      <c r="D504" s="156">
        <v>95.51</v>
      </c>
      <c r="E504" s="156">
        <v>169.22</v>
      </c>
      <c r="F504" s="175">
        <v>122.25</v>
      </c>
      <c r="G504" s="156">
        <v>157.75</v>
      </c>
      <c r="H504" s="156">
        <v>68</v>
      </c>
      <c r="I504" s="156">
        <v>150</v>
      </c>
      <c r="J504" s="156">
        <v>183</v>
      </c>
      <c r="K504" s="156">
        <v>199</v>
      </c>
      <c r="L504" s="156"/>
    </row>
    <row r="505" spans="1:13" x14ac:dyDescent="0.25">
      <c r="A505" s="10" t="s">
        <v>21</v>
      </c>
      <c r="B505" s="156">
        <v>255</v>
      </c>
      <c r="C505" s="156">
        <f>C502-C504</f>
        <v>218.28</v>
      </c>
      <c r="D505" s="156">
        <f>D502-D504</f>
        <v>274.49</v>
      </c>
      <c r="E505" s="156">
        <v>173.78</v>
      </c>
      <c r="F505" s="175">
        <f t="shared" ref="F505:K505" si="21">F502-F504</f>
        <v>220.75</v>
      </c>
      <c r="G505" s="156">
        <f t="shared" si="21"/>
        <v>165.25</v>
      </c>
      <c r="H505" s="156">
        <f t="shared" si="21"/>
        <v>255</v>
      </c>
      <c r="I505" s="156">
        <f t="shared" si="21"/>
        <v>173</v>
      </c>
      <c r="J505" s="156">
        <f t="shared" si="21"/>
        <v>140</v>
      </c>
      <c r="K505" s="156">
        <f t="shared" si="21"/>
        <v>124</v>
      </c>
      <c r="L505" s="156"/>
    </row>
    <row r="506" spans="1:13" x14ac:dyDescent="0.25">
      <c r="A506" s="16" t="s">
        <v>22</v>
      </c>
      <c r="B506" s="159">
        <v>2017</v>
      </c>
      <c r="C506" s="178">
        <v>2018</v>
      </c>
      <c r="D506" s="159">
        <v>2019</v>
      </c>
      <c r="E506" s="179">
        <v>2020</v>
      </c>
      <c r="F506" s="179">
        <v>2021</v>
      </c>
      <c r="G506" s="179">
        <v>2022</v>
      </c>
      <c r="H506" s="179">
        <v>2023</v>
      </c>
      <c r="I506" s="179">
        <v>2024</v>
      </c>
      <c r="J506" s="179">
        <v>2025</v>
      </c>
      <c r="K506" s="179">
        <v>2026</v>
      </c>
      <c r="L506" s="179">
        <v>2027</v>
      </c>
    </row>
    <row r="507" spans="1:13" x14ac:dyDescent="0.25">
      <c r="A507" s="16" t="s">
        <v>23</v>
      </c>
      <c r="B507" s="16"/>
      <c r="C507" s="46"/>
      <c r="D507" s="46"/>
      <c r="E507" s="46"/>
      <c r="F507" s="46"/>
      <c r="G507" s="46"/>
      <c r="H507" s="46"/>
      <c r="I507" s="46"/>
      <c r="J507" s="47"/>
      <c r="K507" s="47"/>
      <c r="L507" s="187"/>
    </row>
    <row r="508" spans="1:13" x14ac:dyDescent="0.25">
      <c r="A508" s="733" t="s">
        <v>94</v>
      </c>
      <c r="B508" s="734"/>
      <c r="C508" s="734"/>
      <c r="D508" s="734"/>
      <c r="E508" s="734"/>
      <c r="F508" s="734"/>
      <c r="G508" s="46"/>
      <c r="H508" s="46"/>
      <c r="I508" s="46"/>
      <c r="J508" s="46"/>
      <c r="K508" s="19"/>
      <c r="L508" s="63"/>
    </row>
    <row r="509" spans="1:13" x14ac:dyDescent="0.25">
      <c r="A509" s="161" t="s">
        <v>348</v>
      </c>
      <c r="B509" s="32"/>
      <c r="C509" s="32"/>
      <c r="D509" s="32"/>
      <c r="E509" s="32"/>
      <c r="F509" s="32"/>
      <c r="L509" s="64"/>
    </row>
    <row r="510" spans="1:13" x14ac:dyDescent="0.25">
      <c r="A510" s="161" t="s">
        <v>349</v>
      </c>
      <c r="B510" s="32"/>
      <c r="C510" s="32"/>
      <c r="D510" s="32"/>
      <c r="E510" s="32"/>
      <c r="F510" s="32"/>
      <c r="L510" s="64"/>
    </row>
    <row r="511" spans="1:13" ht="13.2" customHeight="1" x14ac:dyDescent="0.25">
      <c r="A511" s="39" t="s">
        <v>350</v>
      </c>
      <c r="L511" s="64"/>
    </row>
    <row r="512" spans="1:13" x14ac:dyDescent="0.25">
      <c r="A512" s="161" t="s">
        <v>445</v>
      </c>
      <c r="B512" s="32"/>
      <c r="C512" s="32"/>
      <c r="D512" s="32"/>
      <c r="E512" s="32"/>
      <c r="F512" s="32"/>
      <c r="L512" s="64"/>
    </row>
    <row r="513" spans="1:12" x14ac:dyDescent="0.25">
      <c r="A513" s="161" t="s">
        <v>446</v>
      </c>
      <c r="B513" s="32"/>
      <c r="C513" s="32"/>
      <c r="D513" s="32"/>
      <c r="E513" s="32"/>
      <c r="F513" s="32"/>
      <c r="L513" s="64"/>
    </row>
    <row r="514" spans="1:12" x14ac:dyDescent="0.25">
      <c r="A514" s="39" t="s">
        <v>655</v>
      </c>
      <c r="B514" s="32"/>
      <c r="C514" s="32"/>
      <c r="D514" s="32"/>
      <c r="E514" s="32"/>
      <c r="F514" s="32"/>
      <c r="L514" s="64"/>
    </row>
    <row r="515" spans="1:12" x14ac:dyDescent="0.25">
      <c r="A515" s="39" t="s">
        <v>778</v>
      </c>
      <c r="L515" s="64"/>
    </row>
    <row r="516" spans="1:12" x14ac:dyDescent="0.25">
      <c r="A516" s="39" t="s">
        <v>968</v>
      </c>
      <c r="L516" s="64"/>
    </row>
    <row r="517" spans="1:12" x14ac:dyDescent="0.25">
      <c r="A517" s="42" t="s">
        <v>1154</v>
      </c>
      <c r="B517" s="34"/>
      <c r="C517" s="34"/>
      <c r="D517" s="34"/>
      <c r="E517" s="34"/>
      <c r="F517" s="34"/>
      <c r="G517" s="34"/>
      <c r="H517" s="34"/>
      <c r="I517" s="34"/>
      <c r="J517" s="34"/>
      <c r="K517" s="34"/>
      <c r="L517" s="48"/>
    </row>
    <row r="519" spans="1:12" x14ac:dyDescent="0.25">
      <c r="A519" s="6" t="s">
        <v>14</v>
      </c>
      <c r="B519" s="7" t="s">
        <v>641</v>
      </c>
      <c r="C519" s="9" t="s">
        <v>15</v>
      </c>
    </row>
    <row r="520" spans="1:12" x14ac:dyDescent="0.25">
      <c r="A520" s="10" t="s">
        <v>16</v>
      </c>
      <c r="B520" s="154">
        <v>2015</v>
      </c>
      <c r="C520" s="172">
        <v>2016</v>
      </c>
      <c r="D520" s="154">
        <v>2017</v>
      </c>
      <c r="E520" s="173">
        <v>2018</v>
      </c>
      <c r="F520" s="173">
        <v>2019</v>
      </c>
      <c r="G520" s="154">
        <v>2020</v>
      </c>
      <c r="H520" s="154">
        <v>2021</v>
      </c>
      <c r="I520" s="154">
        <v>2022</v>
      </c>
      <c r="J520" s="154">
        <v>2023</v>
      </c>
      <c r="K520" s="154">
        <v>2024</v>
      </c>
      <c r="L520" s="90">
        <v>2025</v>
      </c>
    </row>
    <row r="521" spans="1:12" x14ac:dyDescent="0.25">
      <c r="A521" s="10" t="s">
        <v>17</v>
      </c>
      <c r="B521" s="156">
        <v>459</v>
      </c>
      <c r="C521" s="174">
        <v>459</v>
      </c>
      <c r="D521" s="156">
        <v>459</v>
      </c>
      <c r="E521" s="175">
        <v>459</v>
      </c>
      <c r="F521" s="175">
        <v>459</v>
      </c>
      <c r="G521" s="156">
        <v>459</v>
      </c>
      <c r="H521" s="156">
        <v>459</v>
      </c>
      <c r="I521" s="156">
        <v>459</v>
      </c>
      <c r="J521" s="156">
        <v>459</v>
      </c>
      <c r="K521" s="156">
        <v>459</v>
      </c>
      <c r="L521" s="90">
        <v>459</v>
      </c>
    </row>
    <row r="522" spans="1:12" x14ac:dyDescent="0.25">
      <c r="A522" s="10" t="s">
        <v>18</v>
      </c>
      <c r="B522" s="156">
        <v>587.9</v>
      </c>
      <c r="C522" s="174">
        <v>535.9</v>
      </c>
      <c r="D522" s="156">
        <v>516.9</v>
      </c>
      <c r="E522" s="175">
        <v>559.9</v>
      </c>
      <c r="F522" s="175">
        <v>546.79999999999995</v>
      </c>
      <c r="G522" s="156">
        <v>550.79999999999995</v>
      </c>
      <c r="H522" s="156">
        <v>550.79999999999995</v>
      </c>
      <c r="I522" s="156">
        <f>I521+H525</f>
        <v>477.79999999999995</v>
      </c>
      <c r="J522" s="156">
        <f>J521+0.1*I521</f>
        <v>504.9</v>
      </c>
      <c r="K522" s="156">
        <f>K521+0.1*J521</f>
        <v>504.9</v>
      </c>
      <c r="L522" s="90">
        <v>504.9</v>
      </c>
    </row>
    <row r="523" spans="1:12" x14ac:dyDescent="0.25">
      <c r="A523" s="10" t="s">
        <v>19</v>
      </c>
      <c r="B523" s="176" t="s">
        <v>95</v>
      </c>
      <c r="C523" s="176" t="s">
        <v>96</v>
      </c>
      <c r="D523" s="176" t="s">
        <v>97</v>
      </c>
      <c r="E523" s="177" t="s">
        <v>376</v>
      </c>
      <c r="F523" s="177" t="s">
        <v>377</v>
      </c>
      <c r="G523" s="11" t="s">
        <v>352</v>
      </c>
      <c r="H523" s="11" t="s">
        <v>352</v>
      </c>
      <c r="I523" s="11" t="str">
        <f>"=459+18.8"</f>
        <v>=459+18.8</v>
      </c>
      <c r="J523" s="11" t="s">
        <v>779</v>
      </c>
      <c r="K523" s="11" t="s">
        <v>779</v>
      </c>
      <c r="L523" s="90" t="s">
        <v>779</v>
      </c>
    </row>
    <row r="524" spans="1:12" x14ac:dyDescent="0.25">
      <c r="A524" s="10" t="s">
        <v>20</v>
      </c>
      <c r="B524" s="156">
        <v>511</v>
      </c>
      <c r="C524" s="174">
        <v>478</v>
      </c>
      <c r="D524" s="156">
        <v>416</v>
      </c>
      <c r="E524" s="156">
        <v>472.1</v>
      </c>
      <c r="F524" s="175">
        <v>395.31</v>
      </c>
      <c r="G524" s="156">
        <v>353.05</v>
      </c>
      <c r="H524" s="156">
        <v>532</v>
      </c>
      <c r="I524" s="156">
        <v>420</v>
      </c>
      <c r="J524" s="156">
        <v>379</v>
      </c>
      <c r="K524" s="156">
        <v>459</v>
      </c>
      <c r="L524" s="90"/>
    </row>
    <row r="525" spans="1:12" x14ac:dyDescent="0.25">
      <c r="A525" s="10" t="s">
        <v>21</v>
      </c>
      <c r="B525" s="156">
        <v>76.900000000000006</v>
      </c>
      <c r="C525" s="174">
        <v>57.9</v>
      </c>
      <c r="D525" s="156">
        <v>100.9</v>
      </c>
      <c r="E525" s="156">
        <v>87.799999999999955</v>
      </c>
      <c r="F525" s="175">
        <v>151.48999999999995</v>
      </c>
      <c r="G525" s="156">
        <f>G522-G524</f>
        <v>197.74999999999994</v>
      </c>
      <c r="H525" s="156">
        <f>H522-H524</f>
        <v>18.799999999999955</v>
      </c>
      <c r="I525" s="156">
        <f>I522-I524</f>
        <v>57.799999999999955</v>
      </c>
      <c r="J525" s="156">
        <f>J522-J524</f>
        <v>125.89999999999998</v>
      </c>
      <c r="K525" s="156">
        <f>K522-K524</f>
        <v>45.899999999999977</v>
      </c>
      <c r="L525" s="90"/>
    </row>
    <row r="526" spans="1:12" x14ac:dyDescent="0.25">
      <c r="A526" s="16" t="s">
        <v>22</v>
      </c>
      <c r="B526" s="159">
        <v>2016</v>
      </c>
      <c r="C526" s="178">
        <v>2017</v>
      </c>
      <c r="D526" s="159">
        <v>2018</v>
      </c>
      <c r="E526" s="179">
        <v>2019</v>
      </c>
      <c r="F526" s="179">
        <v>2020</v>
      </c>
      <c r="G526" s="179">
        <v>2021</v>
      </c>
      <c r="H526" s="179">
        <v>2022</v>
      </c>
      <c r="I526" s="179">
        <v>2023</v>
      </c>
      <c r="J526" s="179">
        <v>2024</v>
      </c>
      <c r="K526" s="179">
        <v>2025</v>
      </c>
      <c r="L526" s="90">
        <v>2026</v>
      </c>
    </row>
    <row r="527" spans="1:12" x14ac:dyDescent="0.25">
      <c r="A527" s="16" t="s">
        <v>23</v>
      </c>
      <c r="B527" s="29"/>
      <c r="C527" s="30"/>
      <c r="D527" s="30"/>
      <c r="E527" s="30"/>
      <c r="F527" s="30"/>
      <c r="G527" s="30"/>
      <c r="H527" s="30"/>
      <c r="I527" s="30"/>
      <c r="J527" s="30"/>
      <c r="K527" s="30"/>
      <c r="L527" s="88"/>
    </row>
    <row r="528" spans="1:12" ht="13.2" customHeight="1" x14ac:dyDescent="0.25">
      <c r="A528" s="18" t="s">
        <v>98</v>
      </c>
      <c r="B528" s="19"/>
      <c r="C528" s="19"/>
      <c r="D528" s="19"/>
      <c r="E528" s="19"/>
      <c r="F528" s="19"/>
      <c r="G528" s="19"/>
      <c r="H528" s="19"/>
      <c r="I528" s="19"/>
      <c r="J528" s="19"/>
      <c r="K528" s="19"/>
      <c r="L528" s="63"/>
    </row>
    <row r="529" spans="1:12" ht="13.2" customHeight="1" x14ac:dyDescent="0.25">
      <c r="A529" s="690" t="s">
        <v>378</v>
      </c>
      <c r="B529" s="691"/>
      <c r="C529" s="691"/>
      <c r="D529" s="691"/>
      <c r="E529" s="691"/>
      <c r="F529" s="691"/>
      <c r="L529" s="64"/>
    </row>
    <row r="530" spans="1:12" x14ac:dyDescent="0.25">
      <c r="A530" s="161" t="s">
        <v>353</v>
      </c>
      <c r="B530" s="32"/>
      <c r="C530" s="32"/>
      <c r="D530" s="32"/>
      <c r="E530" s="32"/>
      <c r="F530" s="32"/>
      <c r="L530" s="64"/>
    </row>
    <row r="531" spans="1:12" x14ac:dyDescent="0.25">
      <c r="A531" s="161" t="s">
        <v>354</v>
      </c>
      <c r="B531" s="32"/>
      <c r="C531" s="32"/>
      <c r="D531" s="32"/>
      <c r="E531" s="32"/>
      <c r="F531" s="32"/>
      <c r="L531" s="64"/>
    </row>
    <row r="532" spans="1:12" ht="13.2" customHeight="1" x14ac:dyDescent="0.25">
      <c r="A532" s="161" t="s">
        <v>447</v>
      </c>
      <c r="B532" s="32"/>
      <c r="C532" s="32"/>
      <c r="D532" s="32"/>
      <c r="E532" s="32"/>
      <c r="F532" s="32"/>
      <c r="L532" s="64"/>
    </row>
    <row r="533" spans="1:12" ht="13.2" customHeight="1" x14ac:dyDescent="0.25">
      <c r="A533" s="161" t="s">
        <v>448</v>
      </c>
      <c r="B533" s="32"/>
      <c r="C533" s="32"/>
      <c r="D533" s="32"/>
      <c r="E533" s="32"/>
      <c r="F533" s="32"/>
      <c r="L533" s="64"/>
    </row>
    <row r="534" spans="1:12" ht="13.2" customHeight="1" x14ac:dyDescent="0.25">
      <c r="A534" s="161" t="s">
        <v>656</v>
      </c>
      <c r="B534" s="32"/>
      <c r="C534" s="32"/>
      <c r="D534" s="32"/>
      <c r="E534" s="32"/>
      <c r="F534" s="32"/>
      <c r="L534" s="64"/>
    </row>
    <row r="535" spans="1:12" ht="12.75" customHeight="1" x14ac:dyDescent="0.25">
      <c r="A535" s="161" t="s">
        <v>780</v>
      </c>
      <c r="B535" s="32"/>
      <c r="C535" s="32"/>
      <c r="D535" s="32"/>
      <c r="E535" s="32"/>
      <c r="F535" s="32"/>
      <c r="L535" s="64"/>
    </row>
    <row r="536" spans="1:12" ht="12.75" customHeight="1" x14ac:dyDescent="0.25">
      <c r="A536" s="161" t="s">
        <v>1156</v>
      </c>
      <c r="B536" s="32"/>
      <c r="C536" s="32"/>
      <c r="D536" s="32"/>
      <c r="E536" s="32"/>
      <c r="F536" s="32"/>
      <c r="L536" s="64"/>
    </row>
    <row r="537" spans="1:12" ht="12.75" customHeight="1" x14ac:dyDescent="0.25">
      <c r="A537" s="162" t="s">
        <v>1157</v>
      </c>
      <c r="B537" s="22"/>
      <c r="C537" s="22"/>
      <c r="D537" s="22"/>
      <c r="E537" s="22"/>
      <c r="F537" s="22"/>
      <c r="G537" s="34"/>
      <c r="H537" s="34"/>
      <c r="I537" s="34"/>
      <c r="J537" s="34"/>
      <c r="K537" s="34"/>
      <c r="L537" s="48"/>
    </row>
    <row r="539" spans="1:12" x14ac:dyDescent="0.25">
      <c r="A539" s="6" t="s">
        <v>14</v>
      </c>
      <c r="B539" s="7" t="s">
        <v>642</v>
      </c>
      <c r="C539" s="9" t="s">
        <v>15</v>
      </c>
    </row>
    <row r="540" spans="1:12" x14ac:dyDescent="0.25">
      <c r="A540" s="10" t="s">
        <v>16</v>
      </c>
      <c r="B540" s="154">
        <v>2015</v>
      </c>
      <c r="C540" s="172">
        <v>2016</v>
      </c>
      <c r="D540" s="154">
        <v>2017</v>
      </c>
      <c r="E540" s="173">
        <v>2018</v>
      </c>
      <c r="F540" s="173">
        <v>2019</v>
      </c>
      <c r="G540" s="154">
        <v>2020</v>
      </c>
      <c r="H540" s="154">
        <v>2021</v>
      </c>
      <c r="I540" s="154">
        <v>2022</v>
      </c>
      <c r="J540" s="154">
        <v>2023</v>
      </c>
      <c r="K540" s="154">
        <v>2024</v>
      </c>
      <c r="L540" s="154">
        <v>2025</v>
      </c>
    </row>
    <row r="541" spans="1:12" x14ac:dyDescent="0.25">
      <c r="A541" s="10" t="s">
        <v>17</v>
      </c>
      <c r="B541" s="12">
        <v>48.76</v>
      </c>
      <c r="C541" s="188">
        <v>58.28</v>
      </c>
      <c r="D541" s="12">
        <v>69.97</v>
      </c>
      <c r="E541" s="189">
        <v>79</v>
      </c>
      <c r="F541" s="189">
        <v>84</v>
      </c>
      <c r="G541" s="12">
        <v>90</v>
      </c>
      <c r="H541" s="12">
        <v>90</v>
      </c>
      <c r="I541" s="12">
        <v>90</v>
      </c>
      <c r="J541" s="12">
        <v>101</v>
      </c>
      <c r="K541" s="182">
        <v>101</v>
      </c>
      <c r="L541" s="182">
        <v>101</v>
      </c>
    </row>
    <row r="542" spans="1:12" x14ac:dyDescent="0.25">
      <c r="A542" s="10" t="s">
        <v>18</v>
      </c>
      <c r="B542" s="12">
        <v>38.76</v>
      </c>
      <c r="C542" s="188">
        <v>48.28</v>
      </c>
      <c r="D542" s="12">
        <v>59.97</v>
      </c>
      <c r="E542" s="189">
        <v>29</v>
      </c>
      <c r="F542" s="189">
        <v>34</v>
      </c>
      <c r="G542" s="12">
        <f>G541-50</f>
        <v>40</v>
      </c>
      <c r="H542" s="12">
        <f>H541-50</f>
        <v>40</v>
      </c>
      <c r="I542" s="12">
        <f>I541-50</f>
        <v>40</v>
      </c>
      <c r="J542" s="12">
        <v>51</v>
      </c>
      <c r="K542" s="182">
        <v>51</v>
      </c>
      <c r="L542" s="182">
        <v>51</v>
      </c>
    </row>
    <row r="543" spans="1:12" x14ac:dyDescent="0.25">
      <c r="A543" s="10" t="s">
        <v>19</v>
      </c>
      <c r="B543" s="190" t="s">
        <v>99</v>
      </c>
      <c r="C543" s="190" t="s">
        <v>100</v>
      </c>
      <c r="D543" s="190" t="s">
        <v>101</v>
      </c>
      <c r="E543" s="191" t="s">
        <v>102</v>
      </c>
      <c r="F543" s="191" t="s">
        <v>103</v>
      </c>
      <c r="G543" s="183" t="s">
        <v>355</v>
      </c>
      <c r="H543" s="183" t="s">
        <v>355</v>
      </c>
      <c r="I543" s="183" t="s">
        <v>355</v>
      </c>
      <c r="J543" s="183" t="s">
        <v>781</v>
      </c>
      <c r="K543" s="192" t="s">
        <v>1158</v>
      </c>
      <c r="L543" s="193" t="s">
        <v>1158</v>
      </c>
    </row>
    <row r="544" spans="1:12" x14ac:dyDescent="0.25">
      <c r="A544" s="10" t="s">
        <v>20</v>
      </c>
      <c r="B544" s="12">
        <v>0</v>
      </c>
      <c r="C544" s="188">
        <v>0</v>
      </c>
      <c r="D544" s="12">
        <v>0</v>
      </c>
      <c r="E544" s="12">
        <v>0</v>
      </c>
      <c r="F544" s="189">
        <v>0</v>
      </c>
      <c r="G544" s="12">
        <v>0</v>
      </c>
      <c r="H544" s="12">
        <v>0</v>
      </c>
      <c r="I544" s="12">
        <v>0</v>
      </c>
      <c r="J544" s="12">
        <v>0</v>
      </c>
      <c r="K544" s="182">
        <v>0</v>
      </c>
      <c r="L544" s="156"/>
    </row>
    <row r="545" spans="1:12" x14ac:dyDescent="0.25">
      <c r="A545" s="10" t="s">
        <v>21</v>
      </c>
      <c r="B545" s="12">
        <v>38.76</v>
      </c>
      <c r="C545" s="188">
        <v>48.28</v>
      </c>
      <c r="D545" s="12">
        <v>59.97</v>
      </c>
      <c r="E545" s="12">
        <v>29</v>
      </c>
      <c r="F545" s="189">
        <f>F542-F544</f>
        <v>34</v>
      </c>
      <c r="G545" s="12">
        <f>G542-G544</f>
        <v>40</v>
      </c>
      <c r="H545" s="12">
        <f>H542-H544</f>
        <v>40</v>
      </c>
      <c r="I545" s="12">
        <f>I542-I544</f>
        <v>40</v>
      </c>
      <c r="J545" s="12">
        <f t="shared" ref="J545" si="22">J542-J544</f>
        <v>51</v>
      </c>
      <c r="K545" s="12">
        <f>K542-K544</f>
        <v>51</v>
      </c>
      <c r="L545" s="156"/>
    </row>
    <row r="546" spans="1:12" x14ac:dyDescent="0.25">
      <c r="A546" s="16" t="s">
        <v>22</v>
      </c>
      <c r="B546" s="159">
        <v>2016</v>
      </c>
      <c r="C546" s="159">
        <v>2017</v>
      </c>
      <c r="D546" s="159">
        <v>2018</v>
      </c>
      <c r="E546" s="159">
        <v>2019</v>
      </c>
      <c r="F546" s="159">
        <v>2020</v>
      </c>
      <c r="G546" s="159">
        <v>2021</v>
      </c>
      <c r="H546" s="159">
        <v>2022</v>
      </c>
      <c r="I546" s="159">
        <v>2023</v>
      </c>
      <c r="J546" s="159">
        <v>2024</v>
      </c>
      <c r="K546" s="159">
        <v>2025</v>
      </c>
      <c r="L546" s="194">
        <v>2026</v>
      </c>
    </row>
    <row r="547" spans="1:12" x14ac:dyDescent="0.25">
      <c r="A547" s="16" t="s">
        <v>23</v>
      </c>
      <c r="B547" s="46"/>
      <c r="C547" s="46"/>
      <c r="D547" s="46"/>
      <c r="E547" s="46"/>
      <c r="F547" s="46"/>
      <c r="G547" s="46"/>
      <c r="H547" s="46"/>
      <c r="I547" s="46"/>
      <c r="J547" s="47"/>
      <c r="K547" s="47"/>
      <c r="L547" s="90"/>
    </row>
    <row r="548" spans="1:12" x14ac:dyDescent="0.25">
      <c r="A548" s="18" t="s">
        <v>104</v>
      </c>
      <c r="B548" s="19"/>
      <c r="C548" s="19"/>
      <c r="D548" s="19"/>
      <c r="E548" s="19"/>
      <c r="F548" s="19"/>
      <c r="G548" s="19"/>
      <c r="H548" s="19"/>
      <c r="I548" s="19"/>
      <c r="J548" s="19"/>
      <c r="K548" s="19"/>
      <c r="L548" s="63"/>
    </row>
    <row r="549" spans="1:12" x14ac:dyDescent="0.25">
      <c r="A549" s="39" t="s">
        <v>356</v>
      </c>
      <c r="L549" s="64"/>
    </row>
    <row r="550" spans="1:12" x14ac:dyDescent="0.25">
      <c r="A550" s="39" t="s">
        <v>449</v>
      </c>
      <c r="L550" s="64"/>
    </row>
    <row r="551" spans="1:12" x14ac:dyDescent="0.25">
      <c r="A551" s="39" t="s">
        <v>657</v>
      </c>
      <c r="L551" s="64"/>
    </row>
    <row r="552" spans="1:12" x14ac:dyDescent="0.25">
      <c r="A552" s="39" t="s">
        <v>782</v>
      </c>
      <c r="L552" s="64"/>
    </row>
    <row r="553" spans="1:12" x14ac:dyDescent="0.25">
      <c r="A553" s="39" t="s">
        <v>958</v>
      </c>
      <c r="L553" s="64"/>
    </row>
    <row r="554" spans="1:12" x14ac:dyDescent="0.25">
      <c r="A554" s="162" t="s">
        <v>1159</v>
      </c>
      <c r="B554" s="22"/>
      <c r="C554" s="22"/>
      <c r="D554" s="22"/>
      <c r="E554" s="22"/>
      <c r="F554" s="22"/>
      <c r="G554" s="34"/>
      <c r="H554" s="34"/>
      <c r="I554" s="34"/>
      <c r="J554" s="34"/>
      <c r="K554" s="34"/>
      <c r="L554" s="48"/>
    </row>
    <row r="555" spans="1:12" x14ac:dyDescent="0.25">
      <c r="A555" s="41"/>
      <c r="B555" s="34"/>
    </row>
    <row r="556" spans="1:12" x14ac:dyDescent="0.25">
      <c r="A556" s="6" t="s">
        <v>14</v>
      </c>
      <c r="B556" s="7" t="s">
        <v>66</v>
      </c>
      <c r="C556" s="9" t="s">
        <v>15</v>
      </c>
    </row>
    <row r="557" spans="1:12" x14ac:dyDescent="0.25">
      <c r="A557" s="10" t="s">
        <v>16</v>
      </c>
      <c r="B557" s="154">
        <v>2015</v>
      </c>
      <c r="C557" s="172">
        <v>2016</v>
      </c>
      <c r="D557" s="154">
        <v>2017</v>
      </c>
      <c r="E557" s="173">
        <v>2018</v>
      </c>
      <c r="F557" s="173">
        <v>2019</v>
      </c>
      <c r="G557" s="154">
        <v>2020</v>
      </c>
      <c r="H557" s="154">
        <v>2021</v>
      </c>
      <c r="I557" s="154">
        <v>2022</v>
      </c>
      <c r="J557" s="154">
        <v>2023</v>
      </c>
      <c r="K557" s="154">
        <v>2024</v>
      </c>
      <c r="L557" s="154">
        <v>2025</v>
      </c>
    </row>
    <row r="558" spans="1:12" x14ac:dyDescent="0.25">
      <c r="A558" s="10" t="s">
        <v>17</v>
      </c>
      <c r="B558" s="156">
        <v>15583</v>
      </c>
      <c r="C558" s="174">
        <v>11679</v>
      </c>
      <c r="D558" s="156">
        <v>11679</v>
      </c>
      <c r="E558" s="175">
        <v>11679</v>
      </c>
      <c r="F558" s="175">
        <v>11679</v>
      </c>
      <c r="G558" s="156">
        <v>9226.41</v>
      </c>
      <c r="H558" s="156">
        <v>9078.7900000000009</v>
      </c>
      <c r="I558" s="156">
        <v>9152.6</v>
      </c>
      <c r="J558" s="156">
        <v>9152.6</v>
      </c>
      <c r="K558" s="156">
        <v>9152.6</v>
      </c>
      <c r="L558" s="156">
        <v>9151.19</v>
      </c>
    </row>
    <row r="559" spans="1:12" x14ac:dyDescent="0.25">
      <c r="A559" s="10" t="s">
        <v>18</v>
      </c>
      <c r="B559" s="156">
        <v>20187.900000000001</v>
      </c>
      <c r="C559" s="174">
        <v>16353.9</v>
      </c>
      <c r="D559" s="156">
        <f>14016.45</f>
        <v>14016.45</v>
      </c>
      <c r="E559" s="175">
        <v>13653.85</v>
      </c>
      <c r="F559" s="175">
        <v>13653.85</v>
      </c>
      <c r="G559" s="156">
        <f>G558+E558*0.15+223</f>
        <v>11201.26</v>
      </c>
      <c r="H559" s="156">
        <f>H558+0.1*F558+223</f>
        <v>10469.69</v>
      </c>
      <c r="I559" s="156">
        <f>I558+0.1*G558+223</f>
        <v>10298.241</v>
      </c>
      <c r="J559" s="156">
        <f>J558+0.1*H558+223</f>
        <v>10283.479000000001</v>
      </c>
      <c r="K559" s="156">
        <f>K558+0.1*I558+223</f>
        <v>10290.86</v>
      </c>
      <c r="L559" s="156">
        <v>9383.67</v>
      </c>
    </row>
    <row r="560" spans="1:12" ht="26.4" x14ac:dyDescent="0.25">
      <c r="A560" s="10" t="s">
        <v>19</v>
      </c>
      <c r="B560" s="176" t="s">
        <v>105</v>
      </c>
      <c r="C560" s="176" t="s">
        <v>106</v>
      </c>
      <c r="D560" s="176" t="s">
        <v>107</v>
      </c>
      <c r="E560" s="177" t="s">
        <v>108</v>
      </c>
      <c r="F560" s="177" t="s">
        <v>108</v>
      </c>
      <c r="G560" s="195" t="s">
        <v>450</v>
      </c>
      <c r="H560" s="195" t="s">
        <v>1160</v>
      </c>
      <c r="I560" s="195" t="s">
        <v>1161</v>
      </c>
      <c r="J560" s="195" t="s">
        <v>1161</v>
      </c>
      <c r="K560" s="184" t="s">
        <v>1161</v>
      </c>
      <c r="L560" s="184" t="s">
        <v>1223</v>
      </c>
    </row>
    <row r="561" spans="1:12" x14ac:dyDescent="0.25">
      <c r="A561" s="10" t="s">
        <v>20</v>
      </c>
      <c r="B561" s="156">
        <v>16453</v>
      </c>
      <c r="C561" s="174">
        <v>13115</v>
      </c>
      <c r="D561" s="156">
        <v>11845</v>
      </c>
      <c r="E561" s="156">
        <v>11630</v>
      </c>
      <c r="F561" s="175">
        <v>11288</v>
      </c>
      <c r="G561" s="156">
        <v>9226</v>
      </c>
      <c r="H561" s="156">
        <v>4092.6</v>
      </c>
      <c r="I561" s="156">
        <v>8181</v>
      </c>
      <c r="J561" s="156">
        <v>10274</v>
      </c>
      <c r="K561" s="156">
        <v>10144</v>
      </c>
      <c r="L561" s="156"/>
    </row>
    <row r="562" spans="1:12" x14ac:dyDescent="0.25">
      <c r="A562" s="10" t="s">
        <v>21</v>
      </c>
      <c r="B562" s="156">
        <v>3734.9</v>
      </c>
      <c r="C562" s="174">
        <v>3238.9</v>
      </c>
      <c r="D562" s="156">
        <v>2171.4499999999998</v>
      </c>
      <c r="E562" s="156">
        <v>2023.85</v>
      </c>
      <c r="F562" s="175">
        <f t="shared" ref="F562:K562" si="23">F559-F561</f>
        <v>2365.8500000000004</v>
      </c>
      <c r="G562" s="156">
        <f t="shared" si="23"/>
        <v>1975.2600000000002</v>
      </c>
      <c r="H562" s="156">
        <f t="shared" si="23"/>
        <v>6377.09</v>
      </c>
      <c r="I562" s="156">
        <f t="shared" si="23"/>
        <v>2117.241</v>
      </c>
      <c r="J562" s="156">
        <f t="shared" si="23"/>
        <v>9.4790000000011787</v>
      </c>
      <c r="K562" s="156">
        <f t="shared" si="23"/>
        <v>146.86000000000058</v>
      </c>
      <c r="L562" s="156"/>
    </row>
    <row r="563" spans="1:12" x14ac:dyDescent="0.25">
      <c r="A563" s="16" t="s">
        <v>22</v>
      </c>
      <c r="B563" s="159">
        <v>2017</v>
      </c>
      <c r="C563" s="178">
        <v>2018</v>
      </c>
      <c r="D563" s="159">
        <v>2019</v>
      </c>
      <c r="E563" s="159">
        <v>2020</v>
      </c>
      <c r="F563" s="179">
        <v>2021</v>
      </c>
      <c r="G563" s="159">
        <v>2022</v>
      </c>
      <c r="H563" s="159">
        <v>2023</v>
      </c>
      <c r="I563" s="159">
        <v>2024</v>
      </c>
      <c r="J563" s="159">
        <v>2025</v>
      </c>
      <c r="K563" s="159">
        <v>2026</v>
      </c>
      <c r="L563" s="159">
        <v>2027</v>
      </c>
    </row>
    <row r="564" spans="1:12" x14ac:dyDescent="0.25">
      <c r="A564" s="29" t="s">
        <v>23</v>
      </c>
      <c r="B564" s="30"/>
      <c r="C564" s="30"/>
      <c r="D564" s="30"/>
      <c r="E564" s="30"/>
      <c r="F564" s="30"/>
      <c r="G564" s="30"/>
      <c r="H564" s="88"/>
      <c r="I564" s="88"/>
      <c r="J564" s="88"/>
      <c r="K564" s="88"/>
      <c r="L564" s="88"/>
    </row>
    <row r="565" spans="1:12" x14ac:dyDescent="0.25">
      <c r="A565" s="18" t="s">
        <v>109</v>
      </c>
      <c r="B565" s="19"/>
      <c r="C565" s="19"/>
      <c r="D565" s="19"/>
      <c r="E565" s="19"/>
      <c r="F565" s="19"/>
      <c r="G565" s="19"/>
      <c r="H565" s="19"/>
      <c r="I565" s="19"/>
      <c r="J565" s="19"/>
      <c r="K565" s="19"/>
      <c r="L565" s="63"/>
    </row>
    <row r="566" spans="1:12" x14ac:dyDescent="0.25">
      <c r="A566" s="39" t="s">
        <v>357</v>
      </c>
      <c r="L566" s="64"/>
    </row>
    <row r="567" spans="1:12" x14ac:dyDescent="0.25">
      <c r="A567" s="39" t="s">
        <v>357</v>
      </c>
      <c r="L567" s="64"/>
    </row>
    <row r="568" spans="1:12" x14ac:dyDescent="0.25">
      <c r="A568" s="150" t="s">
        <v>1162</v>
      </c>
      <c r="L568" s="64"/>
    </row>
    <row r="569" spans="1:12" x14ac:dyDescent="0.25">
      <c r="A569" s="150" t="s">
        <v>1163</v>
      </c>
      <c r="L569" s="64"/>
    </row>
    <row r="570" spans="1:12" x14ac:dyDescent="0.25">
      <c r="A570" s="196" t="s">
        <v>1164</v>
      </c>
      <c r="B570" s="32"/>
      <c r="C570" s="32"/>
      <c r="D570" s="32"/>
      <c r="E570" s="32"/>
      <c r="F570" s="32"/>
      <c r="L570" s="64"/>
    </row>
    <row r="571" spans="1:12" x14ac:dyDescent="0.25">
      <c r="A571" s="196" t="s">
        <v>1165</v>
      </c>
      <c r="B571" s="32"/>
      <c r="C571" s="32"/>
      <c r="D571" s="32"/>
      <c r="E571" s="32"/>
      <c r="F571" s="32"/>
      <c r="L571" s="64"/>
    </row>
    <row r="572" spans="1:12" x14ac:dyDescent="0.25">
      <c r="A572" s="162" t="s">
        <v>1222</v>
      </c>
      <c r="B572" s="22"/>
      <c r="C572" s="22"/>
      <c r="D572" s="22"/>
      <c r="E572" s="22"/>
      <c r="F572" s="22"/>
      <c r="G572" s="34"/>
      <c r="H572" s="34"/>
      <c r="I572" s="34"/>
      <c r="J572" s="34"/>
      <c r="K572" s="34"/>
      <c r="L572" s="48"/>
    </row>
    <row r="574" spans="1:12" x14ac:dyDescent="0.25">
      <c r="A574" s="6" t="s">
        <v>14</v>
      </c>
      <c r="B574" s="7" t="s">
        <v>74</v>
      </c>
      <c r="C574" s="9" t="s">
        <v>15</v>
      </c>
    </row>
    <row r="575" spans="1:12" x14ac:dyDescent="0.25">
      <c r="A575" s="10" t="s">
        <v>16</v>
      </c>
      <c r="B575" s="154">
        <v>2015</v>
      </c>
      <c r="C575" s="172">
        <v>2016</v>
      </c>
      <c r="D575" s="154">
        <v>2017</v>
      </c>
      <c r="E575" s="173">
        <v>2018</v>
      </c>
      <c r="F575" s="173">
        <v>2019</v>
      </c>
      <c r="G575" s="154">
        <v>2020</v>
      </c>
      <c r="H575" s="154">
        <v>2021</v>
      </c>
      <c r="I575" s="154">
        <v>2022</v>
      </c>
      <c r="J575" s="154">
        <v>2023</v>
      </c>
      <c r="K575" s="154">
        <v>2024</v>
      </c>
      <c r="L575" s="154">
        <v>2025</v>
      </c>
    </row>
    <row r="576" spans="1:12" x14ac:dyDescent="0.25">
      <c r="A576" s="10" t="s">
        <v>17</v>
      </c>
      <c r="B576" s="12">
        <v>150</v>
      </c>
      <c r="C576" s="188">
        <v>150</v>
      </c>
      <c r="D576" s="12">
        <v>150</v>
      </c>
      <c r="E576" s="189">
        <v>150</v>
      </c>
      <c r="F576" s="189">
        <v>150</v>
      </c>
      <c r="G576" s="12">
        <v>126.2</v>
      </c>
      <c r="H576" s="12">
        <v>126.2</v>
      </c>
      <c r="I576" s="12">
        <v>126.2</v>
      </c>
      <c r="J576" s="12">
        <v>126.2</v>
      </c>
      <c r="K576" s="12">
        <v>126.2</v>
      </c>
      <c r="L576" s="12">
        <v>126.2</v>
      </c>
    </row>
    <row r="577" spans="1:12" x14ac:dyDescent="0.25">
      <c r="A577" s="10" t="s">
        <v>18</v>
      </c>
      <c r="B577" s="12">
        <v>165</v>
      </c>
      <c r="C577" s="188">
        <v>165</v>
      </c>
      <c r="D577" s="12">
        <v>165</v>
      </c>
      <c r="E577" s="189">
        <v>165</v>
      </c>
      <c r="F577" s="189">
        <v>165</v>
      </c>
      <c r="G577" s="12">
        <f>G576+0.1*E576</f>
        <v>141.19999999999999</v>
      </c>
      <c r="H577" s="12">
        <f>H576+0.1*F576</f>
        <v>141.19999999999999</v>
      </c>
      <c r="I577" s="12"/>
      <c r="J577" s="12"/>
      <c r="K577" s="12"/>
      <c r="L577" s="12"/>
    </row>
    <row r="578" spans="1:12" x14ac:dyDescent="0.25">
      <c r="A578" s="10" t="s">
        <v>19</v>
      </c>
      <c r="B578" s="190" t="s">
        <v>110</v>
      </c>
      <c r="C578" s="190" t="s">
        <v>110</v>
      </c>
      <c r="D578" s="190" t="s">
        <v>110</v>
      </c>
      <c r="E578" s="191" t="s">
        <v>110</v>
      </c>
      <c r="F578" s="191" t="s">
        <v>110</v>
      </c>
      <c r="G578" s="191" t="s">
        <v>358</v>
      </c>
      <c r="H578" s="191" t="s">
        <v>358</v>
      </c>
      <c r="I578" s="191"/>
      <c r="J578" s="191"/>
      <c r="K578" s="191"/>
      <c r="L578" s="191"/>
    </row>
    <row r="579" spans="1:12" x14ac:dyDescent="0.25">
      <c r="A579" s="10" t="s">
        <v>20</v>
      </c>
      <c r="B579" s="12">
        <v>61</v>
      </c>
      <c r="C579" s="188">
        <v>75</v>
      </c>
      <c r="D579" s="12">
        <v>73</v>
      </c>
      <c r="E579" s="12">
        <v>74</v>
      </c>
      <c r="F579" s="189">
        <v>40</v>
      </c>
      <c r="G579" s="12">
        <v>91.4</v>
      </c>
      <c r="H579" s="12">
        <v>96.1</v>
      </c>
      <c r="I579" s="12">
        <v>58</v>
      </c>
      <c r="J579" s="12">
        <v>71</v>
      </c>
      <c r="K579" s="12">
        <v>126</v>
      </c>
      <c r="L579" s="12"/>
    </row>
    <row r="580" spans="1:12" x14ac:dyDescent="0.25">
      <c r="A580" s="10" t="s">
        <v>21</v>
      </c>
      <c r="B580" s="12">
        <v>104</v>
      </c>
      <c r="C580" s="188">
        <v>90</v>
      </c>
      <c r="D580" s="12">
        <v>92</v>
      </c>
      <c r="E580" s="12">
        <v>91</v>
      </c>
      <c r="F580" s="189">
        <f>F577-F579</f>
        <v>125</v>
      </c>
      <c r="G580" s="12">
        <f>G577-G579</f>
        <v>49.799999999999983</v>
      </c>
      <c r="H580" s="12">
        <f>H577-H579</f>
        <v>45.099999999999994</v>
      </c>
      <c r="I580" s="12">
        <f>I576-I579</f>
        <v>68.2</v>
      </c>
      <c r="J580" s="12">
        <f>J576-J579</f>
        <v>55.2</v>
      </c>
      <c r="K580" s="12">
        <f>K576-K579</f>
        <v>0.20000000000000284</v>
      </c>
      <c r="L580" s="12"/>
    </row>
    <row r="581" spans="1:12" x14ac:dyDescent="0.25">
      <c r="A581" s="16" t="s">
        <v>22</v>
      </c>
      <c r="B581" s="159">
        <v>2017</v>
      </c>
      <c r="C581" s="178">
        <v>2018</v>
      </c>
      <c r="D581" s="159">
        <v>2019</v>
      </c>
      <c r="E581" s="159">
        <v>2020</v>
      </c>
      <c r="F581" s="179">
        <v>2021</v>
      </c>
      <c r="G581" s="159" t="s">
        <v>161</v>
      </c>
      <c r="H581" s="159" t="s">
        <v>161</v>
      </c>
      <c r="I581" s="159" t="s">
        <v>161</v>
      </c>
      <c r="J581" s="159" t="s">
        <v>161</v>
      </c>
      <c r="K581" s="159" t="s">
        <v>161</v>
      </c>
      <c r="L581" s="159" t="s">
        <v>161</v>
      </c>
    </row>
    <row r="582" spans="1:12" x14ac:dyDescent="0.25">
      <c r="A582" s="29" t="s">
        <v>23</v>
      </c>
      <c r="B582" s="30"/>
      <c r="C582" s="30"/>
      <c r="D582" s="30"/>
      <c r="E582" s="30"/>
      <c r="F582" s="30"/>
      <c r="G582" s="30"/>
      <c r="H582" s="88"/>
      <c r="I582" s="88"/>
      <c r="J582" s="30"/>
      <c r="K582" s="30"/>
      <c r="L582" s="88"/>
    </row>
    <row r="583" spans="1:12" x14ac:dyDescent="0.25">
      <c r="A583" s="702" t="s">
        <v>111</v>
      </c>
      <c r="B583" s="703"/>
      <c r="C583" s="703"/>
      <c r="D583" s="703"/>
      <c r="E583" s="703"/>
      <c r="F583" s="703"/>
      <c r="G583" s="19"/>
      <c r="H583" s="19"/>
      <c r="I583" s="19"/>
      <c r="J583" s="19"/>
      <c r="K583" s="19"/>
      <c r="L583" s="63"/>
    </row>
    <row r="584" spans="1:12" x14ac:dyDescent="0.25">
      <c r="A584" s="161" t="s">
        <v>359</v>
      </c>
      <c r="B584" s="32"/>
      <c r="C584" s="32"/>
      <c r="D584" s="32"/>
      <c r="E584" s="32"/>
      <c r="F584" s="32"/>
      <c r="L584" s="64"/>
    </row>
    <row r="585" spans="1:12" x14ac:dyDescent="0.25">
      <c r="A585" s="161" t="s">
        <v>451</v>
      </c>
      <c r="B585" s="32"/>
      <c r="C585" s="32"/>
      <c r="D585" s="32"/>
      <c r="E585" s="32"/>
      <c r="F585" s="32"/>
      <c r="L585" s="64"/>
    </row>
    <row r="586" spans="1:12" x14ac:dyDescent="0.25">
      <c r="A586" s="161" t="s">
        <v>658</v>
      </c>
      <c r="B586" s="32"/>
      <c r="C586" s="32"/>
      <c r="D586" s="32"/>
      <c r="E586" s="32"/>
      <c r="F586" s="32"/>
      <c r="L586" s="64"/>
    </row>
    <row r="587" spans="1:12" x14ac:dyDescent="0.25">
      <c r="A587" s="41" t="s">
        <v>775</v>
      </c>
      <c r="B587" s="34"/>
      <c r="C587" s="34"/>
      <c r="D587" s="34"/>
      <c r="E587" s="34"/>
      <c r="F587" s="34"/>
      <c r="G587" s="34"/>
      <c r="H587" s="34"/>
      <c r="I587" s="34"/>
      <c r="J587" s="34"/>
      <c r="K587" s="34"/>
      <c r="L587" s="48"/>
    </row>
    <row r="589" spans="1:12" x14ac:dyDescent="0.25">
      <c r="A589" s="6" t="s">
        <v>14</v>
      </c>
      <c r="B589" s="7" t="s">
        <v>79</v>
      </c>
      <c r="C589" s="9" t="s">
        <v>15</v>
      </c>
    </row>
    <row r="590" spans="1:12" x14ac:dyDescent="0.25">
      <c r="A590" s="10" t="s">
        <v>16</v>
      </c>
      <c r="B590" s="154">
        <v>2015</v>
      </c>
      <c r="C590" s="172">
        <v>2016</v>
      </c>
      <c r="D590" s="154">
        <v>2017</v>
      </c>
      <c r="E590" s="173">
        <v>2018</v>
      </c>
      <c r="F590" s="173">
        <v>2019</v>
      </c>
      <c r="G590" s="154">
        <v>2020</v>
      </c>
      <c r="H590" s="154">
        <v>2021</v>
      </c>
      <c r="I590" s="154">
        <v>2022</v>
      </c>
      <c r="J590" s="154">
        <v>2023</v>
      </c>
      <c r="K590" s="154">
        <v>2024</v>
      </c>
      <c r="L590" s="154">
        <v>2025</v>
      </c>
    </row>
    <row r="591" spans="1:12" x14ac:dyDescent="0.25">
      <c r="A591" s="10" t="s">
        <v>17</v>
      </c>
      <c r="B591" s="12">
        <v>50</v>
      </c>
      <c r="C591" s="188">
        <v>50</v>
      </c>
      <c r="D591" s="12">
        <v>50</v>
      </c>
      <c r="E591" s="189">
        <v>50</v>
      </c>
      <c r="F591" s="189">
        <v>50</v>
      </c>
      <c r="G591" s="12">
        <v>50</v>
      </c>
      <c r="H591" s="12">
        <v>50</v>
      </c>
      <c r="I591" s="12">
        <v>50</v>
      </c>
      <c r="J591" s="12">
        <v>50</v>
      </c>
      <c r="K591" s="12">
        <v>50</v>
      </c>
      <c r="L591" s="12">
        <v>50</v>
      </c>
    </row>
    <row r="592" spans="1:12" x14ac:dyDescent="0.25">
      <c r="A592" s="10" t="s">
        <v>18</v>
      </c>
      <c r="B592" s="12">
        <v>55</v>
      </c>
      <c r="C592" s="188">
        <v>55</v>
      </c>
      <c r="D592" s="12">
        <v>55</v>
      </c>
      <c r="E592" s="189">
        <v>55</v>
      </c>
      <c r="F592" s="189">
        <v>55</v>
      </c>
      <c r="G592" s="12">
        <f>G591*1.1</f>
        <v>55.000000000000007</v>
      </c>
      <c r="H592" s="12">
        <f>H591*1.1</f>
        <v>55.000000000000007</v>
      </c>
      <c r="I592" s="12"/>
      <c r="J592" s="12"/>
      <c r="K592" s="12"/>
      <c r="L592" s="12"/>
    </row>
    <row r="593" spans="1:12" x14ac:dyDescent="0.25">
      <c r="A593" s="10" t="s">
        <v>19</v>
      </c>
      <c r="B593" s="190" t="s">
        <v>112</v>
      </c>
      <c r="C593" s="190" t="s">
        <v>112</v>
      </c>
      <c r="D593" s="190" t="s">
        <v>112</v>
      </c>
      <c r="E593" s="191" t="s">
        <v>112</v>
      </c>
      <c r="F593" s="191" t="s">
        <v>112</v>
      </c>
      <c r="G593" s="191" t="s">
        <v>112</v>
      </c>
      <c r="H593" s="191" t="s">
        <v>112</v>
      </c>
      <c r="I593" s="191"/>
      <c r="J593" s="191"/>
      <c r="K593" s="191"/>
      <c r="L593" s="191"/>
    </row>
    <row r="594" spans="1:12" x14ac:dyDescent="0.25">
      <c r="A594" s="10" t="s">
        <v>20</v>
      </c>
      <c r="B594" s="12">
        <v>12</v>
      </c>
      <c r="C594" s="12">
        <v>10</v>
      </c>
      <c r="D594" s="12">
        <v>5</v>
      </c>
      <c r="E594" s="12">
        <v>6</v>
      </c>
      <c r="F594" s="12">
        <v>2</v>
      </c>
      <c r="G594" s="12">
        <v>5.4</v>
      </c>
      <c r="H594" s="12">
        <v>5.2</v>
      </c>
      <c r="I594" s="12">
        <v>2</v>
      </c>
      <c r="J594" s="12">
        <v>1.3</v>
      </c>
      <c r="K594" s="12">
        <v>1.7</v>
      </c>
      <c r="L594" s="12"/>
    </row>
    <row r="595" spans="1:12" x14ac:dyDescent="0.25">
      <c r="A595" s="10" t="s">
        <v>21</v>
      </c>
      <c r="B595" s="12">
        <v>43</v>
      </c>
      <c r="C595" s="12">
        <f t="shared" ref="C595:H595" si="24">C592-C594</f>
        <v>45</v>
      </c>
      <c r="D595" s="12">
        <f t="shared" si="24"/>
        <v>50</v>
      </c>
      <c r="E595" s="12">
        <f t="shared" si="24"/>
        <v>49</v>
      </c>
      <c r="F595" s="12">
        <f t="shared" si="24"/>
        <v>53</v>
      </c>
      <c r="G595" s="12">
        <f t="shared" si="24"/>
        <v>49.600000000000009</v>
      </c>
      <c r="H595" s="12">
        <f t="shared" si="24"/>
        <v>49.800000000000004</v>
      </c>
      <c r="I595" s="12">
        <f>I591-I594</f>
        <v>48</v>
      </c>
      <c r="J595" s="12">
        <f>J591-J594</f>
        <v>48.7</v>
      </c>
      <c r="K595" s="12">
        <f>K591-K594</f>
        <v>48.3</v>
      </c>
      <c r="L595" s="12"/>
    </row>
    <row r="596" spans="1:12" x14ac:dyDescent="0.25">
      <c r="A596" s="16" t="s">
        <v>22</v>
      </c>
      <c r="B596" s="159">
        <v>2017</v>
      </c>
      <c r="C596" s="197">
        <v>2018</v>
      </c>
      <c r="D596" s="197">
        <v>2019</v>
      </c>
      <c r="E596" s="197">
        <v>2020</v>
      </c>
      <c r="F596" s="197">
        <v>2021</v>
      </c>
      <c r="G596" s="197" t="s">
        <v>161</v>
      </c>
      <c r="H596" s="197" t="s">
        <v>161</v>
      </c>
      <c r="I596" s="197" t="s">
        <v>161</v>
      </c>
      <c r="J596" s="197" t="s">
        <v>161</v>
      </c>
      <c r="K596" s="197" t="s">
        <v>161</v>
      </c>
      <c r="L596" s="197" t="s">
        <v>161</v>
      </c>
    </row>
    <row r="597" spans="1:12" x14ac:dyDescent="0.25">
      <c r="A597" s="16" t="s">
        <v>23</v>
      </c>
      <c r="B597" s="46"/>
      <c r="C597" s="46"/>
      <c r="D597" s="46"/>
      <c r="E597" s="46"/>
      <c r="F597" s="46"/>
      <c r="G597" s="46"/>
      <c r="H597" s="47"/>
      <c r="I597" s="47"/>
      <c r="J597" s="47"/>
      <c r="K597" s="47"/>
      <c r="L597" s="47"/>
    </row>
    <row r="598" spans="1:12" x14ac:dyDescent="0.25">
      <c r="A598" s="702" t="s">
        <v>113</v>
      </c>
      <c r="B598" s="703"/>
      <c r="C598" s="703"/>
      <c r="D598" s="703"/>
      <c r="E598" s="703"/>
      <c r="F598" s="703"/>
      <c r="G598" s="19"/>
      <c r="H598" s="19"/>
      <c r="I598" s="19"/>
      <c r="J598" s="19"/>
      <c r="K598" s="19"/>
      <c r="L598" s="63"/>
    </row>
    <row r="599" spans="1:12" x14ac:dyDescent="0.25">
      <c r="A599" s="161" t="s">
        <v>360</v>
      </c>
      <c r="B599" s="32"/>
      <c r="C599" s="32"/>
      <c r="D599" s="32"/>
      <c r="E599" s="32"/>
      <c r="F599" s="32"/>
      <c r="L599" s="64"/>
    </row>
    <row r="600" spans="1:12" x14ac:dyDescent="0.25">
      <c r="A600" s="161" t="s">
        <v>452</v>
      </c>
      <c r="B600" s="32"/>
      <c r="C600" s="32"/>
      <c r="D600" s="32"/>
      <c r="E600" s="32"/>
      <c r="F600" s="32"/>
      <c r="L600" s="64"/>
    </row>
    <row r="601" spans="1:12" x14ac:dyDescent="0.25">
      <c r="A601" s="161" t="s">
        <v>659</v>
      </c>
      <c r="B601" s="32"/>
      <c r="C601" s="32"/>
      <c r="D601" s="32"/>
      <c r="E601" s="32"/>
      <c r="F601" s="32"/>
      <c r="L601" s="64"/>
    </row>
    <row r="602" spans="1:12" x14ac:dyDescent="0.25">
      <c r="A602" s="41" t="s">
        <v>775</v>
      </c>
      <c r="B602" s="34"/>
      <c r="C602" s="34"/>
      <c r="D602" s="34"/>
      <c r="E602" s="34"/>
      <c r="F602" s="34"/>
      <c r="G602" s="34"/>
      <c r="H602" s="34"/>
      <c r="I602" s="34"/>
      <c r="J602" s="34"/>
      <c r="K602" s="34"/>
      <c r="L602" s="48"/>
    </row>
    <row r="605" spans="1:12" x14ac:dyDescent="0.25">
      <c r="A605" s="6" t="s">
        <v>12</v>
      </c>
      <c r="B605" s="173" t="s">
        <v>614</v>
      </c>
    </row>
    <row r="606" spans="1:12" x14ac:dyDescent="0.25">
      <c r="A606" s="103" t="s">
        <v>14</v>
      </c>
      <c r="B606" s="104" t="s">
        <v>624</v>
      </c>
      <c r="C606" s="66" t="s">
        <v>152</v>
      </c>
      <c r="D606" s="8"/>
      <c r="E606" s="8"/>
      <c r="F606" s="8"/>
      <c r="G606" s="8"/>
    </row>
    <row r="607" spans="1:12" s="202" customFormat="1" x14ac:dyDescent="0.25">
      <c r="A607" s="198" t="s">
        <v>27</v>
      </c>
      <c r="B607" s="199">
        <v>2016</v>
      </c>
      <c r="C607" s="199">
        <v>2017</v>
      </c>
      <c r="D607" s="200">
        <v>2018</v>
      </c>
      <c r="E607" s="199">
        <v>2019</v>
      </c>
      <c r="F607" s="201">
        <v>2020</v>
      </c>
      <c r="G607" s="201">
        <v>2021</v>
      </c>
      <c r="H607" s="201">
        <v>2022</v>
      </c>
      <c r="I607" s="201">
        <v>2023</v>
      </c>
      <c r="J607" s="201">
        <v>2024</v>
      </c>
    </row>
    <row r="608" spans="1:12" s="202" customFormat="1" x14ac:dyDescent="0.25">
      <c r="A608" s="198" t="s">
        <v>28</v>
      </c>
      <c r="B608" s="203">
        <v>200</v>
      </c>
      <c r="C608" s="203">
        <v>200</v>
      </c>
      <c r="D608" s="203">
        <v>200</v>
      </c>
      <c r="E608" s="203">
        <v>215</v>
      </c>
      <c r="F608" s="204">
        <v>215</v>
      </c>
      <c r="G608" s="204">
        <v>242</v>
      </c>
      <c r="H608" s="203">
        <v>242</v>
      </c>
      <c r="I608" s="203">
        <v>242</v>
      </c>
      <c r="J608" s="203">
        <v>302</v>
      </c>
    </row>
    <row r="609" spans="1:10" s="202" customFormat="1" x14ac:dyDescent="0.25">
      <c r="A609" s="198" t="s">
        <v>29</v>
      </c>
      <c r="B609" s="205">
        <f>(B608+0.25*200)</f>
        <v>250</v>
      </c>
      <c r="C609" s="205">
        <f>(C608+0.25*B608)</f>
        <v>250</v>
      </c>
      <c r="D609" s="205">
        <f t="shared" ref="D609:J609" si="25">(D608+0.25*C608)</f>
        <v>250</v>
      </c>
      <c r="E609" s="205">
        <f t="shared" si="25"/>
        <v>265</v>
      </c>
      <c r="F609" s="205">
        <f t="shared" si="25"/>
        <v>268.75</v>
      </c>
      <c r="G609" s="205">
        <f t="shared" si="25"/>
        <v>295.75</v>
      </c>
      <c r="H609" s="206">
        <f t="shared" si="25"/>
        <v>302.5</v>
      </c>
      <c r="I609" s="206">
        <f t="shared" si="25"/>
        <v>302.5</v>
      </c>
      <c r="J609" s="206">
        <f t="shared" si="25"/>
        <v>362.5</v>
      </c>
    </row>
    <row r="610" spans="1:10" s="202" customFormat="1" x14ac:dyDescent="0.25">
      <c r="A610" s="198" t="s">
        <v>30</v>
      </c>
      <c r="B610" s="205"/>
      <c r="C610" s="205"/>
      <c r="D610" s="207"/>
      <c r="E610" s="205"/>
      <c r="F610" s="208"/>
      <c r="G610" s="208"/>
      <c r="H610" s="208"/>
      <c r="I610" s="208"/>
      <c r="J610" s="208"/>
    </row>
    <row r="611" spans="1:10" s="202" customFormat="1" x14ac:dyDescent="0.25">
      <c r="A611" s="198" t="s">
        <v>31</v>
      </c>
      <c r="B611" s="203">
        <v>4.6470000000000002</v>
      </c>
      <c r="C611" s="203">
        <v>11.226000000000001</v>
      </c>
      <c r="D611" s="203">
        <v>4.8979999999999997</v>
      </c>
      <c r="E611" s="204">
        <v>1.35</v>
      </c>
      <c r="F611" s="204">
        <v>0.64</v>
      </c>
      <c r="G611" s="204">
        <v>2.34</v>
      </c>
      <c r="H611" s="208">
        <v>1.49</v>
      </c>
      <c r="I611" s="208">
        <v>0.66</v>
      </c>
      <c r="J611" s="208">
        <v>1.0329999999999999</v>
      </c>
    </row>
    <row r="612" spans="1:10" s="202" customFormat="1" x14ac:dyDescent="0.25">
      <c r="A612" s="198" t="s">
        <v>32</v>
      </c>
      <c r="B612" s="206">
        <f t="shared" ref="B612:J612" si="26">B609-B611</f>
        <v>245.35300000000001</v>
      </c>
      <c r="C612" s="206">
        <f t="shared" si="26"/>
        <v>238.774</v>
      </c>
      <c r="D612" s="206">
        <f t="shared" si="26"/>
        <v>245.102</v>
      </c>
      <c r="E612" s="206">
        <f t="shared" si="26"/>
        <v>263.64999999999998</v>
      </c>
      <c r="F612" s="206">
        <f t="shared" si="26"/>
        <v>268.11</v>
      </c>
      <c r="G612" s="206">
        <f t="shared" si="26"/>
        <v>293.41000000000003</v>
      </c>
      <c r="H612" s="206">
        <f t="shared" si="26"/>
        <v>301.01</v>
      </c>
      <c r="I612" s="206">
        <f t="shared" si="26"/>
        <v>301.83999999999997</v>
      </c>
      <c r="J612" s="206">
        <f t="shared" si="26"/>
        <v>361.46699999999998</v>
      </c>
    </row>
    <row r="613" spans="1:10" s="202" customFormat="1" x14ac:dyDescent="0.25">
      <c r="A613" s="209" t="s">
        <v>33</v>
      </c>
      <c r="B613" s="210">
        <v>2017</v>
      </c>
      <c r="C613" s="210">
        <v>2018</v>
      </c>
      <c r="D613" s="211">
        <v>2019</v>
      </c>
      <c r="E613" s="210">
        <v>2020</v>
      </c>
      <c r="F613" s="212">
        <v>2021</v>
      </c>
      <c r="G613" s="212">
        <v>2022</v>
      </c>
      <c r="H613" s="212">
        <v>2023</v>
      </c>
      <c r="I613" s="212">
        <v>2024</v>
      </c>
      <c r="J613" s="212">
        <v>2026</v>
      </c>
    </row>
    <row r="614" spans="1:10" s="202" customFormat="1" x14ac:dyDescent="0.25">
      <c r="A614" s="209" t="s">
        <v>34</v>
      </c>
      <c r="B614" s="213"/>
      <c r="C614" s="213"/>
      <c r="D614" s="213"/>
      <c r="E614" s="213"/>
      <c r="F614" s="213"/>
      <c r="G614" s="213"/>
      <c r="H614" s="213"/>
      <c r="I614" s="214"/>
      <c r="J614" s="214"/>
    </row>
    <row r="615" spans="1:10" s="202" customFormat="1" x14ac:dyDescent="0.25">
      <c r="A615" s="209" t="s">
        <v>615</v>
      </c>
      <c r="B615" s="213"/>
      <c r="C615" s="213"/>
      <c r="D615" s="213"/>
      <c r="E615" s="213"/>
      <c r="F615" s="213"/>
      <c r="G615" s="213"/>
      <c r="H615" s="213"/>
      <c r="I615" s="213"/>
      <c r="J615" s="214"/>
    </row>
    <row r="616" spans="1:10" s="202" customFormat="1" x14ac:dyDescent="0.25">
      <c r="A616" s="81" t="s">
        <v>616</v>
      </c>
      <c r="B616" s="83"/>
      <c r="C616" s="83"/>
      <c r="D616" s="83"/>
      <c r="E616" s="83"/>
      <c r="F616" s="83"/>
      <c r="G616" s="83"/>
      <c r="H616" s="83"/>
      <c r="I616" s="83"/>
      <c r="J616" s="215"/>
    </row>
    <row r="617" spans="1:10" s="202" customFormat="1" x14ac:dyDescent="0.25">
      <c r="A617" s="81" t="s">
        <v>617</v>
      </c>
      <c r="B617" s="83"/>
      <c r="C617" s="83"/>
      <c r="D617" s="83"/>
      <c r="E617" s="83"/>
      <c r="F617" s="83"/>
      <c r="G617" s="83"/>
      <c r="H617" s="83"/>
      <c r="I617" s="83"/>
      <c r="J617" s="215"/>
    </row>
    <row r="618" spans="1:10" s="202" customFormat="1" x14ac:dyDescent="0.25">
      <c r="A618" s="81" t="s">
        <v>618</v>
      </c>
      <c r="B618" s="83"/>
      <c r="C618" s="83"/>
      <c r="D618" s="83"/>
      <c r="E618" s="83"/>
      <c r="F618" s="83"/>
      <c r="G618" s="83"/>
      <c r="H618" s="83"/>
      <c r="I618" s="83"/>
      <c r="J618" s="215"/>
    </row>
    <row r="619" spans="1:10" s="202" customFormat="1" x14ac:dyDescent="0.25">
      <c r="A619" s="81" t="s">
        <v>619</v>
      </c>
      <c r="B619" s="83"/>
      <c r="C619" s="83"/>
      <c r="D619" s="83"/>
      <c r="E619" s="83"/>
      <c r="F619" s="83"/>
      <c r="G619" s="83"/>
      <c r="H619" s="83"/>
      <c r="I619" s="83"/>
      <c r="J619" s="215"/>
    </row>
    <row r="620" spans="1:10" s="202" customFormat="1" x14ac:dyDescent="0.25">
      <c r="A620" s="81" t="s">
        <v>620</v>
      </c>
      <c r="B620" s="83"/>
      <c r="C620" s="83"/>
      <c r="D620" s="83"/>
      <c r="E620" s="83"/>
      <c r="F620" s="83"/>
      <c r="G620" s="83"/>
      <c r="H620" s="83"/>
      <c r="I620" s="83"/>
      <c r="J620" s="215"/>
    </row>
    <row r="621" spans="1:10" s="202" customFormat="1" x14ac:dyDescent="0.25">
      <c r="A621" s="81" t="s">
        <v>621</v>
      </c>
      <c r="B621" s="83"/>
      <c r="C621" s="83"/>
      <c r="D621" s="83"/>
      <c r="E621" s="83"/>
      <c r="F621" s="83"/>
      <c r="G621" s="83"/>
      <c r="H621" s="83"/>
      <c r="I621" s="83"/>
      <c r="J621" s="215"/>
    </row>
    <row r="622" spans="1:10" s="202" customFormat="1" x14ac:dyDescent="0.25">
      <c r="A622" s="81" t="s">
        <v>622</v>
      </c>
      <c r="B622" s="83"/>
      <c r="C622" s="83"/>
      <c r="D622" s="83"/>
      <c r="E622" s="83"/>
      <c r="F622" s="83"/>
      <c r="G622" s="83"/>
      <c r="H622" s="83"/>
      <c r="I622" s="83"/>
      <c r="J622" s="215"/>
    </row>
    <row r="623" spans="1:10" s="202" customFormat="1" x14ac:dyDescent="0.25">
      <c r="A623" s="81" t="s">
        <v>783</v>
      </c>
      <c r="B623" s="83"/>
      <c r="C623" s="83"/>
      <c r="D623" s="83"/>
      <c r="E623" s="83"/>
      <c r="F623" s="83"/>
      <c r="G623" s="83"/>
      <c r="H623" s="83"/>
      <c r="I623" s="83"/>
      <c r="J623" s="215"/>
    </row>
    <row r="624" spans="1:10" s="202" customFormat="1" x14ac:dyDescent="0.25">
      <c r="A624" s="84" t="s">
        <v>998</v>
      </c>
      <c r="B624" s="116"/>
      <c r="C624" s="116"/>
      <c r="D624" s="116"/>
      <c r="E624" s="116"/>
      <c r="F624" s="116"/>
      <c r="G624" s="116"/>
      <c r="H624" s="116"/>
      <c r="I624" s="116"/>
      <c r="J624" s="216"/>
    </row>
    <row r="625" spans="1:11" s="202" customFormat="1" x14ac:dyDescent="0.25">
      <c r="A625" s="83"/>
      <c r="B625" s="83"/>
      <c r="C625" s="83"/>
      <c r="D625" s="83"/>
      <c r="E625" s="83"/>
      <c r="F625" s="83"/>
      <c r="G625" s="83"/>
      <c r="H625" s="83"/>
      <c r="I625" s="83"/>
    </row>
    <row r="626" spans="1:11" x14ac:dyDescent="0.25">
      <c r="A626" s="98" t="s">
        <v>14</v>
      </c>
      <c r="B626" s="66" t="s">
        <v>623</v>
      </c>
      <c r="C626" s="66" t="s">
        <v>152</v>
      </c>
      <c r="D626" s="138"/>
      <c r="E626" s="138"/>
      <c r="F626" s="138"/>
      <c r="G626" s="138"/>
    </row>
    <row r="627" spans="1:11" s="202" customFormat="1" x14ac:dyDescent="0.25">
      <c r="A627" s="198" t="s">
        <v>27</v>
      </c>
      <c r="B627" s="199">
        <v>2016</v>
      </c>
      <c r="C627" s="199">
        <v>2017</v>
      </c>
      <c r="D627" s="200">
        <v>2018</v>
      </c>
      <c r="E627" s="199">
        <v>2019</v>
      </c>
      <c r="F627" s="201">
        <v>2020</v>
      </c>
      <c r="G627" s="201">
        <v>2021</v>
      </c>
      <c r="H627" s="201">
        <v>2022</v>
      </c>
      <c r="I627" s="201">
        <v>2023</v>
      </c>
      <c r="J627" s="201">
        <v>2024</v>
      </c>
      <c r="K627" s="201">
        <v>2025</v>
      </c>
    </row>
    <row r="628" spans="1:11" s="202" customFormat="1" x14ac:dyDescent="0.25">
      <c r="A628" s="198" t="s">
        <v>28</v>
      </c>
      <c r="B628" s="217">
        <v>0</v>
      </c>
      <c r="C628" s="217">
        <v>0</v>
      </c>
      <c r="D628" s="217">
        <v>0</v>
      </c>
      <c r="E628" s="217">
        <v>0</v>
      </c>
      <c r="F628" s="218">
        <v>0</v>
      </c>
      <c r="G628" s="218">
        <v>0</v>
      </c>
      <c r="H628" s="217">
        <v>0</v>
      </c>
      <c r="I628" s="217">
        <v>0</v>
      </c>
      <c r="J628" s="217">
        <v>0</v>
      </c>
      <c r="K628" s="219">
        <v>375</v>
      </c>
    </row>
    <row r="629" spans="1:11" s="202" customFormat="1" x14ac:dyDescent="0.25">
      <c r="A629" s="198" t="s">
        <v>29</v>
      </c>
      <c r="B629" s="220">
        <v>-19.86</v>
      </c>
      <c r="C629" s="221">
        <f t="shared" ref="C629:K629" si="27">B632</f>
        <v>-48.64</v>
      </c>
      <c r="D629" s="221">
        <f t="shared" si="27"/>
        <v>-96.69</v>
      </c>
      <c r="E629" s="221">
        <f t="shared" si="27"/>
        <v>-149.34</v>
      </c>
      <c r="F629" s="221">
        <f t="shared" si="27"/>
        <v>-172.85</v>
      </c>
      <c r="G629" s="221">
        <f t="shared" si="27"/>
        <v>-196.03</v>
      </c>
      <c r="H629" s="221">
        <f t="shared" si="27"/>
        <v>-246.64</v>
      </c>
      <c r="I629" s="221">
        <f t="shared" si="27"/>
        <v>-272.18</v>
      </c>
      <c r="J629" s="221">
        <f t="shared" si="27"/>
        <v>-299.51600000000002</v>
      </c>
      <c r="K629" s="222">
        <f t="shared" si="27"/>
        <v>-338.07500000000005</v>
      </c>
    </row>
    <row r="630" spans="1:11" s="202" customFormat="1" x14ac:dyDescent="0.25">
      <c r="A630" s="198" t="s">
        <v>30</v>
      </c>
      <c r="B630" s="205" t="s">
        <v>399</v>
      </c>
      <c r="C630" s="207" t="s">
        <v>400</v>
      </c>
      <c r="D630" s="205" t="s">
        <v>401</v>
      </c>
      <c r="E630" s="208" t="s">
        <v>402</v>
      </c>
      <c r="F630" s="208" t="s">
        <v>566</v>
      </c>
      <c r="G630" s="208" t="s">
        <v>604</v>
      </c>
      <c r="H630" s="208" t="s">
        <v>625</v>
      </c>
      <c r="I630" s="208" t="s">
        <v>784</v>
      </c>
      <c r="J630" s="208" t="s">
        <v>999</v>
      </c>
      <c r="K630" s="114" t="s">
        <v>1166</v>
      </c>
    </row>
    <row r="631" spans="1:11" s="202" customFormat="1" x14ac:dyDescent="0.25">
      <c r="A631" s="198" t="s">
        <v>31</v>
      </c>
      <c r="B631" s="217">
        <v>28.78</v>
      </c>
      <c r="C631" s="217">
        <v>48.05</v>
      </c>
      <c r="D631" s="217">
        <v>52.65</v>
      </c>
      <c r="E631" s="218">
        <v>23.51</v>
      </c>
      <c r="F631" s="218">
        <v>23.18</v>
      </c>
      <c r="G631" s="218">
        <v>50.61</v>
      </c>
      <c r="H631" s="223">
        <v>25.54</v>
      </c>
      <c r="I631" s="223">
        <v>27.335999999999999</v>
      </c>
      <c r="J631" s="223">
        <v>38.558999999999997</v>
      </c>
      <c r="K631" s="219"/>
    </row>
    <row r="632" spans="1:11" s="202" customFormat="1" x14ac:dyDescent="0.25">
      <c r="A632" s="198" t="s">
        <v>32</v>
      </c>
      <c r="B632" s="206">
        <f t="shared" ref="B632:J632" si="28">B629-B631</f>
        <v>-48.64</v>
      </c>
      <c r="C632" s="206">
        <f t="shared" si="28"/>
        <v>-96.69</v>
      </c>
      <c r="D632" s="206">
        <f t="shared" si="28"/>
        <v>-149.34</v>
      </c>
      <c r="E632" s="206">
        <f t="shared" si="28"/>
        <v>-172.85</v>
      </c>
      <c r="F632" s="206">
        <f t="shared" si="28"/>
        <v>-196.03</v>
      </c>
      <c r="G632" s="206">
        <f t="shared" si="28"/>
        <v>-246.64</v>
      </c>
      <c r="H632" s="224">
        <f t="shared" si="28"/>
        <v>-272.18</v>
      </c>
      <c r="I632" s="224">
        <f t="shared" si="28"/>
        <v>-299.51600000000002</v>
      </c>
      <c r="J632" s="224">
        <f t="shared" si="28"/>
        <v>-338.07500000000005</v>
      </c>
      <c r="K632" s="219"/>
    </row>
    <row r="633" spans="1:11" s="202" customFormat="1" x14ac:dyDescent="0.25">
      <c r="A633" s="209" t="s">
        <v>33</v>
      </c>
      <c r="B633" s="225">
        <v>2017</v>
      </c>
      <c r="C633" s="225">
        <v>2018</v>
      </c>
      <c r="D633" s="213">
        <v>2019</v>
      </c>
      <c r="E633" s="225">
        <v>2020</v>
      </c>
      <c r="F633" s="214">
        <v>2021</v>
      </c>
      <c r="G633" s="214">
        <v>2022</v>
      </c>
      <c r="H633" s="214">
        <v>2023</v>
      </c>
      <c r="I633" s="214">
        <v>2024</v>
      </c>
      <c r="J633" s="214">
        <v>2025</v>
      </c>
      <c r="K633" s="219">
        <v>2026</v>
      </c>
    </row>
    <row r="634" spans="1:11" s="202" customFormat="1" x14ac:dyDescent="0.25">
      <c r="A634" s="226" t="s">
        <v>34</v>
      </c>
      <c r="B634" s="227"/>
      <c r="C634" s="227"/>
      <c r="D634" s="227"/>
      <c r="E634" s="227"/>
      <c r="F634" s="227"/>
      <c r="G634" s="227"/>
      <c r="H634" s="227"/>
      <c r="I634" s="227"/>
      <c r="J634" s="227"/>
      <c r="K634" s="228"/>
    </row>
    <row r="635" spans="1:11" s="202" customFormat="1" x14ac:dyDescent="0.25">
      <c r="A635" s="229" t="s">
        <v>626</v>
      </c>
      <c r="B635" s="230"/>
      <c r="C635" s="230"/>
      <c r="D635" s="230"/>
      <c r="E635" s="230"/>
      <c r="F635" s="230"/>
      <c r="G635" s="230"/>
      <c r="H635" s="230"/>
      <c r="I635" s="230"/>
      <c r="J635" s="231"/>
      <c r="K635" s="232"/>
    </row>
    <row r="636" spans="1:11" s="202" customFormat="1" x14ac:dyDescent="0.25">
      <c r="A636" s="233" t="s">
        <v>627</v>
      </c>
      <c r="B636" s="83"/>
      <c r="C636" s="83"/>
      <c r="D636" s="83"/>
      <c r="E636" s="83"/>
      <c r="F636" s="83"/>
      <c r="G636" s="83"/>
      <c r="H636" s="83"/>
      <c r="I636" s="83"/>
      <c r="J636" s="215"/>
      <c r="K636" s="234"/>
    </row>
    <row r="637" spans="1:11" s="202" customFormat="1" x14ac:dyDescent="0.25">
      <c r="A637" s="233" t="s">
        <v>628</v>
      </c>
      <c r="B637" s="83"/>
      <c r="C637" s="83"/>
      <c r="D637" s="83"/>
      <c r="E637" s="83"/>
      <c r="F637" s="83"/>
      <c r="G637" s="83"/>
      <c r="H637" s="83"/>
      <c r="I637" s="83"/>
      <c r="J637" s="215"/>
      <c r="K637" s="234"/>
    </row>
    <row r="638" spans="1:11" s="202" customFormat="1" x14ac:dyDescent="0.25">
      <c r="A638" s="233" t="s">
        <v>629</v>
      </c>
      <c r="B638" s="83"/>
      <c r="C638" s="83"/>
      <c r="D638" s="83"/>
      <c r="E638" s="83"/>
      <c r="F638" s="83"/>
      <c r="G638" s="83"/>
      <c r="H638" s="83"/>
      <c r="I638" s="83"/>
      <c r="J638" s="215"/>
      <c r="K638" s="234"/>
    </row>
    <row r="639" spans="1:11" s="202" customFormat="1" x14ac:dyDescent="0.25">
      <c r="A639" s="233" t="s">
        <v>630</v>
      </c>
      <c r="B639" s="83"/>
      <c r="C639" s="83"/>
      <c r="D639" s="83"/>
      <c r="E639" s="83"/>
      <c r="F639" s="83"/>
      <c r="G639" s="83"/>
      <c r="H639" s="83"/>
      <c r="I639" s="83"/>
      <c r="J639" s="215"/>
      <c r="K639" s="234"/>
    </row>
    <row r="640" spans="1:11" s="202" customFormat="1" x14ac:dyDescent="0.25">
      <c r="A640" s="233" t="s">
        <v>631</v>
      </c>
      <c r="B640" s="83"/>
      <c r="C640" s="83"/>
      <c r="D640" s="83"/>
      <c r="E640" s="83"/>
      <c r="F640" s="83"/>
      <c r="G640" s="83"/>
      <c r="H640" s="83"/>
      <c r="I640" s="83"/>
      <c r="J640" s="215"/>
      <c r="K640" s="234"/>
    </row>
    <row r="641" spans="1:11" s="202" customFormat="1" x14ac:dyDescent="0.25">
      <c r="A641" s="233" t="s">
        <v>632</v>
      </c>
      <c r="B641" s="83"/>
      <c r="C641" s="83"/>
      <c r="D641" s="83"/>
      <c r="E641" s="83"/>
      <c r="F641" s="83"/>
      <c r="G641" s="83"/>
      <c r="H641" s="83"/>
      <c r="I641" s="83"/>
      <c r="J641" s="215"/>
      <c r="K641" s="234"/>
    </row>
    <row r="642" spans="1:11" s="202" customFormat="1" x14ac:dyDescent="0.25">
      <c r="A642" s="233" t="s">
        <v>785</v>
      </c>
      <c r="B642" s="83"/>
      <c r="C642" s="83"/>
      <c r="D642" s="83"/>
      <c r="E642" s="83"/>
      <c r="F642" s="83"/>
      <c r="G642" s="83"/>
      <c r="H642" s="83"/>
      <c r="I642" s="83"/>
      <c r="J642" s="215"/>
      <c r="K642" s="234"/>
    </row>
    <row r="643" spans="1:11" s="202" customFormat="1" x14ac:dyDescent="0.25">
      <c r="A643" s="233" t="s">
        <v>1000</v>
      </c>
      <c r="B643" s="83"/>
      <c r="C643" s="83"/>
      <c r="D643" s="83"/>
      <c r="E643" s="83"/>
      <c r="F643" s="83"/>
      <c r="G643" s="83"/>
      <c r="H643" s="83"/>
      <c r="I643" s="83"/>
      <c r="J643" s="215"/>
      <c r="K643" s="234"/>
    </row>
    <row r="644" spans="1:11" s="202" customFormat="1" x14ac:dyDescent="0.25">
      <c r="A644" s="235" t="s">
        <v>1167</v>
      </c>
      <c r="B644" s="116"/>
      <c r="C644" s="116"/>
      <c r="D644" s="116"/>
      <c r="E644" s="116"/>
      <c r="F644" s="116"/>
      <c r="G644" s="116"/>
      <c r="H644" s="116"/>
      <c r="I644" s="116"/>
      <c r="J644" s="216"/>
      <c r="K644" s="236"/>
    </row>
    <row r="645" spans="1:11" s="202" customFormat="1" x14ac:dyDescent="0.25">
      <c r="A645" s="83"/>
      <c r="B645" s="83"/>
      <c r="C645" s="83"/>
      <c r="D645" s="83"/>
      <c r="E645" s="83"/>
      <c r="F645" s="83"/>
      <c r="G645" s="83"/>
      <c r="H645" s="83"/>
      <c r="I645" s="83"/>
    </row>
    <row r="646" spans="1:11" s="202" customFormat="1" x14ac:dyDescent="0.25">
      <c r="A646" s="98" t="s">
        <v>14</v>
      </c>
      <c r="B646" s="66" t="s">
        <v>74</v>
      </c>
      <c r="C646" s="66" t="s">
        <v>152</v>
      </c>
      <c r="D646" s="83"/>
      <c r="E646" s="83"/>
      <c r="F646" s="83"/>
      <c r="G646" s="83"/>
      <c r="H646" s="83"/>
      <c r="I646" s="83"/>
    </row>
    <row r="647" spans="1:11" s="202" customFormat="1" x14ac:dyDescent="0.25">
      <c r="A647" s="198" t="s">
        <v>27</v>
      </c>
      <c r="B647" s="237">
        <v>2016</v>
      </c>
      <c r="C647" s="237">
        <v>2017</v>
      </c>
      <c r="D647" s="238">
        <v>2018</v>
      </c>
      <c r="E647" s="237">
        <v>2019</v>
      </c>
      <c r="F647" s="239">
        <v>2020</v>
      </c>
      <c r="G647" s="239">
        <v>2021</v>
      </c>
      <c r="H647" s="239">
        <v>2022</v>
      </c>
      <c r="I647" s="239">
        <v>2023</v>
      </c>
      <c r="J647" s="239">
        <v>2024</v>
      </c>
      <c r="K647" s="239">
        <v>2025</v>
      </c>
    </row>
    <row r="648" spans="1:11" s="202" customFormat="1" x14ac:dyDescent="0.25">
      <c r="A648" s="198" t="s">
        <v>28</v>
      </c>
      <c r="B648" s="203">
        <v>10</v>
      </c>
      <c r="C648" s="203">
        <v>10</v>
      </c>
      <c r="D648" s="203">
        <v>10</v>
      </c>
      <c r="E648" s="203">
        <v>10</v>
      </c>
      <c r="F648" s="203">
        <v>10</v>
      </c>
      <c r="G648" s="203">
        <v>10</v>
      </c>
      <c r="H648" s="203">
        <v>10</v>
      </c>
      <c r="I648" s="203">
        <v>10</v>
      </c>
      <c r="J648" s="203">
        <v>10</v>
      </c>
      <c r="K648" s="203">
        <v>10</v>
      </c>
    </row>
    <row r="649" spans="1:11" s="202" customFormat="1" x14ac:dyDescent="0.25">
      <c r="A649" s="198" t="s">
        <v>29</v>
      </c>
      <c r="B649" s="206">
        <v>10</v>
      </c>
      <c r="C649" s="206">
        <f>B652+10</f>
        <v>-31.037900001525877</v>
      </c>
      <c r="D649" s="206">
        <f>C652+10</f>
        <v>-100.44840000534057</v>
      </c>
      <c r="E649" s="206">
        <f>D652+10</f>
        <v>-131.83390000534058</v>
      </c>
      <c r="F649" s="206">
        <f>E652+10</f>
        <v>-149.28490000534057</v>
      </c>
      <c r="G649" s="206">
        <f>F652+10</f>
        <v>-157.49490000534058</v>
      </c>
      <c r="H649" s="206">
        <f>1.25*G652+H648</f>
        <v>-216.48112500667571</v>
      </c>
      <c r="I649" s="206">
        <f>1.25*H652+I648</f>
        <v>-273.73890625834463</v>
      </c>
      <c r="J649" s="206">
        <f>1.25*I652+J648</f>
        <v>-342.7198828229308</v>
      </c>
      <c r="K649" s="206">
        <f>1.25*J652+K648</f>
        <v>-446.63985352866348</v>
      </c>
    </row>
    <row r="650" spans="1:11" s="202" customFormat="1" x14ac:dyDescent="0.25">
      <c r="A650" s="198" t="s">
        <v>30</v>
      </c>
      <c r="B650" s="205"/>
      <c r="C650" s="205" t="s">
        <v>399</v>
      </c>
      <c r="D650" s="207" t="s">
        <v>400</v>
      </c>
      <c r="E650" s="205" t="s">
        <v>401</v>
      </c>
      <c r="F650" s="208" t="s">
        <v>402</v>
      </c>
      <c r="G650" s="208" t="s">
        <v>566</v>
      </c>
      <c r="H650" s="208" t="s">
        <v>604</v>
      </c>
      <c r="I650" s="208" t="s">
        <v>625</v>
      </c>
      <c r="J650" s="208" t="s">
        <v>784</v>
      </c>
      <c r="K650" s="208" t="s">
        <v>999</v>
      </c>
    </row>
    <row r="651" spans="1:11" s="202" customFormat="1" x14ac:dyDescent="0.25">
      <c r="A651" s="198" t="s">
        <v>31</v>
      </c>
      <c r="B651" s="240">
        <v>51.037900001525877</v>
      </c>
      <c r="C651" s="240">
        <v>79.410500003814704</v>
      </c>
      <c r="D651" s="240">
        <v>41.3855</v>
      </c>
      <c r="E651" s="241">
        <v>27.451000000000001</v>
      </c>
      <c r="F651" s="241">
        <v>18.21</v>
      </c>
      <c r="G651" s="204">
        <v>23.69</v>
      </c>
      <c r="H651" s="208">
        <v>10.51</v>
      </c>
      <c r="I651" s="242">
        <v>8.4369999999999994</v>
      </c>
      <c r="J651" s="208">
        <v>22.591999999999999</v>
      </c>
      <c r="K651" s="208"/>
    </row>
    <row r="652" spans="1:11" s="202" customFormat="1" x14ac:dyDescent="0.25">
      <c r="A652" s="198" t="s">
        <v>32</v>
      </c>
      <c r="B652" s="206">
        <f t="shared" ref="B652:I652" si="29">B649-B651</f>
        <v>-41.037900001525877</v>
      </c>
      <c r="C652" s="206">
        <f t="shared" si="29"/>
        <v>-110.44840000534057</v>
      </c>
      <c r="D652" s="206">
        <f t="shared" si="29"/>
        <v>-141.83390000534058</v>
      </c>
      <c r="E652" s="206">
        <f t="shared" si="29"/>
        <v>-159.28490000534057</v>
      </c>
      <c r="F652" s="206">
        <f t="shared" si="29"/>
        <v>-167.49490000534058</v>
      </c>
      <c r="G652" s="206">
        <f t="shared" si="29"/>
        <v>-181.18490000534058</v>
      </c>
      <c r="H652" s="206">
        <f t="shared" si="29"/>
        <v>-226.9911250066757</v>
      </c>
      <c r="I652" s="206">
        <f t="shared" si="29"/>
        <v>-282.17590625834464</v>
      </c>
      <c r="J652" s="224">
        <v>-365.31188282293078</v>
      </c>
      <c r="K652" s="206"/>
    </row>
    <row r="653" spans="1:11" s="202" customFormat="1" x14ac:dyDescent="0.25">
      <c r="A653" s="209" t="s">
        <v>33</v>
      </c>
      <c r="B653" s="210">
        <v>2017</v>
      </c>
      <c r="C653" s="210">
        <v>2018</v>
      </c>
      <c r="D653" s="211">
        <v>2019</v>
      </c>
      <c r="E653" s="210">
        <v>2020</v>
      </c>
      <c r="F653" s="212">
        <v>2021</v>
      </c>
      <c r="G653" s="212">
        <v>2022</v>
      </c>
      <c r="H653" s="212">
        <v>2023</v>
      </c>
      <c r="I653" s="212">
        <v>2024</v>
      </c>
      <c r="J653" s="212">
        <v>2025</v>
      </c>
      <c r="K653" s="114">
        <v>2026</v>
      </c>
    </row>
    <row r="654" spans="1:11" s="202" customFormat="1" x14ac:dyDescent="0.25">
      <c r="A654" s="243" t="s">
        <v>34</v>
      </c>
      <c r="B654" s="230"/>
      <c r="C654" s="230"/>
      <c r="D654" s="230"/>
      <c r="E654" s="230"/>
      <c r="F654" s="230"/>
      <c r="G654" s="230"/>
      <c r="H654" s="230"/>
      <c r="I654" s="230"/>
      <c r="J654" s="230"/>
      <c r="K654" s="232"/>
    </row>
    <row r="655" spans="1:11" s="202" customFormat="1" x14ac:dyDescent="0.25">
      <c r="A655" s="229" t="s">
        <v>633</v>
      </c>
      <c r="B655" s="230"/>
      <c r="C655" s="230"/>
      <c r="D655" s="230"/>
      <c r="E655" s="230"/>
      <c r="F655" s="230"/>
      <c r="G655" s="230"/>
      <c r="H655" s="230"/>
      <c r="I655" s="230"/>
      <c r="J655" s="230"/>
      <c r="K655" s="232"/>
    </row>
    <row r="656" spans="1:11" s="202" customFormat="1" x14ac:dyDescent="0.25">
      <c r="A656" s="233" t="s">
        <v>891</v>
      </c>
      <c r="B656" s="83"/>
      <c r="C656" s="83"/>
      <c r="D656" s="83"/>
      <c r="E656" s="83"/>
      <c r="F656" s="83"/>
      <c r="G656" s="83"/>
      <c r="H656" s="83"/>
      <c r="I656" s="83"/>
      <c r="J656" s="83"/>
      <c r="K656" s="234"/>
    </row>
    <row r="657" spans="1:11" s="202" customFormat="1" x14ac:dyDescent="0.25">
      <c r="A657" s="233" t="s">
        <v>892</v>
      </c>
      <c r="B657" s="83"/>
      <c r="C657" s="83"/>
      <c r="D657" s="83"/>
      <c r="E657" s="83"/>
      <c r="F657" s="83"/>
      <c r="G657" s="83"/>
      <c r="H657" s="83"/>
      <c r="I657" s="83"/>
      <c r="J657" s="83"/>
      <c r="K657" s="234"/>
    </row>
    <row r="658" spans="1:11" s="202" customFormat="1" x14ac:dyDescent="0.25">
      <c r="A658" s="233" t="s">
        <v>893</v>
      </c>
      <c r="B658" s="83"/>
      <c r="C658" s="83"/>
      <c r="D658" s="83"/>
      <c r="E658" s="83"/>
      <c r="F658" s="83"/>
      <c r="G658" s="83"/>
      <c r="H658" s="83"/>
      <c r="I658" s="83"/>
      <c r="J658" s="83"/>
      <c r="K658" s="234"/>
    </row>
    <row r="659" spans="1:11" s="202" customFormat="1" x14ac:dyDescent="0.25">
      <c r="A659" s="233" t="s">
        <v>894</v>
      </c>
      <c r="B659" s="83"/>
      <c r="C659" s="83"/>
      <c r="D659" s="83"/>
      <c r="E659" s="83"/>
      <c r="F659" s="83"/>
      <c r="G659" s="83"/>
      <c r="H659" s="83"/>
      <c r="I659" s="83"/>
      <c r="J659" s="83"/>
      <c r="K659" s="234"/>
    </row>
    <row r="660" spans="1:11" s="202" customFormat="1" x14ac:dyDescent="0.25">
      <c r="A660" s="233" t="s">
        <v>889</v>
      </c>
      <c r="B660" s="83"/>
      <c r="C660" s="83"/>
      <c r="D660" s="83"/>
      <c r="E660" s="83"/>
      <c r="F660" s="83"/>
      <c r="G660" s="83"/>
      <c r="H660" s="83"/>
      <c r="I660" s="83"/>
      <c r="J660" s="83"/>
      <c r="K660" s="234"/>
    </row>
    <row r="661" spans="1:11" s="202" customFormat="1" x14ac:dyDescent="0.25">
      <c r="A661" s="233" t="s">
        <v>890</v>
      </c>
      <c r="B661" s="83"/>
      <c r="C661" s="83"/>
      <c r="D661" s="83"/>
      <c r="E661" s="83"/>
      <c r="F661" s="83"/>
      <c r="G661" s="83"/>
      <c r="H661" s="83"/>
      <c r="I661" s="83"/>
      <c r="J661" s="83"/>
      <c r="K661" s="234"/>
    </row>
    <row r="662" spans="1:11" s="202" customFormat="1" x14ac:dyDescent="0.25">
      <c r="A662" s="233" t="s">
        <v>1001</v>
      </c>
      <c r="B662" s="83"/>
      <c r="C662" s="83"/>
      <c r="D662" s="83"/>
      <c r="E662" s="83"/>
      <c r="F662" s="83"/>
      <c r="G662" s="83"/>
      <c r="H662" s="83"/>
      <c r="I662" s="83"/>
      <c r="J662" s="83"/>
      <c r="K662" s="234"/>
    </row>
    <row r="663" spans="1:11" s="202" customFormat="1" x14ac:dyDescent="0.25">
      <c r="A663" s="235" t="s">
        <v>1130</v>
      </c>
      <c r="B663" s="116"/>
      <c r="C663" s="116"/>
      <c r="D663" s="116"/>
      <c r="E663" s="116"/>
      <c r="F663" s="116"/>
      <c r="G663" s="116"/>
      <c r="H663" s="116"/>
      <c r="I663" s="116"/>
      <c r="J663" s="116"/>
      <c r="K663" s="236"/>
    </row>
    <row r="666" spans="1:11" x14ac:dyDescent="0.25">
      <c r="A666" s="6" t="s">
        <v>12</v>
      </c>
      <c r="B666" s="173" t="s">
        <v>246</v>
      </c>
    </row>
    <row r="667" spans="1:11" x14ac:dyDescent="0.25">
      <c r="A667" s="6" t="s">
        <v>14</v>
      </c>
      <c r="B667" s="7" t="s">
        <v>638</v>
      </c>
      <c r="C667" s="9" t="s">
        <v>15</v>
      </c>
    </row>
    <row r="668" spans="1:11" x14ac:dyDescent="0.25">
      <c r="A668" s="10" t="s">
        <v>16</v>
      </c>
      <c r="B668" s="154"/>
      <c r="C668" s="173">
        <v>2024</v>
      </c>
      <c r="D668" s="173">
        <v>2025</v>
      </c>
      <c r="E668" s="173">
        <v>2026</v>
      </c>
    </row>
    <row r="669" spans="1:11" x14ac:dyDescent="0.25">
      <c r="A669" s="10" t="s">
        <v>17</v>
      </c>
      <c r="B669" s="156"/>
      <c r="C669" s="175">
        <v>120</v>
      </c>
      <c r="D669" s="175">
        <v>120</v>
      </c>
      <c r="E669" s="175">
        <v>120</v>
      </c>
    </row>
    <row r="670" spans="1:11" x14ac:dyDescent="0.25">
      <c r="A670" s="10" t="s">
        <v>18</v>
      </c>
      <c r="B670" s="156"/>
      <c r="C670" s="175">
        <f>C669+1.49</f>
        <v>121.49</v>
      </c>
      <c r="D670" s="175">
        <f>D669+0.25*120</f>
        <v>150</v>
      </c>
      <c r="E670" s="175">
        <f>E669+0.25*120</f>
        <v>150</v>
      </c>
    </row>
    <row r="671" spans="1:11" x14ac:dyDescent="0.25">
      <c r="A671" s="10" t="s">
        <v>19</v>
      </c>
      <c r="B671" s="176"/>
      <c r="C671" s="176" t="s">
        <v>924</v>
      </c>
      <c r="D671" s="176" t="s">
        <v>1101</v>
      </c>
      <c r="E671" s="176" t="s">
        <v>1101</v>
      </c>
    </row>
    <row r="672" spans="1:11" x14ac:dyDescent="0.25">
      <c r="A672" s="10" t="s">
        <v>20</v>
      </c>
      <c r="B672" s="156"/>
      <c r="C672" s="175">
        <v>109.066</v>
      </c>
      <c r="D672" s="175"/>
      <c r="E672" s="175"/>
    </row>
    <row r="673" spans="1:13" x14ac:dyDescent="0.25">
      <c r="A673" s="10" t="s">
        <v>21</v>
      </c>
      <c r="B673" s="156"/>
      <c r="C673" s="175">
        <f>C670-C672</f>
        <v>12.423999999999992</v>
      </c>
      <c r="D673" s="175"/>
      <c r="E673" s="175"/>
    </row>
    <row r="674" spans="1:13" x14ac:dyDescent="0.25">
      <c r="A674" s="16" t="s">
        <v>22</v>
      </c>
      <c r="B674" s="159"/>
      <c r="C674" s="179">
        <v>2026</v>
      </c>
      <c r="D674" s="179">
        <v>2027</v>
      </c>
      <c r="E674" s="180">
        <v>2028</v>
      </c>
    </row>
    <row r="675" spans="1:13" x14ac:dyDescent="0.25">
      <c r="A675" s="18" t="s">
        <v>23</v>
      </c>
      <c r="B675" s="19"/>
      <c r="C675" s="19"/>
      <c r="D675" s="19"/>
      <c r="E675" s="63"/>
    </row>
    <row r="676" spans="1:13" x14ac:dyDescent="0.25">
      <c r="A676" s="161" t="s">
        <v>925</v>
      </c>
      <c r="B676" s="32"/>
      <c r="C676" s="32"/>
      <c r="D676" s="32"/>
      <c r="E676" s="244"/>
      <c r="F676" s="32"/>
    </row>
    <row r="677" spans="1:13" x14ac:dyDescent="0.25">
      <c r="A677" s="161" t="s">
        <v>1102</v>
      </c>
      <c r="B677" s="32"/>
      <c r="C677" s="32"/>
      <c r="D677" s="32"/>
      <c r="E677" s="244"/>
      <c r="F677" s="32"/>
    </row>
    <row r="678" spans="1:13" x14ac:dyDescent="0.25">
      <c r="A678" s="162" t="s">
        <v>1261</v>
      </c>
      <c r="B678" s="22"/>
      <c r="C678" s="22"/>
      <c r="D678" s="22"/>
      <c r="E678" s="246"/>
      <c r="F678" s="32"/>
    </row>
    <row r="680" spans="1:13" x14ac:dyDescent="0.25">
      <c r="A680" s="98" t="s">
        <v>14</v>
      </c>
      <c r="B680" s="66" t="s">
        <v>623</v>
      </c>
      <c r="C680" s="66" t="s">
        <v>152</v>
      </c>
      <c r="D680" s="8"/>
      <c r="E680" s="8"/>
      <c r="F680" s="8"/>
      <c r="G680" s="8"/>
    </row>
    <row r="681" spans="1:13" x14ac:dyDescent="0.25">
      <c r="A681" s="95" t="s">
        <v>16</v>
      </c>
      <c r="B681" s="247"/>
      <c r="C681" s="248">
        <v>2015</v>
      </c>
      <c r="D681" s="248">
        <v>2016</v>
      </c>
      <c r="E681" s="248" t="s">
        <v>242</v>
      </c>
      <c r="F681" s="248" t="s">
        <v>243</v>
      </c>
      <c r="G681" s="248" t="s">
        <v>244</v>
      </c>
      <c r="H681" s="248" t="s">
        <v>286</v>
      </c>
      <c r="I681" s="248" t="s">
        <v>504</v>
      </c>
      <c r="J681" s="248" t="s">
        <v>674</v>
      </c>
      <c r="K681" s="248" t="s">
        <v>823</v>
      </c>
      <c r="L681" s="249" t="s">
        <v>1043</v>
      </c>
      <c r="M681" s="249" t="s">
        <v>1251</v>
      </c>
    </row>
    <row r="682" spans="1:13" x14ac:dyDescent="0.25">
      <c r="A682" s="68" t="s">
        <v>17</v>
      </c>
      <c r="B682" s="69"/>
      <c r="C682" s="72">
        <v>50</v>
      </c>
      <c r="D682" s="72">
        <v>50</v>
      </c>
      <c r="E682" s="72">
        <v>50</v>
      </c>
      <c r="F682" s="72">
        <v>50</v>
      </c>
      <c r="G682" s="72">
        <v>50</v>
      </c>
      <c r="H682" s="72">
        <v>50</v>
      </c>
      <c r="I682" s="72">
        <v>50</v>
      </c>
      <c r="J682" s="72">
        <v>50</v>
      </c>
      <c r="K682" s="72">
        <v>50</v>
      </c>
      <c r="L682" s="90">
        <v>50</v>
      </c>
      <c r="M682" s="90">
        <v>50</v>
      </c>
    </row>
    <row r="683" spans="1:13" x14ac:dyDescent="0.25">
      <c r="A683" s="68" t="s">
        <v>18</v>
      </c>
      <c r="B683" s="250"/>
      <c r="C683" s="72">
        <v>75</v>
      </c>
      <c r="D683" s="72">
        <v>75</v>
      </c>
      <c r="E683" s="72">
        <v>75</v>
      </c>
      <c r="F683" s="72">
        <v>70</v>
      </c>
      <c r="G683" s="72">
        <v>70</v>
      </c>
      <c r="H683" s="72">
        <f>H682+F686</f>
        <v>62.6</v>
      </c>
      <c r="I683" s="72">
        <v>70</v>
      </c>
      <c r="J683" s="72">
        <v>70</v>
      </c>
      <c r="K683" s="72">
        <v>70</v>
      </c>
      <c r="L683" s="90">
        <v>70</v>
      </c>
      <c r="M683" s="90">
        <v>70</v>
      </c>
    </row>
    <row r="684" spans="1:13" x14ac:dyDescent="0.25">
      <c r="A684" s="68" t="s">
        <v>19</v>
      </c>
      <c r="B684" s="251"/>
      <c r="C684" s="252" t="s">
        <v>141</v>
      </c>
      <c r="D684" s="252" t="s">
        <v>141</v>
      </c>
      <c r="E684" s="252" t="s">
        <v>141</v>
      </c>
      <c r="F684" s="253" t="s">
        <v>245</v>
      </c>
      <c r="G684" s="253" t="s">
        <v>245</v>
      </c>
      <c r="H684" s="252" t="s">
        <v>329</v>
      </c>
      <c r="I684" s="252" t="s">
        <v>586</v>
      </c>
      <c r="J684" s="252" t="s">
        <v>881</v>
      </c>
      <c r="K684" s="252" t="s">
        <v>882</v>
      </c>
      <c r="L684" s="90" t="s">
        <v>1168</v>
      </c>
      <c r="M684" s="90" t="s">
        <v>1252</v>
      </c>
    </row>
    <row r="685" spans="1:13" x14ac:dyDescent="0.25">
      <c r="A685" s="68" t="s">
        <v>20</v>
      </c>
      <c r="B685" s="69"/>
      <c r="C685" s="72">
        <v>0</v>
      </c>
      <c r="D685" s="72">
        <v>27.449000000000002</v>
      </c>
      <c r="E685" s="72">
        <v>21.13</v>
      </c>
      <c r="F685" s="72">
        <v>57.4</v>
      </c>
      <c r="G685" s="72">
        <v>21.8</v>
      </c>
      <c r="H685" s="72">
        <v>27.576000000000001</v>
      </c>
      <c r="I685" s="72">
        <v>0</v>
      </c>
      <c r="J685" s="72">
        <v>0</v>
      </c>
      <c r="K685" s="72">
        <v>2.0099999999999998</v>
      </c>
      <c r="L685" s="90">
        <v>1.78</v>
      </c>
      <c r="M685" s="90"/>
    </row>
    <row r="686" spans="1:13" x14ac:dyDescent="0.25">
      <c r="A686" s="68" t="s">
        <v>21</v>
      </c>
      <c r="B686" s="69"/>
      <c r="C686" s="72">
        <v>75</v>
      </c>
      <c r="D686" s="72">
        <f t="shared" ref="D686:I686" si="30">D683-D685</f>
        <v>47.551000000000002</v>
      </c>
      <c r="E686" s="72">
        <f t="shared" si="30"/>
        <v>53.870000000000005</v>
      </c>
      <c r="F686" s="72">
        <f t="shared" si="30"/>
        <v>12.600000000000001</v>
      </c>
      <c r="G686" s="72">
        <f t="shared" si="30"/>
        <v>48.2</v>
      </c>
      <c r="H686" s="72">
        <f t="shared" si="30"/>
        <v>35.024000000000001</v>
      </c>
      <c r="I686" s="72">
        <f t="shared" si="30"/>
        <v>70</v>
      </c>
      <c r="J686" s="72">
        <f>J683-J685</f>
        <v>70</v>
      </c>
      <c r="K686" s="72">
        <f>K683-K685</f>
        <v>67.989999999999995</v>
      </c>
      <c r="L686" s="72">
        <f>L683-L685</f>
        <v>68.22</v>
      </c>
      <c r="M686" s="72">
        <f>M683-M685</f>
        <v>70</v>
      </c>
    </row>
    <row r="687" spans="1:13" x14ac:dyDescent="0.25">
      <c r="A687" s="73" t="s">
        <v>22</v>
      </c>
      <c r="B687" s="74"/>
      <c r="C687" s="254">
        <v>2017</v>
      </c>
      <c r="D687" s="254">
        <v>2018</v>
      </c>
      <c r="E687" s="254">
        <v>2019</v>
      </c>
      <c r="F687" s="254">
        <v>2020</v>
      </c>
      <c r="G687" s="254">
        <v>2021</v>
      </c>
      <c r="H687" s="254">
        <v>2022</v>
      </c>
      <c r="I687" s="254">
        <v>2023</v>
      </c>
      <c r="J687" s="254">
        <v>2024</v>
      </c>
      <c r="K687" s="254">
        <v>2025</v>
      </c>
      <c r="L687" s="249">
        <v>2026</v>
      </c>
      <c r="M687" s="249">
        <v>2027</v>
      </c>
    </row>
    <row r="688" spans="1:13" x14ac:dyDescent="0.25">
      <c r="A688" s="92" t="s">
        <v>502</v>
      </c>
      <c r="B688" s="93"/>
      <c r="C688" s="255"/>
      <c r="D688" s="255"/>
      <c r="E688" s="255"/>
      <c r="F688" s="255"/>
      <c r="G688" s="255"/>
      <c r="H688" s="255"/>
      <c r="I688" s="255"/>
      <c r="J688" s="255"/>
      <c r="K688" s="255"/>
      <c r="L688" s="63"/>
    </row>
    <row r="689" spans="1:13" x14ac:dyDescent="0.25">
      <c r="A689" s="256" t="s">
        <v>883</v>
      </c>
      <c r="B689" s="257"/>
      <c r="C689" s="257"/>
      <c r="D689" s="257"/>
      <c r="E689" s="257"/>
      <c r="F689" s="257"/>
      <c r="G689" s="257"/>
      <c r="H689" s="257"/>
      <c r="I689" s="257"/>
      <c r="J689" s="257"/>
      <c r="K689" s="257"/>
      <c r="L689" s="48"/>
    </row>
    <row r="690" spans="1:13" x14ac:dyDescent="0.25">
      <c r="A690" s="138"/>
      <c r="B690" s="138"/>
      <c r="C690" s="138"/>
      <c r="D690" s="138"/>
      <c r="E690" s="138"/>
      <c r="F690" s="138"/>
      <c r="G690" s="138"/>
    </row>
    <row r="691" spans="1:13" x14ac:dyDescent="0.25">
      <c r="A691" s="98" t="s">
        <v>14</v>
      </c>
      <c r="B691" s="66" t="s">
        <v>641</v>
      </c>
      <c r="C691" s="66" t="s">
        <v>152</v>
      </c>
      <c r="D691" s="8"/>
      <c r="E691" s="8"/>
      <c r="F691" s="8"/>
      <c r="G691" s="8"/>
    </row>
    <row r="692" spans="1:13" x14ac:dyDescent="0.25">
      <c r="A692" s="95" t="s">
        <v>16</v>
      </c>
      <c r="B692" s="247"/>
      <c r="C692" s="248">
        <v>2015</v>
      </c>
      <c r="D692" s="248">
        <v>2016</v>
      </c>
      <c r="E692" s="248" t="s">
        <v>242</v>
      </c>
      <c r="F692" s="248" t="s">
        <v>243</v>
      </c>
      <c r="G692" s="248" t="s">
        <v>244</v>
      </c>
      <c r="H692" s="248" t="s">
        <v>286</v>
      </c>
      <c r="I692" s="248" t="s">
        <v>504</v>
      </c>
      <c r="J692" s="248" t="s">
        <v>674</v>
      </c>
      <c r="K692" s="248" t="s">
        <v>823</v>
      </c>
      <c r="L692" s="249" t="s">
        <v>1043</v>
      </c>
      <c r="M692" s="249" t="s">
        <v>1251</v>
      </c>
    </row>
    <row r="693" spans="1:13" x14ac:dyDescent="0.25">
      <c r="A693" s="68" t="s">
        <v>17</v>
      </c>
      <c r="B693" s="69"/>
      <c r="C693" s="72">
        <v>125</v>
      </c>
      <c r="D693" s="72">
        <v>125</v>
      </c>
      <c r="E693" s="72">
        <v>125</v>
      </c>
      <c r="F693" s="72">
        <v>125</v>
      </c>
      <c r="G693" s="72">
        <v>125</v>
      </c>
      <c r="H693" s="72">
        <v>125</v>
      </c>
      <c r="I693" s="72">
        <v>125</v>
      </c>
      <c r="J693" s="72">
        <v>125</v>
      </c>
      <c r="K693" s="72">
        <v>125</v>
      </c>
      <c r="L693" s="90">
        <v>125</v>
      </c>
      <c r="M693" s="90">
        <v>125</v>
      </c>
    </row>
    <row r="694" spans="1:13" x14ac:dyDescent="0.25">
      <c r="A694" s="68" t="s">
        <v>18</v>
      </c>
      <c r="B694" s="250"/>
      <c r="C694" s="72">
        <f>C693*1.3</f>
        <v>162.5</v>
      </c>
      <c r="D694" s="72">
        <f>D693*1.3+25</f>
        <v>187.5</v>
      </c>
      <c r="E694" s="72">
        <f>E693*1.3+25</f>
        <v>187.5</v>
      </c>
      <c r="F694" s="72">
        <f>F693*1.2+25</f>
        <v>175</v>
      </c>
      <c r="G694" s="72">
        <f>G693*1.2+25</f>
        <v>175</v>
      </c>
      <c r="H694" s="72">
        <f>H693*1.2+25</f>
        <v>175</v>
      </c>
      <c r="I694" s="72">
        <v>150</v>
      </c>
      <c r="J694" s="72">
        <v>150</v>
      </c>
      <c r="K694" s="72">
        <v>150</v>
      </c>
      <c r="L694" s="90">
        <v>150</v>
      </c>
      <c r="M694" s="90">
        <v>150</v>
      </c>
    </row>
    <row r="695" spans="1:13" x14ac:dyDescent="0.25">
      <c r="A695" s="68" t="s">
        <v>19</v>
      </c>
      <c r="B695" s="251"/>
      <c r="C695" s="252" t="s">
        <v>333</v>
      </c>
      <c r="D695" s="252" t="s">
        <v>334</v>
      </c>
      <c r="E695" s="252" t="s">
        <v>334</v>
      </c>
      <c r="F695" s="252" t="s">
        <v>335</v>
      </c>
      <c r="G695" s="252" t="s">
        <v>335</v>
      </c>
      <c r="H695" s="252" t="s">
        <v>335</v>
      </c>
      <c r="I695" s="252" t="s">
        <v>587</v>
      </c>
      <c r="J695" s="252" t="s">
        <v>587</v>
      </c>
      <c r="K695" s="252" t="s">
        <v>587</v>
      </c>
      <c r="L695" s="90" t="s">
        <v>587</v>
      </c>
      <c r="M695" s="90" t="s">
        <v>587</v>
      </c>
    </row>
    <row r="696" spans="1:13" x14ac:dyDescent="0.25">
      <c r="A696" s="68" t="s">
        <v>20</v>
      </c>
      <c r="B696" s="69"/>
      <c r="C696" s="72">
        <v>41.9</v>
      </c>
      <c r="D696" s="72">
        <v>25.21</v>
      </c>
      <c r="E696" s="72">
        <v>16.8</v>
      </c>
      <c r="F696" s="72">
        <v>46.8</v>
      </c>
      <c r="G696" s="72">
        <v>101.46</v>
      </c>
      <c r="H696" s="72">
        <v>17.2</v>
      </c>
      <c r="I696" s="72">
        <v>0</v>
      </c>
      <c r="J696" s="72">
        <v>23.78</v>
      </c>
      <c r="K696" s="72">
        <v>2.4434</v>
      </c>
      <c r="L696" s="90">
        <v>65.12</v>
      </c>
      <c r="M696" s="90"/>
    </row>
    <row r="697" spans="1:13" x14ac:dyDescent="0.25">
      <c r="A697" s="68" t="s">
        <v>21</v>
      </c>
      <c r="B697" s="69"/>
      <c r="C697" s="72">
        <f t="shared" ref="C697:J697" si="31">C694-C696</f>
        <v>120.6</v>
      </c>
      <c r="D697" s="72">
        <f t="shared" si="31"/>
        <v>162.29</v>
      </c>
      <c r="E697" s="72">
        <f t="shared" si="31"/>
        <v>170.7</v>
      </c>
      <c r="F697" s="72">
        <f t="shared" si="31"/>
        <v>128.19999999999999</v>
      </c>
      <c r="G697" s="72">
        <f t="shared" si="31"/>
        <v>73.540000000000006</v>
      </c>
      <c r="H697" s="72">
        <f t="shared" si="31"/>
        <v>157.80000000000001</v>
      </c>
      <c r="I697" s="72">
        <f t="shared" si="31"/>
        <v>150</v>
      </c>
      <c r="J697" s="72">
        <f t="shared" si="31"/>
        <v>126.22</v>
      </c>
      <c r="K697" s="72">
        <f>K694-K696</f>
        <v>147.5566</v>
      </c>
      <c r="L697" s="72">
        <f>L694-L696</f>
        <v>84.88</v>
      </c>
      <c r="M697" s="72">
        <f t="shared" ref="M697" si="32">M694-M696</f>
        <v>150</v>
      </c>
    </row>
    <row r="698" spans="1:13" x14ac:dyDescent="0.25">
      <c r="A698" s="601" t="s">
        <v>22</v>
      </c>
      <c r="B698" s="129"/>
      <c r="C698" s="673">
        <v>2017</v>
      </c>
      <c r="D698" s="673">
        <v>2018</v>
      </c>
      <c r="E698" s="673">
        <v>2019</v>
      </c>
      <c r="F698" s="673">
        <v>2020</v>
      </c>
      <c r="G698" s="673">
        <v>2021</v>
      </c>
      <c r="H698" s="673">
        <v>2022</v>
      </c>
      <c r="I698" s="673">
        <v>2023</v>
      </c>
      <c r="J698" s="673">
        <v>2024</v>
      </c>
      <c r="K698" s="673">
        <v>2025</v>
      </c>
      <c r="L698" s="249">
        <v>2026</v>
      </c>
      <c r="M698" s="249">
        <v>2027</v>
      </c>
    </row>
    <row r="699" spans="1:13" ht="12.75" customHeight="1" x14ac:dyDescent="0.25">
      <c r="A699" s="94" t="s">
        <v>331</v>
      </c>
      <c r="B699" s="119"/>
      <c r="C699" s="119"/>
      <c r="D699" s="119"/>
      <c r="E699" s="119"/>
      <c r="F699" s="119"/>
      <c r="G699" s="119"/>
      <c r="H699" s="119"/>
      <c r="M699" s="64"/>
    </row>
    <row r="700" spans="1:13" x14ac:dyDescent="0.25">
      <c r="A700" s="109" t="s">
        <v>332</v>
      </c>
      <c r="B700" s="138"/>
      <c r="C700" s="138"/>
      <c r="D700" s="138"/>
      <c r="E700" s="138"/>
      <c r="F700" s="138"/>
      <c r="G700" s="138"/>
      <c r="M700" s="64"/>
    </row>
    <row r="701" spans="1:13" ht="13.2" customHeight="1" x14ac:dyDescent="0.25">
      <c r="A701" s="110" t="s">
        <v>330</v>
      </c>
      <c r="B701" s="259"/>
      <c r="C701" s="259"/>
      <c r="D701" s="259"/>
      <c r="E701" s="259"/>
      <c r="F701" s="259"/>
      <c r="G701" s="259"/>
      <c r="H701" s="34"/>
      <c r="I701" s="34"/>
      <c r="J701" s="34"/>
      <c r="K701" s="34"/>
      <c r="L701" s="34"/>
      <c r="M701" s="48"/>
    </row>
    <row r="702" spans="1:13" x14ac:dyDescent="0.25">
      <c r="A702" s="138"/>
      <c r="B702" s="138"/>
      <c r="C702" s="138"/>
      <c r="D702" s="138"/>
      <c r="E702" s="138"/>
      <c r="F702" s="138"/>
      <c r="G702" s="138"/>
    </row>
    <row r="703" spans="1:13" x14ac:dyDescent="0.25">
      <c r="A703" s="138"/>
      <c r="B703" s="138"/>
      <c r="C703" s="138"/>
      <c r="D703" s="138"/>
      <c r="E703" s="138"/>
      <c r="F703" s="138"/>
      <c r="G703" s="138"/>
    </row>
    <row r="704" spans="1:13" x14ac:dyDescent="0.25">
      <c r="A704" s="6" t="s">
        <v>12</v>
      </c>
      <c r="B704" s="173" t="s">
        <v>603</v>
      </c>
    </row>
    <row r="705" spans="1:16" x14ac:dyDescent="0.25">
      <c r="A705" s="260" t="s">
        <v>14</v>
      </c>
      <c r="B705" s="261" t="s">
        <v>74</v>
      </c>
      <c r="C705" s="262" t="s">
        <v>152</v>
      </c>
      <c r="D705" s="8"/>
      <c r="E705" s="8"/>
      <c r="F705" s="8"/>
      <c r="G705" s="8"/>
    </row>
    <row r="706" spans="1:16" x14ac:dyDescent="0.25">
      <c r="A706" s="68" t="s">
        <v>16</v>
      </c>
      <c r="B706" s="263">
        <v>2016</v>
      </c>
      <c r="C706" s="263">
        <v>2017</v>
      </c>
      <c r="D706" s="263">
        <v>2018</v>
      </c>
      <c r="E706" s="263">
        <v>2019</v>
      </c>
      <c r="F706" s="263">
        <v>2020</v>
      </c>
      <c r="G706" s="263">
        <v>2021</v>
      </c>
      <c r="H706" s="263">
        <v>2022</v>
      </c>
      <c r="I706" s="263">
        <v>2023</v>
      </c>
      <c r="J706" s="263">
        <v>2024</v>
      </c>
      <c r="K706" s="263">
        <v>2025</v>
      </c>
      <c r="L706" s="263">
        <v>2026</v>
      </c>
      <c r="M706" s="263">
        <v>2027</v>
      </c>
      <c r="N706" s="263">
        <v>2028</v>
      </c>
      <c r="O706" s="263">
        <v>2029</v>
      </c>
      <c r="P706" s="263">
        <v>2030</v>
      </c>
    </row>
    <row r="707" spans="1:16" x14ac:dyDescent="0.25">
      <c r="A707" s="68" t="s">
        <v>17</v>
      </c>
      <c r="B707" s="72">
        <v>10</v>
      </c>
      <c r="C707" s="72">
        <v>10</v>
      </c>
      <c r="D707" s="72">
        <v>10</v>
      </c>
      <c r="E707" s="72">
        <v>10</v>
      </c>
      <c r="F707" s="72">
        <v>10</v>
      </c>
      <c r="G707" s="72">
        <v>10</v>
      </c>
      <c r="H707" s="72">
        <v>10</v>
      </c>
      <c r="I707" s="72">
        <v>10</v>
      </c>
      <c r="J707" s="72">
        <v>10</v>
      </c>
      <c r="K707" s="72">
        <v>10</v>
      </c>
      <c r="L707" s="72">
        <v>10</v>
      </c>
      <c r="M707" s="72">
        <v>10</v>
      </c>
      <c r="N707" s="72">
        <v>10</v>
      </c>
      <c r="O707" s="72">
        <v>10</v>
      </c>
      <c r="P707" s="72">
        <v>10</v>
      </c>
    </row>
    <row r="708" spans="1:16" x14ac:dyDescent="0.25">
      <c r="A708" s="68" t="s">
        <v>18</v>
      </c>
      <c r="B708" s="72"/>
      <c r="C708" s="72"/>
      <c r="D708" s="72">
        <f>C711+D707</f>
        <v>-28</v>
      </c>
      <c r="E708" s="72">
        <f>D711+E707</f>
        <v>-20.3</v>
      </c>
      <c r="F708" s="72">
        <f>E711+F707</f>
        <v>-30.6</v>
      </c>
      <c r="G708" s="72">
        <f>F711+G707</f>
        <v>-20.6</v>
      </c>
      <c r="H708" s="72">
        <f>-2.53+H707</f>
        <v>7.4700000000000006</v>
      </c>
      <c r="I708" s="72">
        <f>-2.5+I707</f>
        <v>7.5</v>
      </c>
      <c r="J708" s="72">
        <f t="shared" ref="J708:P708" si="33">-2.5+J707</f>
        <v>7.5</v>
      </c>
      <c r="K708" s="72">
        <f t="shared" si="33"/>
        <v>7.5</v>
      </c>
      <c r="L708" s="72">
        <f t="shared" si="33"/>
        <v>7.5</v>
      </c>
      <c r="M708" s="72">
        <f t="shared" si="33"/>
        <v>7.5</v>
      </c>
      <c r="N708" s="72">
        <f t="shared" si="33"/>
        <v>7.5</v>
      </c>
      <c r="O708" s="72">
        <f t="shared" si="33"/>
        <v>7.5</v>
      </c>
      <c r="P708" s="72">
        <f t="shared" si="33"/>
        <v>7.5</v>
      </c>
    </row>
    <row r="709" spans="1:16" x14ac:dyDescent="0.25">
      <c r="A709" s="68" t="s">
        <v>19</v>
      </c>
      <c r="B709" s="264"/>
      <c r="C709" s="264"/>
      <c r="D709" s="264"/>
      <c r="E709" s="264"/>
      <c r="F709" s="264"/>
      <c r="G709" s="264"/>
      <c r="H709" s="265" t="s">
        <v>543</v>
      </c>
      <c r="I709" s="265" t="s">
        <v>543</v>
      </c>
      <c r="J709" s="265" t="s">
        <v>543</v>
      </c>
      <c r="K709" s="265" t="s">
        <v>543</v>
      </c>
      <c r="L709" s="265" t="s">
        <v>543</v>
      </c>
      <c r="M709" s="265" t="s">
        <v>543</v>
      </c>
      <c r="N709" s="265" t="s">
        <v>543</v>
      </c>
      <c r="O709" s="265" t="s">
        <v>543</v>
      </c>
      <c r="P709" s="265" t="s">
        <v>543</v>
      </c>
    </row>
    <row r="710" spans="1:16" x14ac:dyDescent="0.25">
      <c r="A710" s="68" t="s">
        <v>20</v>
      </c>
      <c r="B710" s="72">
        <v>0</v>
      </c>
      <c r="C710" s="72">
        <v>48</v>
      </c>
      <c r="D710" s="72">
        <v>2.2999999999999998</v>
      </c>
      <c r="E710" s="72">
        <v>20.3</v>
      </c>
      <c r="F710" s="72">
        <v>0</v>
      </c>
      <c r="G710" s="72">
        <v>1.9330000000000001</v>
      </c>
      <c r="H710" s="72">
        <v>6.29</v>
      </c>
      <c r="I710" s="72">
        <v>0.80700000000000005</v>
      </c>
      <c r="J710" s="72">
        <v>0</v>
      </c>
      <c r="K710" s="72"/>
      <c r="L710" s="72"/>
      <c r="M710" s="72"/>
      <c r="N710" s="72"/>
      <c r="O710" s="72"/>
      <c r="P710" s="72"/>
    </row>
    <row r="711" spans="1:16" x14ac:dyDescent="0.25">
      <c r="A711" s="68" t="s">
        <v>21</v>
      </c>
      <c r="B711" s="72">
        <f>B707-B710</f>
        <v>10</v>
      </c>
      <c r="C711" s="72">
        <f>C707-C710</f>
        <v>-38</v>
      </c>
      <c r="D711" s="72">
        <f t="shared" ref="D711:J711" si="34">D708-D710</f>
        <v>-30.3</v>
      </c>
      <c r="E711" s="72">
        <f t="shared" si="34"/>
        <v>-40.6</v>
      </c>
      <c r="F711" s="72">
        <f t="shared" si="34"/>
        <v>-30.6</v>
      </c>
      <c r="G711" s="72">
        <f t="shared" si="34"/>
        <v>-22.533000000000001</v>
      </c>
      <c r="H711" s="72">
        <f t="shared" si="34"/>
        <v>1.1800000000000006</v>
      </c>
      <c r="I711" s="72">
        <f t="shared" si="34"/>
        <v>6.6929999999999996</v>
      </c>
      <c r="J711" s="72">
        <f t="shared" si="34"/>
        <v>7.5</v>
      </c>
      <c r="K711" s="72"/>
      <c r="L711" s="72"/>
      <c r="M711" s="72"/>
      <c r="N711" s="72"/>
      <c r="O711" s="72"/>
      <c r="P711" s="72"/>
    </row>
    <row r="712" spans="1:16" x14ac:dyDescent="0.25">
      <c r="A712" s="73" t="s">
        <v>22</v>
      </c>
      <c r="B712" s="74">
        <v>2017</v>
      </c>
      <c r="C712" s="74">
        <v>2018</v>
      </c>
      <c r="D712" s="74">
        <v>2019</v>
      </c>
      <c r="E712" s="74">
        <v>2020</v>
      </c>
      <c r="F712" s="74">
        <v>2021</v>
      </c>
      <c r="G712" s="74">
        <v>2022</v>
      </c>
      <c r="H712" s="74">
        <v>2023</v>
      </c>
      <c r="I712" s="74">
        <v>2024</v>
      </c>
      <c r="J712" s="74">
        <v>2025</v>
      </c>
      <c r="K712" s="74">
        <v>2026</v>
      </c>
      <c r="L712" s="74">
        <v>2027</v>
      </c>
      <c r="M712" s="74">
        <v>2028</v>
      </c>
      <c r="N712" s="74">
        <v>2029</v>
      </c>
      <c r="O712" s="74">
        <v>2030</v>
      </c>
      <c r="P712" s="74">
        <v>2031</v>
      </c>
    </row>
    <row r="713" spans="1:16" x14ac:dyDescent="0.25">
      <c r="A713" s="73" t="s">
        <v>429</v>
      </c>
      <c r="B713" s="75"/>
      <c r="C713" s="75"/>
      <c r="D713" s="75"/>
      <c r="E713" s="75"/>
      <c r="F713" s="75"/>
      <c r="G713" s="75"/>
      <c r="H713" s="75"/>
      <c r="I713" s="46"/>
      <c r="J713" s="46"/>
      <c r="K713" s="46"/>
      <c r="L713" s="46"/>
      <c r="M713" s="46"/>
      <c r="N713" s="46"/>
      <c r="O713" s="46"/>
      <c r="P713" s="47"/>
    </row>
    <row r="714" spans="1:16" x14ac:dyDescent="0.25">
      <c r="A714" s="698" t="s">
        <v>932</v>
      </c>
      <c r="B714" s="699"/>
      <c r="C714" s="699"/>
      <c r="D714" s="699"/>
      <c r="E714" s="699"/>
      <c r="F714" s="699"/>
      <c r="G714" s="699"/>
      <c r="H714" s="699"/>
      <c r="I714" s="34"/>
      <c r="J714" s="34"/>
      <c r="K714" s="34"/>
      <c r="L714" s="34"/>
      <c r="M714" s="34"/>
      <c r="N714" s="34"/>
      <c r="O714" s="34"/>
      <c r="P714" s="48"/>
    </row>
    <row r="716" spans="1:16" x14ac:dyDescent="0.25">
      <c r="A716" s="138"/>
      <c r="B716" s="138"/>
      <c r="C716" s="138"/>
      <c r="D716" s="138"/>
      <c r="E716" s="138"/>
      <c r="F716" s="138"/>
      <c r="G716" s="138"/>
    </row>
    <row r="717" spans="1:16" x14ac:dyDescent="0.25">
      <c r="A717" s="6" t="s">
        <v>12</v>
      </c>
      <c r="B717" s="173" t="s">
        <v>706</v>
      </c>
    </row>
    <row r="718" spans="1:16" x14ac:dyDescent="0.25">
      <c r="A718" s="103" t="s">
        <v>14</v>
      </c>
      <c r="B718" s="104" t="s">
        <v>1014</v>
      </c>
      <c r="C718" s="66" t="s">
        <v>152</v>
      </c>
      <c r="D718" s="8"/>
      <c r="E718" s="8"/>
      <c r="F718" s="8"/>
      <c r="G718" s="8"/>
    </row>
    <row r="719" spans="1:16" x14ac:dyDescent="0.25">
      <c r="A719" s="95" t="s">
        <v>16</v>
      </c>
      <c r="B719" s="263"/>
      <c r="C719" s="263">
        <v>2022</v>
      </c>
      <c r="D719" s="263">
        <v>2023</v>
      </c>
      <c r="E719" s="263">
        <v>2024</v>
      </c>
      <c r="F719" s="90">
        <v>2025</v>
      </c>
    </row>
    <row r="720" spans="1:16" x14ac:dyDescent="0.25">
      <c r="A720" s="68" t="s">
        <v>17</v>
      </c>
      <c r="B720" s="72"/>
      <c r="C720" s="72">
        <v>177.27</v>
      </c>
      <c r="D720" s="72">
        <v>150.27000000000001</v>
      </c>
      <c r="E720" s="72">
        <v>150.27000000000001</v>
      </c>
      <c r="F720" s="90">
        <v>150.27000000000001</v>
      </c>
    </row>
    <row r="721" spans="1:8" x14ac:dyDescent="0.25">
      <c r="A721" s="68" t="s">
        <v>18</v>
      </c>
      <c r="B721" s="72"/>
      <c r="C721" s="72"/>
      <c r="D721" s="72"/>
      <c r="E721" s="72">
        <f>E720+D724</f>
        <v>136.54000000000002</v>
      </c>
      <c r="F721" s="130">
        <f>F720+E724</f>
        <v>141.54000000000002</v>
      </c>
    </row>
    <row r="722" spans="1:8" x14ac:dyDescent="0.25">
      <c r="A722" s="68" t="s">
        <v>19</v>
      </c>
      <c r="B722" s="264"/>
      <c r="C722" s="264"/>
      <c r="D722" s="264"/>
      <c r="E722" s="265" t="s">
        <v>543</v>
      </c>
      <c r="F722" s="90"/>
    </row>
    <row r="723" spans="1:8" x14ac:dyDescent="0.25">
      <c r="A723" s="68" t="s">
        <v>20</v>
      </c>
      <c r="B723" s="72"/>
      <c r="C723" s="72">
        <v>177</v>
      </c>
      <c r="D723" s="72">
        <v>164</v>
      </c>
      <c r="E723" s="72">
        <v>159</v>
      </c>
      <c r="F723" s="90"/>
    </row>
    <row r="724" spans="1:8" x14ac:dyDescent="0.25">
      <c r="A724" s="68" t="s">
        <v>21</v>
      </c>
      <c r="B724" s="72"/>
      <c r="C724" s="72">
        <f>C720-C723</f>
        <v>0.27000000000001023</v>
      </c>
      <c r="D724" s="72">
        <f>D720-D723</f>
        <v>-13.72999999999999</v>
      </c>
      <c r="E724" s="266">
        <f>E720-E723</f>
        <v>-8.7299999999999898</v>
      </c>
      <c r="F724" s="90"/>
    </row>
    <row r="725" spans="1:8" x14ac:dyDescent="0.25">
      <c r="A725" s="73" t="s">
        <v>22</v>
      </c>
      <c r="B725" s="74"/>
      <c r="C725" s="74"/>
      <c r="D725" s="74">
        <v>2024</v>
      </c>
      <c r="E725" s="74">
        <v>2025</v>
      </c>
      <c r="F725" s="90">
        <v>2026</v>
      </c>
    </row>
    <row r="726" spans="1:8" ht="13.2" customHeight="1" x14ac:dyDescent="0.25">
      <c r="A726" s="267" t="s">
        <v>23</v>
      </c>
      <c r="B726" s="267"/>
      <c r="C726" s="267"/>
      <c r="D726" s="267"/>
      <c r="E726" s="267"/>
      <c r="F726" s="90"/>
    </row>
    <row r="727" spans="1:8" ht="13.2" customHeight="1" x14ac:dyDescent="0.25">
      <c r="A727" s="92" t="s">
        <v>1015</v>
      </c>
      <c r="B727" s="258"/>
      <c r="C727" s="258"/>
      <c r="D727" s="258"/>
      <c r="E727" s="258"/>
      <c r="F727" s="63"/>
    </row>
    <row r="728" spans="1:8" x14ac:dyDescent="0.25">
      <c r="A728" s="110"/>
      <c r="B728" s="259"/>
      <c r="C728" s="259"/>
      <c r="D728" s="259"/>
      <c r="E728" s="122"/>
      <c r="F728" s="268"/>
      <c r="G728" s="119"/>
      <c r="H728" s="119"/>
    </row>
    <row r="729" spans="1:8" x14ac:dyDescent="0.25">
      <c r="A729" s="110"/>
      <c r="B729" s="259"/>
      <c r="C729" s="259"/>
      <c r="D729" s="138"/>
      <c r="E729" s="119"/>
      <c r="F729" s="119"/>
      <c r="G729" s="119"/>
      <c r="H729" s="119"/>
    </row>
    <row r="730" spans="1:8" x14ac:dyDescent="0.25">
      <c r="A730" s="103" t="s">
        <v>14</v>
      </c>
      <c r="B730" s="104" t="s">
        <v>642</v>
      </c>
      <c r="C730" s="66" t="s">
        <v>152</v>
      </c>
      <c r="D730" s="8"/>
      <c r="E730" s="8"/>
      <c r="F730" s="8"/>
      <c r="G730" s="8"/>
    </row>
    <row r="731" spans="1:8" x14ac:dyDescent="0.25">
      <c r="A731" s="95" t="s">
        <v>16</v>
      </c>
      <c r="B731" s="263"/>
      <c r="C731" s="263">
        <v>2021</v>
      </c>
      <c r="D731" s="263">
        <v>2022</v>
      </c>
      <c r="E731" s="263">
        <v>2023</v>
      </c>
      <c r="F731" s="263">
        <v>2024</v>
      </c>
      <c r="G731" s="263">
        <v>2025</v>
      </c>
    </row>
    <row r="732" spans="1:8" x14ac:dyDescent="0.25">
      <c r="A732" s="68" t="s">
        <v>17</v>
      </c>
      <c r="B732" s="72"/>
      <c r="C732" s="72">
        <v>330</v>
      </c>
      <c r="D732" s="72">
        <v>330</v>
      </c>
      <c r="E732" s="72">
        <v>513</v>
      </c>
      <c r="F732" s="72">
        <v>513</v>
      </c>
      <c r="G732" s="72">
        <v>513</v>
      </c>
    </row>
    <row r="733" spans="1:8" x14ac:dyDescent="0.25">
      <c r="A733" s="68" t="s">
        <v>18</v>
      </c>
      <c r="B733" s="72"/>
      <c r="C733" s="72"/>
      <c r="D733" s="72">
        <f>D732-259.62</f>
        <v>70.38</v>
      </c>
      <c r="E733" s="72">
        <f>E732-507.87</f>
        <v>5.1299999999999955</v>
      </c>
      <c r="F733" s="72">
        <f>F732-507.87</f>
        <v>5.1299999999999955</v>
      </c>
      <c r="G733" s="72">
        <f>G732+F736-5.325</f>
        <v>507.47999999999996</v>
      </c>
      <c r="H733" s="269"/>
    </row>
    <row r="734" spans="1:8" x14ac:dyDescent="0.25">
      <c r="A734" s="68" t="s">
        <v>19</v>
      </c>
      <c r="B734" s="264"/>
      <c r="C734" s="264"/>
      <c r="D734" s="264"/>
      <c r="E734" s="264"/>
      <c r="F734" s="264"/>
      <c r="G734" s="480"/>
    </row>
    <row r="735" spans="1:8" x14ac:dyDescent="0.25">
      <c r="A735" s="68" t="s">
        <v>20</v>
      </c>
      <c r="B735" s="72"/>
      <c r="C735" s="72">
        <v>327.60000000000002</v>
      </c>
      <c r="D735" s="72">
        <v>67.08</v>
      </c>
      <c r="E735" s="72">
        <v>0</v>
      </c>
      <c r="F735" s="72">
        <v>5.3250000000000002</v>
      </c>
      <c r="G735" s="72"/>
    </row>
    <row r="736" spans="1:8" x14ac:dyDescent="0.25">
      <c r="A736" s="68" t="s">
        <v>21</v>
      </c>
      <c r="B736" s="72"/>
      <c r="C736" s="72">
        <f>C732-C735</f>
        <v>2.3999999999999773</v>
      </c>
      <c r="D736" s="72">
        <f>D733-D735</f>
        <v>3.2999999999999972</v>
      </c>
      <c r="E736" s="72">
        <f>E733-E735</f>
        <v>5.1299999999999955</v>
      </c>
      <c r="F736" s="72">
        <f>F733-F735</f>
        <v>-0.19500000000000473</v>
      </c>
      <c r="G736" s="72"/>
    </row>
    <row r="737" spans="1:12" x14ac:dyDescent="0.25">
      <c r="A737" s="73" t="s">
        <v>22</v>
      </c>
      <c r="B737" s="74"/>
      <c r="C737" s="74"/>
      <c r="D737" s="74"/>
      <c r="E737" s="74"/>
      <c r="F737" s="74"/>
      <c r="G737" s="74"/>
    </row>
    <row r="738" spans="1:12" ht="13.2" customHeight="1" x14ac:dyDescent="0.25">
      <c r="A738" s="677" t="s">
        <v>23</v>
      </c>
      <c r="B738" s="678"/>
      <c r="C738" s="678"/>
      <c r="D738" s="678"/>
      <c r="E738" s="678"/>
      <c r="F738" s="678"/>
      <c r="G738" s="679"/>
      <c r="H738" s="119"/>
      <c r="I738" s="119"/>
      <c r="J738" s="119"/>
      <c r="K738" s="119"/>
      <c r="L738" s="119"/>
    </row>
    <row r="739" spans="1:12" x14ac:dyDescent="0.25">
      <c r="A739" s="680" t="s">
        <v>660</v>
      </c>
      <c r="B739" s="681"/>
      <c r="C739" s="681"/>
      <c r="D739" s="681"/>
      <c r="E739" s="678"/>
      <c r="F739" s="682"/>
      <c r="G739" s="683"/>
    </row>
    <row r="740" spans="1:12" ht="12.75" customHeight="1" x14ac:dyDescent="0.25">
      <c r="A740" s="94" t="s">
        <v>1013</v>
      </c>
      <c r="B740" s="8"/>
      <c r="C740" s="8"/>
      <c r="D740" s="8"/>
      <c r="E740" s="119"/>
      <c r="G740" s="64"/>
    </row>
    <row r="741" spans="1:12" ht="12.75" customHeight="1" x14ac:dyDescent="0.25">
      <c r="A741" s="94" t="s">
        <v>956</v>
      </c>
      <c r="B741" s="8"/>
      <c r="C741" s="8"/>
      <c r="D741" s="8"/>
      <c r="E741" s="119"/>
      <c r="G741" s="64"/>
    </row>
    <row r="742" spans="1:12" x14ac:dyDescent="0.25">
      <c r="A742" s="440" t="s">
        <v>1270</v>
      </c>
      <c r="B742" s="259"/>
      <c r="C742" s="259"/>
      <c r="D742" s="259"/>
      <c r="E742" s="122"/>
      <c r="F742" s="122"/>
      <c r="G742" s="268"/>
      <c r="H742" s="119"/>
    </row>
    <row r="743" spans="1:12" x14ac:dyDescent="0.25">
      <c r="A743" s="80"/>
      <c r="B743" s="138"/>
      <c r="C743" s="138"/>
      <c r="D743" s="138"/>
      <c r="E743" s="119"/>
      <c r="F743" s="119"/>
      <c r="G743" s="119"/>
      <c r="H743" s="119"/>
    </row>
    <row r="744" spans="1:12" x14ac:dyDescent="0.25">
      <c r="A744" s="648" t="s">
        <v>14</v>
      </c>
      <c r="B744" s="649" t="s">
        <v>1238</v>
      </c>
      <c r="C744" s="66" t="s">
        <v>152</v>
      </c>
      <c r="D744" s="138"/>
      <c r="E744" s="119"/>
      <c r="F744" s="119"/>
      <c r="G744" s="119"/>
      <c r="H744" s="119"/>
    </row>
    <row r="745" spans="1:12" x14ac:dyDescent="0.25">
      <c r="A745" s="95" t="s">
        <v>16</v>
      </c>
      <c r="B745" s="263"/>
      <c r="C745" s="263">
        <v>2022</v>
      </c>
      <c r="D745" s="263">
        <v>2023</v>
      </c>
      <c r="E745" s="263">
        <v>2024</v>
      </c>
      <c r="F745" s="263">
        <v>2025</v>
      </c>
    </row>
    <row r="746" spans="1:12" x14ac:dyDescent="0.25">
      <c r="A746" s="68" t="s">
        <v>17</v>
      </c>
      <c r="B746" s="72"/>
      <c r="C746" s="650"/>
      <c r="D746" s="650"/>
      <c r="E746" s="651"/>
      <c r="F746" s="651">
        <v>125</v>
      </c>
      <c r="G746" s="119"/>
      <c r="H746" s="119"/>
    </row>
    <row r="747" spans="1:12" x14ac:dyDescent="0.25">
      <c r="A747" s="68" t="s">
        <v>18</v>
      </c>
      <c r="B747" s="72"/>
      <c r="C747" s="650"/>
      <c r="D747" s="653">
        <f>C750</f>
        <v>-6.3249999999999993</v>
      </c>
      <c r="E747" s="653">
        <f t="shared" ref="E747:F747" si="35">D750</f>
        <v>-79.325000000000003</v>
      </c>
      <c r="F747" s="653">
        <f t="shared" si="35"/>
        <v>-159.64999999999998</v>
      </c>
      <c r="G747" s="119"/>
      <c r="H747" s="119"/>
    </row>
    <row r="748" spans="1:12" ht="26.4" x14ac:dyDescent="0.25">
      <c r="A748" s="68" t="s">
        <v>19</v>
      </c>
      <c r="B748" s="264"/>
      <c r="C748" s="650"/>
      <c r="D748" s="654" t="s">
        <v>1241</v>
      </c>
      <c r="E748" s="654" t="s">
        <v>1240</v>
      </c>
      <c r="F748" s="654" t="s">
        <v>1239</v>
      </c>
      <c r="G748" s="119"/>
      <c r="H748" s="119"/>
    </row>
    <row r="749" spans="1:12" x14ac:dyDescent="0.25">
      <c r="A749" s="68" t="s">
        <v>20</v>
      </c>
      <c r="B749" s="72"/>
      <c r="C749" s="130">
        <v>26</v>
      </c>
      <c r="D749" s="130">
        <v>73</v>
      </c>
      <c r="E749" s="130">
        <v>100</v>
      </c>
      <c r="F749" s="130"/>
      <c r="G749" s="119"/>
      <c r="H749" s="119"/>
    </row>
    <row r="750" spans="1:12" x14ac:dyDescent="0.25">
      <c r="A750" s="68" t="s">
        <v>21</v>
      </c>
      <c r="B750" s="72"/>
      <c r="C750" s="130">
        <v>-6.3249999999999993</v>
      </c>
      <c r="D750" s="130">
        <v>-79.325000000000003</v>
      </c>
      <c r="E750" s="130">
        <v>-159.64999999999998</v>
      </c>
      <c r="F750" s="651"/>
      <c r="G750" s="119"/>
      <c r="H750" s="119"/>
    </row>
    <row r="751" spans="1:12" x14ac:dyDescent="0.25">
      <c r="A751" s="73" t="s">
        <v>22</v>
      </c>
      <c r="B751" s="74"/>
      <c r="C751" s="650"/>
      <c r="D751" s="650"/>
      <c r="E751" s="651"/>
      <c r="F751" s="651"/>
      <c r="G751" s="119"/>
      <c r="H751" s="119"/>
    </row>
    <row r="752" spans="1:12" x14ac:dyDescent="0.25">
      <c r="A752" s="655" t="s">
        <v>23</v>
      </c>
      <c r="B752" s="651"/>
      <c r="C752" s="647"/>
      <c r="D752" s="647"/>
      <c r="E752" s="656"/>
      <c r="F752" s="657"/>
      <c r="G752" s="119"/>
      <c r="H752" s="119"/>
    </row>
    <row r="753" spans="1:9" x14ac:dyDescent="0.25">
      <c r="A753" s="80"/>
      <c r="B753" s="138"/>
      <c r="C753" s="138"/>
      <c r="D753" s="138"/>
      <c r="E753" s="119"/>
      <c r="F753" s="119"/>
      <c r="G753" s="119"/>
      <c r="H753" s="119"/>
    </row>
    <row r="755" spans="1:9" x14ac:dyDescent="0.25">
      <c r="A755" s="6" t="s">
        <v>12</v>
      </c>
      <c r="B755" s="173" t="s">
        <v>259</v>
      </c>
    </row>
    <row r="756" spans="1:9" x14ac:dyDescent="0.25">
      <c r="A756" s="103" t="s">
        <v>14</v>
      </c>
      <c r="B756" s="104" t="s">
        <v>66</v>
      </c>
      <c r="C756" s="66" t="s">
        <v>152</v>
      </c>
      <c r="D756" s="8"/>
      <c r="E756" s="8"/>
      <c r="F756" s="8"/>
      <c r="G756" s="8"/>
    </row>
    <row r="757" spans="1:9" x14ac:dyDescent="0.25">
      <c r="A757" s="95" t="s">
        <v>16</v>
      </c>
      <c r="B757" s="270" t="s">
        <v>243</v>
      </c>
      <c r="C757" s="263" t="s">
        <v>244</v>
      </c>
      <c r="D757" s="263" t="s">
        <v>286</v>
      </c>
      <c r="E757" s="263" t="s">
        <v>594</v>
      </c>
      <c r="F757" s="263" t="s">
        <v>788</v>
      </c>
      <c r="G757" s="271" t="s">
        <v>1169</v>
      </c>
      <c r="H757" s="271" t="s">
        <v>1170</v>
      </c>
      <c r="I757" s="271" t="s">
        <v>1171</v>
      </c>
    </row>
    <row r="758" spans="1:9" x14ac:dyDescent="0.25">
      <c r="A758" s="68" t="s">
        <v>17</v>
      </c>
      <c r="B758" s="72" t="s">
        <v>47</v>
      </c>
      <c r="C758" s="72" t="s">
        <v>47</v>
      </c>
      <c r="D758" s="72">
        <v>1552.77</v>
      </c>
      <c r="E758" s="72">
        <v>1527.9256800000001</v>
      </c>
      <c r="F758" s="72">
        <v>1540.3478400000001</v>
      </c>
      <c r="G758" s="131">
        <v>1540.3478400000001</v>
      </c>
      <c r="H758" s="131">
        <v>1553</v>
      </c>
      <c r="I758" s="131">
        <v>1980</v>
      </c>
    </row>
    <row r="759" spans="1:9" x14ac:dyDescent="0.25">
      <c r="A759" s="68" t="s">
        <v>18</v>
      </c>
      <c r="B759" s="72" t="s">
        <v>47</v>
      </c>
      <c r="C759" s="72" t="s">
        <v>47</v>
      </c>
      <c r="D759" s="72"/>
      <c r="E759" s="72"/>
      <c r="F759" s="72"/>
      <c r="G759" s="90"/>
      <c r="H759" s="90"/>
      <c r="I759" s="90"/>
    </row>
    <row r="760" spans="1:9" x14ac:dyDescent="0.25">
      <c r="A760" s="68" t="s">
        <v>19</v>
      </c>
      <c r="B760" s="264"/>
      <c r="C760" s="264"/>
      <c r="D760" s="264"/>
      <c r="E760" s="264"/>
      <c r="F760" s="264"/>
      <c r="G760" s="90"/>
      <c r="H760" s="90"/>
      <c r="I760" s="90"/>
    </row>
    <row r="761" spans="1:9" x14ac:dyDescent="0.25">
      <c r="A761" s="68" t="s">
        <v>20</v>
      </c>
      <c r="B761" s="72">
        <v>2633.56</v>
      </c>
      <c r="C761" s="72">
        <v>2463.83</v>
      </c>
      <c r="D761" s="72">
        <v>1518</v>
      </c>
      <c r="E761" s="72">
        <v>1491.84</v>
      </c>
      <c r="F761" s="72">
        <v>1499.98</v>
      </c>
      <c r="G761" s="72">
        <v>1396.63</v>
      </c>
      <c r="H761" s="90">
        <v>1542.47</v>
      </c>
      <c r="I761" s="90"/>
    </row>
    <row r="762" spans="1:9" x14ac:dyDescent="0.25">
      <c r="A762" s="68" t="s">
        <v>21</v>
      </c>
      <c r="B762" s="72" t="s">
        <v>47</v>
      </c>
      <c r="C762" s="72" t="s">
        <v>47</v>
      </c>
      <c r="D762" s="72">
        <f>D758-D761</f>
        <v>34.769999999999982</v>
      </c>
      <c r="E762" s="72">
        <f>E758-E761</f>
        <v>36.085680000000139</v>
      </c>
      <c r="F762" s="72">
        <f>F758-F761</f>
        <v>40.367840000000115</v>
      </c>
      <c r="G762" s="72">
        <f t="shared" ref="G762:I762" si="36">G758-G761</f>
        <v>143.71784000000002</v>
      </c>
      <c r="H762" s="72">
        <f t="shared" si="36"/>
        <v>10.529999999999973</v>
      </c>
      <c r="I762" s="72">
        <f t="shared" si="36"/>
        <v>1980</v>
      </c>
    </row>
    <row r="763" spans="1:9" x14ac:dyDescent="0.25">
      <c r="A763" s="92" t="s">
        <v>22</v>
      </c>
      <c r="B763" s="272"/>
      <c r="C763" s="272"/>
      <c r="D763" s="272"/>
      <c r="E763" s="272"/>
      <c r="F763" s="272"/>
      <c r="G763" s="62"/>
      <c r="H763" s="62"/>
      <c r="I763" s="62"/>
    </row>
    <row r="764" spans="1:9" x14ac:dyDescent="0.25">
      <c r="A764" s="694" t="s">
        <v>786</v>
      </c>
      <c r="B764" s="695"/>
      <c r="C764" s="695"/>
      <c r="D764" s="695"/>
      <c r="E764" s="695"/>
      <c r="F764" s="258"/>
      <c r="G764" s="258"/>
      <c r="H764" s="258"/>
      <c r="I764" s="63"/>
    </row>
    <row r="765" spans="1:9" x14ac:dyDescent="0.25">
      <c r="A765" s="39" t="s">
        <v>787</v>
      </c>
      <c r="I765" s="64"/>
    </row>
    <row r="766" spans="1:9" x14ac:dyDescent="0.25">
      <c r="A766" s="41" t="s">
        <v>789</v>
      </c>
      <c r="B766" s="34"/>
      <c r="C766" s="34"/>
      <c r="D766" s="34"/>
      <c r="E766" s="34"/>
      <c r="F766" s="34"/>
      <c r="G766" s="34"/>
      <c r="H766" s="34"/>
      <c r="I766" s="48"/>
    </row>
    <row r="768" spans="1:9" ht="13.2" customHeight="1" x14ac:dyDescent="0.25"/>
    <row r="769" spans="1:13" x14ac:dyDescent="0.25">
      <c r="A769" s="6" t="s">
        <v>12</v>
      </c>
      <c r="B769" s="173" t="s">
        <v>39</v>
      </c>
    </row>
    <row r="770" spans="1:13" x14ac:dyDescent="0.25">
      <c r="A770" s="151" t="s">
        <v>14</v>
      </c>
      <c r="B770" s="273" t="s">
        <v>624</v>
      </c>
      <c r="C770" s="7" t="s">
        <v>15</v>
      </c>
    </row>
    <row r="771" spans="1:13" x14ac:dyDescent="0.25">
      <c r="A771" s="41" t="s">
        <v>16</v>
      </c>
      <c r="B771" s="274">
        <v>2014</v>
      </c>
      <c r="C771" s="154">
        <v>2015</v>
      </c>
      <c r="D771" s="154">
        <v>2016</v>
      </c>
      <c r="E771" s="154">
        <v>2017</v>
      </c>
      <c r="F771" s="154">
        <v>2018</v>
      </c>
      <c r="G771" s="154">
        <v>2019</v>
      </c>
      <c r="H771" s="154">
        <v>2020</v>
      </c>
      <c r="I771" s="154">
        <v>2021</v>
      </c>
      <c r="J771" s="154">
        <v>2022</v>
      </c>
      <c r="K771" s="154">
        <v>2023</v>
      </c>
      <c r="L771" s="154">
        <v>2024</v>
      </c>
      <c r="M771" s="154">
        <v>2025</v>
      </c>
    </row>
    <row r="772" spans="1:13" x14ac:dyDescent="0.25">
      <c r="A772" s="10" t="s">
        <v>17</v>
      </c>
      <c r="B772" s="275">
        <v>21551.3</v>
      </c>
      <c r="C772" s="275">
        <v>21551.3</v>
      </c>
      <c r="D772" s="275">
        <v>21551.3</v>
      </c>
      <c r="E772" s="275">
        <v>21551.3</v>
      </c>
      <c r="F772" s="275">
        <v>25861.599999999999</v>
      </c>
      <c r="G772" s="275">
        <v>25861.599999999999</v>
      </c>
      <c r="H772" s="275">
        <v>25861.599999999999</v>
      </c>
      <c r="I772" s="12">
        <v>29095.1</v>
      </c>
      <c r="J772" s="12">
        <v>29095.1</v>
      </c>
      <c r="K772" s="12">
        <v>29095.1</v>
      </c>
      <c r="L772" s="12">
        <v>35815.9</v>
      </c>
      <c r="M772" s="12">
        <v>35815.9</v>
      </c>
    </row>
    <row r="773" spans="1:13" x14ac:dyDescent="0.25">
      <c r="A773" s="10" t="s">
        <v>18</v>
      </c>
      <c r="B773" s="275">
        <v>26534.959999999999</v>
      </c>
      <c r="C773" s="275">
        <v>26939.13</v>
      </c>
      <c r="D773" s="275">
        <v>24541.7</v>
      </c>
      <c r="E773" s="275">
        <v>26939.125</v>
      </c>
      <c r="F773" s="275">
        <v>26094.649999999998</v>
      </c>
      <c r="G773" s="275">
        <v>29536.849000000002</v>
      </c>
      <c r="H773" s="275">
        <v>26869.420999999995</v>
      </c>
      <c r="I773" s="12">
        <f>I772+G776-434.04</f>
        <v>28121.021000000001</v>
      </c>
      <c r="J773" s="12">
        <f>J772+H776-0.0152*J772</f>
        <v>29941.571479999991</v>
      </c>
      <c r="K773" s="12">
        <f>K772+I776-0.0152*I772</f>
        <v>30678.782479999994</v>
      </c>
      <c r="L773" s="12">
        <f>L772+J776</f>
        <v>38912.721479999993</v>
      </c>
      <c r="M773" s="12">
        <f>M772+K776</f>
        <v>43134.292479999996</v>
      </c>
    </row>
    <row r="774" spans="1:13" ht="52.8" x14ac:dyDescent="0.25">
      <c r="A774" s="10" t="s">
        <v>19</v>
      </c>
      <c r="B774" s="276" t="s">
        <v>40</v>
      </c>
      <c r="C774" s="276" t="s">
        <v>41</v>
      </c>
      <c r="D774" s="276" t="s">
        <v>42</v>
      </c>
      <c r="E774" s="277" t="s">
        <v>43</v>
      </c>
      <c r="F774" s="277" t="s">
        <v>44</v>
      </c>
      <c r="G774" s="277" t="s">
        <v>45</v>
      </c>
      <c r="H774" s="277" t="s">
        <v>46</v>
      </c>
      <c r="I774" s="278" t="s">
        <v>471</v>
      </c>
      <c r="J774" s="278" t="s">
        <v>472</v>
      </c>
      <c r="K774" s="278" t="s">
        <v>634</v>
      </c>
      <c r="L774" s="278" t="s">
        <v>1003</v>
      </c>
      <c r="M774" s="278" t="s">
        <v>1121</v>
      </c>
    </row>
    <row r="775" spans="1:13" ht="12.6" customHeight="1" x14ac:dyDescent="0.25">
      <c r="A775" s="10" t="s">
        <v>20</v>
      </c>
      <c r="B775" s="12">
        <v>23544.560000000001</v>
      </c>
      <c r="C775" s="12">
        <v>20891.8</v>
      </c>
      <c r="D775" s="12">
        <v>24308.65</v>
      </c>
      <c r="E775" s="12">
        <v>23263.875999999997</v>
      </c>
      <c r="F775" s="12">
        <v>25086.829000000002</v>
      </c>
      <c r="G775" s="12">
        <v>30076.887999999999</v>
      </c>
      <c r="H775" s="12">
        <v>25580.704000000002</v>
      </c>
      <c r="I775" s="12">
        <v>26095.093000000004</v>
      </c>
      <c r="J775" s="12">
        <v>26844.75</v>
      </c>
      <c r="K775" s="12">
        <v>23360.39</v>
      </c>
      <c r="L775" s="12">
        <v>19901.083999999999</v>
      </c>
      <c r="M775" s="12"/>
    </row>
    <row r="776" spans="1:13" x14ac:dyDescent="0.25">
      <c r="A776" s="10" t="s">
        <v>21</v>
      </c>
      <c r="B776" s="12">
        <v>2990.4</v>
      </c>
      <c r="C776" s="12">
        <v>6047.33</v>
      </c>
      <c r="D776" s="12">
        <v>233.04999999999927</v>
      </c>
      <c r="E776" s="12">
        <v>3675.2490000000034</v>
      </c>
      <c r="F776" s="12">
        <v>1007.8209999999963</v>
      </c>
      <c r="G776" s="12">
        <f t="shared" ref="G776:L776" si="37">G773-G775</f>
        <v>-540.03899999999703</v>
      </c>
      <c r="H776" s="12">
        <f t="shared" si="37"/>
        <v>1288.7169999999933</v>
      </c>
      <c r="I776" s="12">
        <f t="shared" si="37"/>
        <v>2025.9279999999962</v>
      </c>
      <c r="J776" s="12">
        <f t="shared" si="37"/>
        <v>3096.8214799999914</v>
      </c>
      <c r="K776" s="12">
        <f t="shared" si="37"/>
        <v>7318.392479999995</v>
      </c>
      <c r="L776" s="12">
        <f t="shared" si="37"/>
        <v>19011.637479999994</v>
      </c>
      <c r="M776" s="12"/>
    </row>
    <row r="777" spans="1:13" x14ac:dyDescent="0.25">
      <c r="A777" s="16" t="s">
        <v>22</v>
      </c>
      <c r="B777" s="159">
        <v>2016</v>
      </c>
      <c r="C777" s="159">
        <v>2017</v>
      </c>
      <c r="D777" s="159">
        <v>2018</v>
      </c>
      <c r="E777" s="159">
        <v>2019</v>
      </c>
      <c r="F777" s="159">
        <v>2020</v>
      </c>
      <c r="G777" s="159">
        <v>2021</v>
      </c>
      <c r="H777" s="159">
        <v>2022</v>
      </c>
      <c r="I777" s="159">
        <v>2023</v>
      </c>
      <c r="J777" s="159">
        <v>2024</v>
      </c>
      <c r="K777" s="159">
        <v>2025</v>
      </c>
      <c r="L777" s="159">
        <v>2026</v>
      </c>
      <c r="M777" s="159">
        <v>2027</v>
      </c>
    </row>
    <row r="778" spans="1:13" x14ac:dyDescent="0.25">
      <c r="A778" s="18" t="s">
        <v>469</v>
      </c>
      <c r="B778" s="279"/>
      <c r="C778" s="279"/>
      <c r="D778" s="279"/>
      <c r="E778" s="279"/>
      <c r="F778" s="279"/>
      <c r="G778" s="279"/>
      <c r="H778" s="279"/>
      <c r="I778" s="279"/>
      <c r="J778" s="19"/>
      <c r="K778" s="19"/>
      <c r="L778" s="19"/>
      <c r="M778" s="63"/>
    </row>
    <row r="779" spans="1:13" x14ac:dyDescent="0.25">
      <c r="A779" s="39" t="s">
        <v>470</v>
      </c>
      <c r="B779" s="280"/>
      <c r="C779" s="280"/>
      <c r="D779" s="280"/>
      <c r="E779" s="280"/>
      <c r="F779" s="280"/>
      <c r="G779" s="280"/>
      <c r="H779" s="280"/>
      <c r="I779" s="280"/>
      <c r="M779" s="64"/>
    </row>
    <row r="780" spans="1:13" x14ac:dyDescent="0.25">
      <c r="A780" s="39" t="s">
        <v>473</v>
      </c>
      <c r="B780" s="280"/>
      <c r="C780" s="280"/>
      <c r="D780" s="280"/>
      <c r="E780" s="280"/>
      <c r="F780" s="280"/>
      <c r="G780" s="280"/>
      <c r="H780" s="280"/>
      <c r="I780" s="280"/>
      <c r="M780" s="64"/>
    </row>
    <row r="781" spans="1:13" x14ac:dyDescent="0.25">
      <c r="A781" s="39" t="s">
        <v>474</v>
      </c>
      <c r="B781" s="280"/>
      <c r="C781" s="280"/>
      <c r="D781" s="280"/>
      <c r="E781" s="280"/>
      <c r="F781" s="280"/>
      <c r="G781" s="280"/>
      <c r="H781" s="280"/>
      <c r="I781" s="280"/>
      <c r="M781" s="64"/>
    </row>
    <row r="782" spans="1:13" x14ac:dyDescent="0.25">
      <c r="A782" s="41" t="s">
        <v>635</v>
      </c>
      <c r="B782" s="281"/>
      <c r="C782" s="281"/>
      <c r="D782" s="281"/>
      <c r="E782" s="281"/>
      <c r="F782" s="281"/>
      <c r="G782" s="281"/>
      <c r="H782" s="281"/>
      <c r="I782" s="281"/>
      <c r="J782" s="34"/>
      <c r="K782" s="34"/>
      <c r="L782" s="34"/>
      <c r="M782" s="48"/>
    </row>
    <row r="784" spans="1:13" x14ac:dyDescent="0.25">
      <c r="A784" s="6" t="s">
        <v>14</v>
      </c>
      <c r="B784" s="173" t="s">
        <v>638</v>
      </c>
      <c r="C784" s="7" t="s">
        <v>15</v>
      </c>
    </row>
    <row r="785" spans="1:14" x14ac:dyDescent="0.25">
      <c r="A785" s="41" t="s">
        <v>16</v>
      </c>
      <c r="B785" s="274">
        <v>2014</v>
      </c>
      <c r="C785" s="154">
        <v>2015</v>
      </c>
      <c r="D785" s="154">
        <v>2016</v>
      </c>
      <c r="E785" s="154">
        <v>2017</v>
      </c>
      <c r="F785" s="154">
        <v>2018</v>
      </c>
      <c r="G785" s="154">
        <v>2019</v>
      </c>
      <c r="H785" s="154">
        <v>2020</v>
      </c>
      <c r="I785" s="154">
        <v>2021</v>
      </c>
      <c r="J785" s="154">
        <v>2022</v>
      </c>
      <c r="K785" s="154">
        <v>2023</v>
      </c>
      <c r="L785" s="154">
        <v>2024</v>
      </c>
      <c r="M785" s="154">
        <v>2025</v>
      </c>
      <c r="N785" s="154">
        <v>2026</v>
      </c>
    </row>
    <row r="786" spans="1:14" x14ac:dyDescent="0.25">
      <c r="A786" s="10" t="s">
        <v>17</v>
      </c>
      <c r="B786" s="275">
        <v>1470</v>
      </c>
      <c r="C786" s="275">
        <v>1470</v>
      </c>
      <c r="D786" s="275">
        <v>1470</v>
      </c>
      <c r="E786" s="275">
        <v>1470</v>
      </c>
      <c r="F786" s="275">
        <v>1470</v>
      </c>
      <c r="G786" s="275">
        <v>1470</v>
      </c>
      <c r="H786" s="275">
        <v>1470</v>
      </c>
      <c r="I786" s="12">
        <v>1470</v>
      </c>
      <c r="J786" s="12">
        <v>1470</v>
      </c>
      <c r="K786" s="12">
        <v>1765</v>
      </c>
      <c r="L786" s="12">
        <v>1765</v>
      </c>
      <c r="M786" s="12">
        <v>1765</v>
      </c>
      <c r="N786" s="12">
        <v>1765</v>
      </c>
    </row>
    <row r="787" spans="1:14" x14ac:dyDescent="0.25">
      <c r="A787" s="10" t="s">
        <v>18</v>
      </c>
      <c r="B787" s="275">
        <v>1470</v>
      </c>
      <c r="C787" s="275">
        <v>1719</v>
      </c>
      <c r="D787" s="275">
        <v>1837.5</v>
      </c>
      <c r="E787" s="275">
        <v>1837.5</v>
      </c>
      <c r="F787" s="275">
        <v>1837.5</v>
      </c>
      <c r="G787" s="275">
        <v>1837.5</v>
      </c>
      <c r="H787" s="275">
        <v>1837.5</v>
      </c>
      <c r="I787" s="275">
        <f>+I786+G786*0.25</f>
        <v>1837.5</v>
      </c>
      <c r="J787" s="275">
        <f>+J786+H786*0.25</f>
        <v>1837.5</v>
      </c>
      <c r="K787" s="275">
        <f>K786+I786*0.25</f>
        <v>2132.5</v>
      </c>
      <c r="L787" s="275">
        <v>2132.5</v>
      </c>
      <c r="M787" s="275">
        <f>M786+0.25*K786</f>
        <v>2206.25</v>
      </c>
      <c r="N787" s="275">
        <f>N786+0.25*L786</f>
        <v>2206.25</v>
      </c>
    </row>
    <row r="788" spans="1:14" ht="26.4" x14ac:dyDescent="0.25">
      <c r="A788" s="10" t="s">
        <v>19</v>
      </c>
      <c r="B788" s="276" t="s">
        <v>47</v>
      </c>
      <c r="C788" s="276" t="s">
        <v>48</v>
      </c>
      <c r="D788" s="276" t="s">
        <v>49</v>
      </c>
      <c r="E788" s="277" t="s">
        <v>43</v>
      </c>
      <c r="F788" s="277" t="s">
        <v>50</v>
      </c>
      <c r="G788" s="277" t="s">
        <v>51</v>
      </c>
      <c r="H788" s="277" t="s">
        <v>52</v>
      </c>
      <c r="I788" s="278" t="s">
        <v>263</v>
      </c>
      <c r="J788" s="278" t="s">
        <v>478</v>
      </c>
      <c r="K788" s="278" t="s">
        <v>710</v>
      </c>
      <c r="L788" s="282" t="s">
        <v>543</v>
      </c>
      <c r="M788" s="278" t="s">
        <v>1103</v>
      </c>
      <c r="N788" s="278" t="s">
        <v>1126</v>
      </c>
    </row>
    <row r="789" spans="1:14" x14ac:dyDescent="0.25">
      <c r="A789" s="10" t="s">
        <v>20</v>
      </c>
      <c r="B789" s="12">
        <v>335.36</v>
      </c>
      <c r="C789" s="12">
        <v>472.71</v>
      </c>
      <c r="D789" s="12">
        <v>54.77</v>
      </c>
      <c r="E789" s="12">
        <v>178.2</v>
      </c>
      <c r="F789" s="12">
        <v>102.81099999999999</v>
      </c>
      <c r="G789" s="277">
        <v>81.733813276999982</v>
      </c>
      <c r="H789" s="12">
        <v>60.466000000000008</v>
      </c>
      <c r="I789" s="12">
        <v>70.94</v>
      </c>
      <c r="J789" s="12">
        <v>71.53</v>
      </c>
      <c r="K789" s="12">
        <v>41.71</v>
      </c>
      <c r="L789" s="12">
        <v>67.03</v>
      </c>
      <c r="M789" s="12"/>
      <c r="N789" s="12"/>
    </row>
    <row r="790" spans="1:14" x14ac:dyDescent="0.25">
      <c r="A790" s="10" t="s">
        <v>21</v>
      </c>
      <c r="B790" s="12">
        <v>1135</v>
      </c>
      <c r="C790" s="12">
        <v>1246.29</v>
      </c>
      <c r="D790" s="12">
        <v>1782.73</v>
      </c>
      <c r="E790" s="12">
        <v>1659.3</v>
      </c>
      <c r="F790" s="12">
        <v>1734.6890000000001</v>
      </c>
      <c r="G790" s="277">
        <f t="shared" ref="G790:L790" si="38">G787-G789</f>
        <v>1755.7661867229999</v>
      </c>
      <c r="H790" s="12">
        <f t="shared" si="38"/>
        <v>1777.0340000000001</v>
      </c>
      <c r="I790" s="12">
        <f t="shared" si="38"/>
        <v>1766.56</v>
      </c>
      <c r="J790" s="12">
        <f t="shared" si="38"/>
        <v>1765.97</v>
      </c>
      <c r="K790" s="12">
        <f t="shared" si="38"/>
        <v>2090.79</v>
      </c>
      <c r="L790" s="12">
        <f t="shared" si="38"/>
        <v>2065.4699999999998</v>
      </c>
      <c r="M790" s="12"/>
      <c r="N790" s="12"/>
    </row>
    <row r="791" spans="1:14" x14ac:dyDescent="0.25">
      <c r="A791" s="16" t="s">
        <v>22</v>
      </c>
      <c r="B791" s="159">
        <v>2016</v>
      </c>
      <c r="C791" s="159">
        <v>2017</v>
      </c>
      <c r="D791" s="159">
        <v>2018</v>
      </c>
      <c r="E791" s="159">
        <v>2019</v>
      </c>
      <c r="F791" s="159">
        <v>2020</v>
      </c>
      <c r="G791" s="159">
        <v>2021</v>
      </c>
      <c r="H791" s="159">
        <v>2022</v>
      </c>
      <c r="I791" s="159">
        <v>2023</v>
      </c>
      <c r="J791" s="159">
        <v>2024</v>
      </c>
      <c r="K791" s="159">
        <v>2025</v>
      </c>
      <c r="L791" s="159">
        <v>2026</v>
      </c>
      <c r="M791" s="159">
        <v>2027</v>
      </c>
      <c r="N791" s="159">
        <v>2028</v>
      </c>
    </row>
    <row r="792" spans="1:14" x14ac:dyDescent="0.25">
      <c r="A792" s="18" t="s">
        <v>476</v>
      </c>
      <c r="B792" s="279"/>
      <c r="C792" s="279"/>
      <c r="D792" s="279"/>
      <c r="E792" s="279"/>
      <c r="F792" s="279"/>
      <c r="G792" s="279"/>
      <c r="H792" s="279"/>
      <c r="I792" s="279"/>
      <c r="J792" s="19"/>
      <c r="K792" s="19"/>
      <c r="L792" s="19"/>
      <c r="M792" s="19"/>
      <c r="N792" s="63"/>
    </row>
    <row r="793" spans="1:14" x14ac:dyDescent="0.25">
      <c r="A793" s="39" t="s">
        <v>475</v>
      </c>
      <c r="N793" s="64"/>
    </row>
    <row r="794" spans="1:14" x14ac:dyDescent="0.25">
      <c r="A794" s="39" t="s">
        <v>477</v>
      </c>
      <c r="N794" s="64"/>
    </row>
    <row r="795" spans="1:14" x14ac:dyDescent="0.25">
      <c r="A795" s="39" t="s">
        <v>711</v>
      </c>
      <c r="N795" s="64"/>
    </row>
    <row r="796" spans="1:14" x14ac:dyDescent="0.25">
      <c r="A796" s="39" t="s">
        <v>1028</v>
      </c>
      <c r="N796" s="64"/>
    </row>
    <row r="797" spans="1:14" x14ac:dyDescent="0.25">
      <c r="A797" s="39" t="s">
        <v>1104</v>
      </c>
      <c r="N797" s="64"/>
    </row>
    <row r="798" spans="1:14" x14ac:dyDescent="0.25">
      <c r="A798" s="42" t="s">
        <v>1263</v>
      </c>
      <c r="B798" s="34"/>
      <c r="C798" s="34"/>
      <c r="D798" s="34"/>
      <c r="E798" s="34"/>
      <c r="F798" s="34"/>
      <c r="G798" s="34"/>
      <c r="H798" s="34"/>
      <c r="I798" s="34"/>
      <c r="J798" s="34"/>
      <c r="K798" s="34"/>
      <c r="L798" s="34"/>
      <c r="M798" s="34"/>
      <c r="N798" s="48"/>
    </row>
    <row r="800" spans="1:14" x14ac:dyDescent="0.25">
      <c r="A800" s="6" t="s">
        <v>14</v>
      </c>
      <c r="B800" s="173" t="s">
        <v>623</v>
      </c>
      <c r="C800" s="7" t="s">
        <v>15</v>
      </c>
    </row>
    <row r="801" spans="1:13" x14ac:dyDescent="0.25">
      <c r="A801" s="41" t="s">
        <v>16</v>
      </c>
      <c r="B801" s="274">
        <v>2014</v>
      </c>
      <c r="C801" s="154">
        <v>2015</v>
      </c>
      <c r="D801" s="154">
        <v>2016</v>
      </c>
      <c r="E801" s="154">
        <v>2017</v>
      </c>
      <c r="F801" s="154">
        <v>2018</v>
      </c>
      <c r="G801" s="154">
        <v>2019</v>
      </c>
      <c r="H801" s="154">
        <v>2020</v>
      </c>
      <c r="I801" s="154">
        <v>2021</v>
      </c>
      <c r="J801" s="154">
        <v>2022</v>
      </c>
      <c r="K801" s="154">
        <v>2023</v>
      </c>
      <c r="L801" s="154">
        <v>2024</v>
      </c>
      <c r="M801" s="283">
        <v>2025</v>
      </c>
    </row>
    <row r="802" spans="1:13" x14ac:dyDescent="0.25">
      <c r="A802" s="10" t="s">
        <v>17</v>
      </c>
      <c r="B802" s="275">
        <v>6718</v>
      </c>
      <c r="C802" s="275">
        <v>6718</v>
      </c>
      <c r="D802" s="275">
        <v>6718</v>
      </c>
      <c r="E802" s="275">
        <v>6718</v>
      </c>
      <c r="F802" s="275">
        <v>6718</v>
      </c>
      <c r="G802" s="275">
        <v>6718</v>
      </c>
      <c r="H802" s="275">
        <v>6718</v>
      </c>
      <c r="I802" s="12">
        <v>6718</v>
      </c>
      <c r="J802" s="12">
        <v>6718</v>
      </c>
      <c r="K802" s="12">
        <v>6717.33</v>
      </c>
      <c r="L802" s="12">
        <v>6717.33</v>
      </c>
      <c r="M802" s="90">
        <v>7408.33</v>
      </c>
    </row>
    <row r="803" spans="1:13" x14ac:dyDescent="0.25">
      <c r="A803" s="10" t="s">
        <v>18</v>
      </c>
      <c r="B803" s="275">
        <v>7887.5</v>
      </c>
      <c r="C803" s="275">
        <v>7897.5</v>
      </c>
      <c r="D803" s="275">
        <v>7390.7</v>
      </c>
      <c r="E803" s="275">
        <v>7425.7</v>
      </c>
      <c r="F803" s="275">
        <v>7385.7</v>
      </c>
      <c r="G803" s="275">
        <v>7385.7</v>
      </c>
      <c r="H803" s="275">
        <f>H802+F802*0.15-100-40</f>
        <v>7585.7</v>
      </c>
      <c r="I803" s="275">
        <f>I802+0.15*G802-40-200-0.67</f>
        <v>7485.03</v>
      </c>
      <c r="J803" s="275">
        <f>J802+0.15*H802-40-250-0.0001*J802</f>
        <v>7435.0281999999997</v>
      </c>
      <c r="K803" s="275">
        <f>K802+0.15*I802-327</f>
        <v>7398.03</v>
      </c>
      <c r="L803" s="275">
        <f>L802+0.15*J802-280-40</f>
        <v>7405.03</v>
      </c>
      <c r="M803" s="90">
        <v>7302.37</v>
      </c>
    </row>
    <row r="804" spans="1:13" ht="39.6" x14ac:dyDescent="0.25">
      <c r="A804" s="10" t="s">
        <v>19</v>
      </c>
      <c r="B804" s="276" t="s">
        <v>53</v>
      </c>
      <c r="C804" s="276" t="s">
        <v>54</v>
      </c>
      <c r="D804" s="276" t="s">
        <v>55</v>
      </c>
      <c r="E804" s="277" t="s">
        <v>56</v>
      </c>
      <c r="F804" s="277" t="s">
        <v>57</v>
      </c>
      <c r="G804" s="277" t="s">
        <v>58</v>
      </c>
      <c r="H804" s="277" t="s">
        <v>517</v>
      </c>
      <c r="I804" s="284" t="s">
        <v>518</v>
      </c>
      <c r="J804" s="284" t="s">
        <v>637</v>
      </c>
      <c r="K804" s="284" t="s">
        <v>1004</v>
      </c>
      <c r="L804" s="284" t="s">
        <v>1172</v>
      </c>
      <c r="M804" s="285" t="s">
        <v>1173</v>
      </c>
    </row>
    <row r="805" spans="1:13" s="269" customFormat="1" x14ac:dyDescent="0.25">
      <c r="A805" s="286" t="s">
        <v>20</v>
      </c>
      <c r="B805" s="12">
        <v>5020.43</v>
      </c>
      <c r="C805" s="12">
        <v>5449.08</v>
      </c>
      <c r="D805" s="12">
        <v>5765.63</v>
      </c>
      <c r="E805" s="12">
        <v>5573.6610000000001</v>
      </c>
      <c r="F805" s="12">
        <v>4966.4159999999993</v>
      </c>
      <c r="G805" s="12">
        <v>5740.2240000000002</v>
      </c>
      <c r="H805" s="12">
        <v>5960.2599999999993</v>
      </c>
      <c r="I805" s="12">
        <v>5522.9264400000002</v>
      </c>
      <c r="J805" s="12">
        <v>5527.68</v>
      </c>
      <c r="K805" s="12">
        <v>7263.99</v>
      </c>
      <c r="L805" s="12">
        <v>6685.085</v>
      </c>
      <c r="M805" s="131"/>
    </row>
    <row r="806" spans="1:13" x14ac:dyDescent="0.25">
      <c r="A806" s="10" t="s">
        <v>21</v>
      </c>
      <c r="B806" s="12">
        <v>2867.0699999999997</v>
      </c>
      <c r="C806" s="12">
        <v>2448.42</v>
      </c>
      <c r="D806" s="12">
        <v>1625.0699999999997</v>
      </c>
      <c r="E806" s="12">
        <v>1852.039</v>
      </c>
      <c r="F806" s="12">
        <v>2419.2840000000006</v>
      </c>
      <c r="G806" s="12">
        <v>1645.4759999999997</v>
      </c>
      <c r="H806" s="12">
        <f>H803-H805</f>
        <v>1625.4400000000005</v>
      </c>
      <c r="I806" s="12">
        <f>I803-I805</f>
        <v>1962.1035599999996</v>
      </c>
      <c r="J806" s="12">
        <f>J803-J805</f>
        <v>1907.3481999999995</v>
      </c>
      <c r="K806" s="12">
        <f>K803-K805</f>
        <v>134.03999999999996</v>
      </c>
      <c r="L806" s="12">
        <f>L803-L805</f>
        <v>719.94499999999971</v>
      </c>
      <c r="M806" s="90"/>
    </row>
    <row r="807" spans="1:13" x14ac:dyDescent="0.25">
      <c r="A807" s="16" t="s">
        <v>22</v>
      </c>
      <c r="B807" s="159">
        <v>2016</v>
      </c>
      <c r="C807" s="159">
        <v>2017</v>
      </c>
      <c r="D807" s="159">
        <v>2018</v>
      </c>
      <c r="E807" s="159">
        <v>2019</v>
      </c>
      <c r="F807" s="159">
        <v>2020</v>
      </c>
      <c r="G807" s="159">
        <v>2021</v>
      </c>
      <c r="H807" s="159">
        <v>2022</v>
      </c>
      <c r="I807" s="159">
        <v>2023</v>
      </c>
      <c r="J807" s="159">
        <v>2024</v>
      </c>
      <c r="K807" s="159">
        <v>2025</v>
      </c>
      <c r="L807" s="159">
        <v>2025</v>
      </c>
      <c r="M807" s="90">
        <v>2025</v>
      </c>
    </row>
    <row r="808" spans="1:13" x14ac:dyDescent="0.25">
      <c r="A808" s="18" t="s">
        <v>479</v>
      </c>
      <c r="B808" s="287"/>
      <c r="C808" s="287"/>
      <c r="D808" s="287"/>
      <c r="E808" s="287"/>
      <c r="F808" s="287"/>
      <c r="G808" s="287"/>
      <c r="H808" s="287"/>
      <c r="I808" s="287"/>
      <c r="J808" s="19"/>
      <c r="K808" s="19"/>
      <c r="L808" s="19"/>
      <c r="M808" s="63"/>
    </row>
    <row r="809" spans="1:13" x14ac:dyDescent="0.25">
      <c r="A809" s="39" t="s">
        <v>519</v>
      </c>
      <c r="B809" s="2"/>
      <c r="C809" s="2"/>
      <c r="D809" s="2"/>
      <c r="E809" s="2"/>
      <c r="F809" s="2"/>
      <c r="G809" s="2"/>
      <c r="H809" s="2"/>
      <c r="I809" s="2"/>
      <c r="M809" s="64"/>
    </row>
    <row r="810" spans="1:13" x14ac:dyDescent="0.25">
      <c r="A810" s="39" t="s">
        <v>480</v>
      </c>
      <c r="B810" s="2"/>
      <c r="C810" s="2"/>
      <c r="D810" s="2"/>
      <c r="E810" s="2"/>
      <c r="F810" s="2"/>
      <c r="G810" s="2"/>
      <c r="H810" s="2"/>
      <c r="I810" s="2"/>
      <c r="M810" s="64"/>
    </row>
    <row r="811" spans="1:13" x14ac:dyDescent="0.25">
      <c r="A811" s="39" t="s">
        <v>520</v>
      </c>
      <c r="B811" s="2"/>
      <c r="C811" s="2"/>
      <c r="D811" s="2"/>
      <c r="E811" s="2"/>
      <c r="F811" s="2"/>
      <c r="G811" s="2"/>
      <c r="H811" s="2"/>
      <c r="I811" s="2"/>
      <c r="M811" s="64"/>
    </row>
    <row r="812" spans="1:13" x14ac:dyDescent="0.25">
      <c r="A812" s="39" t="s">
        <v>481</v>
      </c>
      <c r="B812" s="2"/>
      <c r="C812" s="2"/>
      <c r="D812" s="2"/>
      <c r="E812" s="2"/>
      <c r="F812" s="2"/>
      <c r="G812" s="2"/>
      <c r="H812" s="2"/>
      <c r="I812" s="2"/>
      <c r="M812" s="64"/>
    </row>
    <row r="813" spans="1:13" x14ac:dyDescent="0.25">
      <c r="A813" s="39" t="s">
        <v>483</v>
      </c>
      <c r="B813" s="2"/>
      <c r="C813" s="2"/>
      <c r="D813" s="2"/>
      <c r="E813" s="2"/>
      <c r="F813" s="2"/>
      <c r="G813" s="2"/>
      <c r="H813" s="2"/>
      <c r="I813" s="2"/>
      <c r="M813" s="64"/>
    </row>
    <row r="814" spans="1:13" x14ac:dyDescent="0.25">
      <c r="A814" s="39" t="s">
        <v>482</v>
      </c>
      <c r="B814" s="2"/>
      <c r="C814" s="2"/>
      <c r="D814" s="2"/>
      <c r="E814" s="2"/>
      <c r="F814" s="2"/>
      <c r="G814" s="2"/>
      <c r="H814" s="2"/>
      <c r="I814" s="2"/>
      <c r="M814" s="64"/>
    </row>
    <row r="815" spans="1:13" ht="44.25" customHeight="1" x14ac:dyDescent="0.25">
      <c r="A815" s="690" t="s">
        <v>636</v>
      </c>
      <c r="B815" s="691"/>
      <c r="C815" s="691"/>
      <c r="D815" s="691"/>
      <c r="E815" s="691"/>
      <c r="F815" s="691"/>
      <c r="G815" s="691"/>
      <c r="H815" s="691"/>
      <c r="I815" s="691"/>
      <c r="J815" s="691"/>
      <c r="K815" s="691"/>
      <c r="L815" s="691"/>
      <c r="M815" s="64"/>
    </row>
    <row r="816" spans="1:13" x14ac:dyDescent="0.25">
      <c r="A816" s="161" t="s">
        <v>1002</v>
      </c>
      <c r="B816" s="32"/>
      <c r="C816" s="32"/>
      <c r="D816" s="32"/>
      <c r="E816" s="32"/>
      <c r="F816" s="32"/>
      <c r="G816" s="32"/>
      <c r="H816" s="32"/>
      <c r="I816" s="32"/>
      <c r="J816" s="32"/>
      <c r="M816" s="64"/>
    </row>
    <row r="817" spans="1:13" x14ac:dyDescent="0.25">
      <c r="A817" s="288" t="s">
        <v>1005</v>
      </c>
      <c r="B817" s="289"/>
      <c r="C817" s="289"/>
      <c r="D817" s="289"/>
      <c r="E817" s="289"/>
      <c r="F817" s="289"/>
      <c r="G817" s="289"/>
      <c r="H817" s="289"/>
      <c r="I817" s="289"/>
      <c r="J817" s="34"/>
      <c r="K817" s="34"/>
      <c r="L817" s="34"/>
      <c r="M817" s="48"/>
    </row>
    <row r="819" spans="1:13" x14ac:dyDescent="0.25">
      <c r="A819" s="6" t="s">
        <v>14</v>
      </c>
      <c r="B819" s="173" t="s">
        <v>641</v>
      </c>
      <c r="C819" s="7" t="s">
        <v>15</v>
      </c>
    </row>
    <row r="820" spans="1:13" x14ac:dyDescent="0.25">
      <c r="A820" s="41" t="s">
        <v>16</v>
      </c>
      <c r="B820" s="274">
        <v>2014</v>
      </c>
      <c r="C820" s="154">
        <v>2015</v>
      </c>
      <c r="D820" s="154">
        <v>2016</v>
      </c>
      <c r="E820" s="154">
        <v>2017</v>
      </c>
      <c r="F820" s="154">
        <v>2018</v>
      </c>
      <c r="G820" s="154">
        <v>2019</v>
      </c>
      <c r="H820" s="154">
        <v>2020</v>
      </c>
      <c r="I820" s="154">
        <v>2021</v>
      </c>
      <c r="J820" s="154">
        <v>2022</v>
      </c>
      <c r="K820" s="154">
        <v>2023</v>
      </c>
      <c r="L820" s="154">
        <v>2024</v>
      </c>
      <c r="M820" s="154">
        <v>2025</v>
      </c>
    </row>
    <row r="821" spans="1:13" x14ac:dyDescent="0.25">
      <c r="A821" s="10" t="s">
        <v>17</v>
      </c>
      <c r="B821" s="275">
        <v>4824</v>
      </c>
      <c r="C821" s="275">
        <v>4824</v>
      </c>
      <c r="D821" s="275">
        <v>4824</v>
      </c>
      <c r="E821" s="275">
        <v>4824</v>
      </c>
      <c r="F821" s="275">
        <v>4824</v>
      </c>
      <c r="G821" s="275">
        <v>4824</v>
      </c>
      <c r="H821" s="275">
        <v>4824</v>
      </c>
      <c r="I821" s="275">
        <v>4824</v>
      </c>
      <c r="J821" s="275">
        <v>4824</v>
      </c>
      <c r="K821" s="275">
        <v>4824</v>
      </c>
      <c r="L821" s="275">
        <v>4824</v>
      </c>
      <c r="M821" s="290">
        <v>4824</v>
      </c>
    </row>
    <row r="822" spans="1:13" x14ac:dyDescent="0.25">
      <c r="A822" s="10" t="s">
        <v>18</v>
      </c>
      <c r="B822" s="275">
        <v>5141.7</v>
      </c>
      <c r="C822" s="275">
        <v>5695.4</v>
      </c>
      <c r="D822" s="275">
        <v>5601.06</v>
      </c>
      <c r="E822" s="275">
        <v>5224.38</v>
      </c>
      <c r="F822" s="275">
        <v>4963.5200000000004</v>
      </c>
      <c r="G822" s="275">
        <v>4928.1499999999996</v>
      </c>
      <c r="H822" s="275">
        <v>5011.2030000000004</v>
      </c>
      <c r="I822" s="275">
        <f>I821+G825</f>
        <v>5243.19</v>
      </c>
      <c r="J822" s="275">
        <f>J821+H825</f>
        <v>5085.0014400000018</v>
      </c>
      <c r="K822" s="275">
        <f>K821+0.1*I821</f>
        <v>5306.4</v>
      </c>
      <c r="L822" s="275">
        <f>L821+0.1*J821</f>
        <v>5306.4</v>
      </c>
      <c r="M822" s="290">
        <f>K825+M821</f>
        <v>4852.4709999999995</v>
      </c>
    </row>
    <row r="823" spans="1:13" ht="26.4" x14ac:dyDescent="0.25">
      <c r="A823" s="10" t="s">
        <v>19</v>
      </c>
      <c r="B823" s="276" t="s">
        <v>59</v>
      </c>
      <c r="C823" s="276" t="s">
        <v>60</v>
      </c>
      <c r="D823" s="276" t="s">
        <v>61</v>
      </c>
      <c r="E823" s="291" t="s">
        <v>62</v>
      </c>
      <c r="F823" s="291" t="s">
        <v>63</v>
      </c>
      <c r="G823" s="291" t="s">
        <v>64</v>
      </c>
      <c r="H823" s="291" t="s">
        <v>65</v>
      </c>
      <c r="I823" s="195" t="s">
        <v>264</v>
      </c>
      <c r="J823" s="195" t="s">
        <v>487</v>
      </c>
      <c r="K823" s="195" t="s">
        <v>879</v>
      </c>
      <c r="L823" s="195" t="s">
        <v>1007</v>
      </c>
      <c r="M823" s="292" t="s">
        <v>1174</v>
      </c>
    </row>
    <row r="824" spans="1:13" s="269" customFormat="1" x14ac:dyDescent="0.25">
      <c r="A824" s="286" t="s">
        <v>20</v>
      </c>
      <c r="B824" s="12">
        <v>4364.6400000000003</v>
      </c>
      <c r="C824" s="12">
        <v>5295.02</v>
      </c>
      <c r="D824" s="12">
        <v>5461.54</v>
      </c>
      <c r="E824" s="12">
        <v>5120.2</v>
      </c>
      <c r="F824" s="12">
        <v>4776.317</v>
      </c>
      <c r="G824" s="12">
        <v>4508.96</v>
      </c>
      <c r="H824" s="12">
        <v>4750.2015599999986</v>
      </c>
      <c r="I824" s="12">
        <v>4695.1249299999999</v>
      </c>
      <c r="J824" s="12">
        <v>3802.12</v>
      </c>
      <c r="K824" s="12">
        <v>5277.9290000000001</v>
      </c>
      <c r="L824" s="12">
        <v>4818.67</v>
      </c>
      <c r="M824" s="293"/>
    </row>
    <row r="825" spans="1:13" x14ac:dyDescent="0.25">
      <c r="A825" s="10" t="s">
        <v>21</v>
      </c>
      <c r="B825" s="12">
        <v>777.06</v>
      </c>
      <c r="C825" s="12">
        <v>400.38</v>
      </c>
      <c r="D825" s="12">
        <v>139.52000000000001</v>
      </c>
      <c r="E825" s="12">
        <v>104.2</v>
      </c>
      <c r="F825" s="12">
        <v>187.20300000000043</v>
      </c>
      <c r="G825" s="12">
        <v>419.1899999999996</v>
      </c>
      <c r="H825" s="12">
        <v>261.00144000000182</v>
      </c>
      <c r="I825" s="12">
        <f>I822-I824</f>
        <v>548.06506999999965</v>
      </c>
      <c r="J825" s="12">
        <f>J822-J824</f>
        <v>1282.8814400000019</v>
      </c>
      <c r="K825" s="12">
        <f>K822-K824</f>
        <v>28.470999999999549</v>
      </c>
      <c r="L825" s="12">
        <f>L822-L824</f>
        <v>487.72999999999956</v>
      </c>
      <c r="M825" s="294"/>
    </row>
    <row r="826" spans="1:13" x14ac:dyDescent="0.25">
      <c r="A826" s="16" t="s">
        <v>22</v>
      </c>
      <c r="B826" s="159">
        <v>2016</v>
      </c>
      <c r="C826" s="159">
        <v>2017</v>
      </c>
      <c r="D826" s="159">
        <v>2018</v>
      </c>
      <c r="E826" s="159">
        <v>2019</v>
      </c>
      <c r="F826" s="159">
        <v>2020</v>
      </c>
      <c r="G826" s="159">
        <v>2021</v>
      </c>
      <c r="H826" s="159">
        <v>2022</v>
      </c>
      <c r="I826" s="159">
        <v>2023</v>
      </c>
      <c r="J826" s="159">
        <v>2024</v>
      </c>
      <c r="K826" s="159">
        <v>2025</v>
      </c>
      <c r="L826" s="159">
        <v>2026</v>
      </c>
      <c r="M826" s="295">
        <v>2027</v>
      </c>
    </row>
    <row r="827" spans="1:13" x14ac:dyDescent="0.25">
      <c r="A827" s="18" t="s">
        <v>484</v>
      </c>
      <c r="B827" s="279"/>
      <c r="C827" s="279"/>
      <c r="D827" s="279"/>
      <c r="E827" s="279"/>
      <c r="F827" s="279"/>
      <c r="G827" s="279"/>
      <c r="H827" s="279"/>
      <c r="I827" s="279"/>
      <c r="J827" s="19"/>
      <c r="K827" s="19"/>
      <c r="L827" s="19"/>
      <c r="M827" s="63"/>
    </row>
    <row r="828" spans="1:13" x14ac:dyDescent="0.25">
      <c r="A828" s="39" t="s">
        <v>485</v>
      </c>
      <c r="B828" s="280"/>
      <c r="C828" s="280"/>
      <c r="D828" s="280"/>
      <c r="E828" s="280"/>
      <c r="F828" s="280"/>
      <c r="G828" s="280"/>
      <c r="H828" s="280"/>
      <c r="I828" s="280"/>
      <c r="M828" s="64"/>
    </row>
    <row r="829" spans="1:13" x14ac:dyDescent="0.25">
      <c r="A829" s="39" t="s">
        <v>486</v>
      </c>
      <c r="B829" s="280"/>
      <c r="C829" s="280"/>
      <c r="D829" s="280"/>
      <c r="E829" s="280"/>
      <c r="F829" s="280"/>
      <c r="G829" s="280"/>
      <c r="H829" s="280"/>
      <c r="I829" s="280"/>
      <c r="M829" s="64"/>
    </row>
    <row r="830" spans="1:13" x14ac:dyDescent="0.25">
      <c r="A830" s="696" t="s">
        <v>878</v>
      </c>
      <c r="B830" s="697"/>
      <c r="C830" s="697"/>
      <c r="D830" s="697"/>
      <c r="E830" s="697"/>
      <c r="F830" s="697"/>
      <c r="G830" s="697"/>
      <c r="H830" s="697"/>
      <c r="I830" s="697"/>
      <c r="J830" s="697"/>
      <c r="M830" s="64"/>
    </row>
    <row r="831" spans="1:13" x14ac:dyDescent="0.25">
      <c r="A831" s="296" t="s">
        <v>1006</v>
      </c>
      <c r="B831" s="297"/>
      <c r="C831" s="297"/>
      <c r="D831" s="297"/>
      <c r="E831" s="297"/>
      <c r="F831" s="297"/>
      <c r="G831" s="297"/>
      <c r="H831" s="297"/>
      <c r="I831" s="297"/>
      <c r="J831" s="297"/>
      <c r="K831" s="34"/>
      <c r="L831" s="34"/>
      <c r="M831" s="48"/>
    </row>
    <row r="832" spans="1:13" s="50" customFormat="1" ht="14.4" x14ac:dyDescent="0.3">
      <c r="A832" s="3"/>
      <c r="B832" s="3"/>
      <c r="C832" s="3"/>
      <c r="D832" s="3"/>
      <c r="E832" s="3"/>
      <c r="F832" s="3"/>
      <c r="G832" s="3"/>
      <c r="H832" s="3"/>
      <c r="I832" s="3"/>
      <c r="J832" s="3"/>
      <c r="K832" s="3"/>
    </row>
    <row r="833" spans="1:11" s="50" customFormat="1" ht="14.4" x14ac:dyDescent="0.3">
      <c r="A833" s="6" t="s">
        <v>14</v>
      </c>
      <c r="B833" s="173" t="s">
        <v>642</v>
      </c>
      <c r="C833" s="7" t="s">
        <v>15</v>
      </c>
      <c r="D833" s="3"/>
      <c r="E833" s="3"/>
      <c r="F833" s="3"/>
      <c r="G833" s="3"/>
      <c r="H833" s="3"/>
      <c r="I833" s="3"/>
      <c r="J833" s="3"/>
      <c r="K833" s="3"/>
    </row>
    <row r="834" spans="1:11" s="50" customFormat="1" ht="14.4" x14ac:dyDescent="0.3">
      <c r="A834" s="41" t="s">
        <v>16</v>
      </c>
      <c r="B834" s="274">
        <v>2020</v>
      </c>
      <c r="C834" s="154">
        <v>2021</v>
      </c>
      <c r="D834" s="154">
        <v>2022</v>
      </c>
      <c r="E834" s="154">
        <v>2023</v>
      </c>
      <c r="F834" s="154">
        <v>2024</v>
      </c>
      <c r="G834" s="154">
        <v>2025</v>
      </c>
      <c r="H834" s="154">
        <v>2026</v>
      </c>
      <c r="I834" s="154"/>
      <c r="J834" s="154"/>
      <c r="K834" s="3"/>
    </row>
    <row r="835" spans="1:11" s="50" customFormat="1" ht="14.4" x14ac:dyDescent="0.3">
      <c r="A835" s="10" t="s">
        <v>17</v>
      </c>
      <c r="B835" s="298">
        <v>19460</v>
      </c>
      <c r="C835" s="298">
        <v>19460</v>
      </c>
      <c r="D835" s="298">
        <v>19460</v>
      </c>
      <c r="E835" s="275">
        <v>21503</v>
      </c>
      <c r="F835" s="275">
        <v>21503</v>
      </c>
      <c r="G835" s="275">
        <v>21503</v>
      </c>
      <c r="H835" s="275">
        <v>21503</v>
      </c>
      <c r="I835" s="11"/>
      <c r="J835" s="11"/>
      <c r="K835" s="3"/>
    </row>
    <row r="836" spans="1:11" s="50" customFormat="1" ht="14.4" x14ac:dyDescent="0.3">
      <c r="A836" s="10" t="s">
        <v>18</v>
      </c>
      <c r="B836" s="275"/>
      <c r="C836" s="275">
        <f>C835+B839-48.4</f>
        <v>19737.565544000001</v>
      </c>
      <c r="D836" s="12">
        <f>D835+C839-19360*0.0025</f>
        <v>19985.500093000002</v>
      </c>
      <c r="E836" s="275">
        <f>E835+0.05*D835</f>
        <v>22476</v>
      </c>
      <c r="F836" s="275">
        <f>F835+0.05*E835</f>
        <v>22578.15</v>
      </c>
      <c r="G836" s="275">
        <f>G835+0.05*F835+200</f>
        <v>22778.15</v>
      </c>
      <c r="H836" s="275">
        <f>H835+0.05*G835</f>
        <v>22578.15</v>
      </c>
      <c r="I836" s="12"/>
      <c r="J836" s="12"/>
      <c r="K836" s="3"/>
    </row>
    <row r="837" spans="1:11" s="50" customFormat="1" ht="27" x14ac:dyDescent="0.3">
      <c r="A837" s="10" t="s">
        <v>19</v>
      </c>
      <c r="B837" s="291"/>
      <c r="C837" s="195" t="s">
        <v>873</v>
      </c>
      <c r="D837" s="299" t="s">
        <v>874</v>
      </c>
      <c r="E837" s="291" t="s">
        <v>951</v>
      </c>
      <c r="F837" s="291" t="s">
        <v>1008</v>
      </c>
      <c r="G837" s="291" t="s">
        <v>1273</v>
      </c>
      <c r="H837" s="291" t="s">
        <v>1271</v>
      </c>
      <c r="I837" s="195"/>
      <c r="J837" s="195"/>
      <c r="K837" s="3"/>
    </row>
    <row r="838" spans="1:11" s="50" customFormat="1" ht="14.4" x14ac:dyDescent="0.3">
      <c r="A838" s="286" t="s">
        <v>20</v>
      </c>
      <c r="B838" s="12">
        <v>19134.034455999998</v>
      </c>
      <c r="C838" s="12">
        <v>19163.665450999997</v>
      </c>
      <c r="D838" s="12">
        <v>18950.900000000001</v>
      </c>
      <c r="E838" s="12">
        <v>21104.23</v>
      </c>
      <c r="F838" s="12">
        <v>20865.420999999998</v>
      </c>
      <c r="G838" s="12"/>
      <c r="H838" s="12"/>
      <c r="I838" s="12"/>
      <c r="J838" s="12"/>
      <c r="K838" s="3"/>
    </row>
    <row r="839" spans="1:11" s="50" customFormat="1" ht="14.4" x14ac:dyDescent="0.3">
      <c r="A839" s="286" t="s">
        <v>21</v>
      </c>
      <c r="B839" s="12">
        <f>B835-B838</f>
        <v>325.96554400000241</v>
      </c>
      <c r="C839" s="12">
        <f>C836-C838</f>
        <v>573.90009300000384</v>
      </c>
      <c r="D839" s="12">
        <f>D836-D838</f>
        <v>1034.6000930000009</v>
      </c>
      <c r="E839" s="12">
        <f>E836-E838</f>
        <v>1371.7700000000004</v>
      </c>
      <c r="F839" s="12">
        <f>F836-F838</f>
        <v>1712.729000000003</v>
      </c>
      <c r="G839" s="12"/>
      <c r="H839" s="12"/>
      <c r="I839" s="12"/>
      <c r="J839" s="12"/>
      <c r="K839" s="3"/>
    </row>
    <row r="840" spans="1:11" s="50" customFormat="1" ht="14.4" x14ac:dyDescent="0.3">
      <c r="A840" s="16" t="s">
        <v>22</v>
      </c>
      <c r="B840" s="159">
        <v>2021</v>
      </c>
      <c r="C840" s="159">
        <v>2022</v>
      </c>
      <c r="D840" s="159">
        <v>2023</v>
      </c>
      <c r="E840" s="300"/>
      <c r="F840" s="300"/>
      <c r="G840" s="300"/>
      <c r="H840" s="300"/>
      <c r="I840" s="300"/>
      <c r="J840" s="300"/>
      <c r="K840" s="3"/>
    </row>
    <row r="841" spans="1:11" s="50" customFormat="1" ht="14.4" x14ac:dyDescent="0.3">
      <c r="A841" s="18" t="s">
        <v>872</v>
      </c>
      <c r="B841" s="279"/>
      <c r="C841" s="279"/>
      <c r="D841" s="279"/>
      <c r="E841" s="279"/>
      <c r="F841" s="279"/>
      <c r="G841" s="279"/>
      <c r="H841" s="279"/>
      <c r="I841" s="279"/>
      <c r="J841" s="301"/>
      <c r="K841" s="3"/>
    </row>
    <row r="842" spans="1:11" s="50" customFormat="1" ht="14.4" x14ac:dyDescent="0.3">
      <c r="A842" s="39" t="s">
        <v>875</v>
      </c>
      <c r="B842" s="280"/>
      <c r="C842" s="280"/>
      <c r="D842" s="280"/>
      <c r="E842" s="280"/>
      <c r="F842" s="280"/>
      <c r="G842" s="280"/>
      <c r="H842" s="280"/>
      <c r="I842" s="280"/>
      <c r="J842" s="302"/>
      <c r="K842" s="3"/>
    </row>
    <row r="843" spans="1:11" s="50" customFormat="1" ht="14.4" x14ac:dyDescent="0.3">
      <c r="A843" s="39" t="s">
        <v>495</v>
      </c>
      <c r="B843" s="280"/>
      <c r="C843" s="280"/>
      <c r="D843" s="280"/>
      <c r="E843" s="280"/>
      <c r="F843" s="280"/>
      <c r="G843" s="280"/>
      <c r="H843" s="280"/>
      <c r="I843" s="280"/>
      <c r="J843" s="302"/>
      <c r="K843" s="3"/>
    </row>
    <row r="844" spans="1:11" s="50" customFormat="1" ht="14.4" x14ac:dyDescent="0.3">
      <c r="A844" s="39" t="s">
        <v>496</v>
      </c>
      <c r="B844" s="280"/>
      <c r="C844" s="280"/>
      <c r="D844" s="280"/>
      <c r="E844" s="280"/>
      <c r="F844" s="280"/>
      <c r="G844" s="280"/>
      <c r="H844" s="280"/>
      <c r="I844" s="280"/>
      <c r="J844" s="302"/>
      <c r="K844" s="3"/>
    </row>
    <row r="845" spans="1:11" s="50" customFormat="1" ht="14.4" x14ac:dyDescent="0.3">
      <c r="A845" s="39" t="s">
        <v>876</v>
      </c>
      <c r="B845" s="280"/>
      <c r="C845" s="280"/>
      <c r="D845" s="280"/>
      <c r="E845" s="280"/>
      <c r="F845" s="280"/>
      <c r="G845" s="280"/>
      <c r="H845" s="280"/>
      <c r="I845" s="280"/>
      <c r="J845" s="302"/>
      <c r="K845" s="3"/>
    </row>
    <row r="846" spans="1:11" s="50" customFormat="1" ht="14.4" x14ac:dyDescent="0.3">
      <c r="A846" s="303" t="s">
        <v>1009</v>
      </c>
      <c r="B846" s="304"/>
      <c r="C846" s="304"/>
      <c r="D846" s="304"/>
      <c r="E846" s="304"/>
      <c r="F846" s="304"/>
      <c r="G846" s="304"/>
      <c r="H846" s="304"/>
      <c r="I846" s="304"/>
      <c r="J846" s="305"/>
      <c r="K846" s="3"/>
    </row>
    <row r="847" spans="1:11" s="50" customFormat="1" ht="14.4" x14ac:dyDescent="0.3">
      <c r="A847" s="303" t="s">
        <v>1010</v>
      </c>
      <c r="B847" s="304"/>
      <c r="C847" s="304"/>
      <c r="D847" s="304"/>
      <c r="E847" s="304"/>
      <c r="F847" s="304"/>
      <c r="G847" s="304"/>
      <c r="H847" s="304"/>
      <c r="I847" s="304"/>
      <c r="J847" s="305"/>
      <c r="K847" s="3"/>
    </row>
    <row r="848" spans="1:11" s="50" customFormat="1" ht="14.4" x14ac:dyDescent="0.3">
      <c r="A848" s="303" t="s">
        <v>1175</v>
      </c>
      <c r="B848" s="304"/>
      <c r="C848" s="304"/>
      <c r="D848" s="304"/>
      <c r="E848" s="304"/>
      <c r="F848" s="304"/>
      <c r="G848" s="304"/>
      <c r="H848" s="304"/>
      <c r="I848" s="304"/>
      <c r="J848" s="305"/>
      <c r="K848" s="3"/>
    </row>
    <row r="849" spans="1:13" s="59" customFormat="1" ht="14.4" x14ac:dyDescent="0.3">
      <c r="A849" s="306" t="s">
        <v>1272</v>
      </c>
      <c r="B849" s="307"/>
      <c r="C849" s="307"/>
      <c r="D849" s="307"/>
      <c r="E849" s="307"/>
      <c r="F849" s="307"/>
      <c r="G849" s="307"/>
      <c r="H849" s="307"/>
      <c r="I849" s="307"/>
      <c r="J849" s="308"/>
      <c r="K849" s="34"/>
    </row>
    <row r="851" spans="1:13" x14ac:dyDescent="0.25">
      <c r="A851" s="6" t="s">
        <v>14</v>
      </c>
      <c r="B851" s="173" t="s">
        <v>66</v>
      </c>
      <c r="C851" s="7" t="s">
        <v>15</v>
      </c>
    </row>
    <row r="852" spans="1:13" x14ac:dyDescent="0.25">
      <c r="A852" s="41" t="s">
        <v>16</v>
      </c>
      <c r="B852" s="274">
        <v>2014</v>
      </c>
      <c r="C852" s="154">
        <v>2015</v>
      </c>
      <c r="D852" s="154">
        <v>2016</v>
      </c>
      <c r="E852" s="154">
        <v>2017</v>
      </c>
      <c r="F852" s="154">
        <v>2018</v>
      </c>
      <c r="G852" s="154">
        <v>2019</v>
      </c>
      <c r="H852" s="154">
        <v>2020</v>
      </c>
      <c r="I852" s="154">
        <v>2021</v>
      </c>
      <c r="J852" s="154">
        <v>2022</v>
      </c>
      <c r="K852" s="154">
        <v>2023</v>
      </c>
      <c r="L852" s="154">
        <v>2024</v>
      </c>
      <c r="M852" s="154">
        <v>2025</v>
      </c>
    </row>
    <row r="853" spans="1:13" x14ac:dyDescent="0.25">
      <c r="A853" s="10" t="s">
        <v>17</v>
      </c>
      <c r="B853" s="275">
        <v>22667</v>
      </c>
      <c r="C853" s="275">
        <v>22667</v>
      </c>
      <c r="D853" s="275">
        <v>16989</v>
      </c>
      <c r="E853" s="275">
        <v>16989</v>
      </c>
      <c r="F853" s="275">
        <v>16989</v>
      </c>
      <c r="G853" s="275">
        <v>16989</v>
      </c>
      <c r="H853" s="309">
        <v>13421.3</v>
      </c>
      <c r="I853" s="11">
        <v>13206.57</v>
      </c>
      <c r="J853" s="11">
        <v>13313.94</v>
      </c>
      <c r="K853" s="11">
        <v>13313.94</v>
      </c>
      <c r="L853" s="12">
        <v>13313.93952</v>
      </c>
      <c r="M853" s="11">
        <v>13576.29</v>
      </c>
    </row>
    <row r="854" spans="1:13" x14ac:dyDescent="0.25">
      <c r="A854" s="10" t="s">
        <v>18</v>
      </c>
      <c r="B854" s="275">
        <v>29467.1</v>
      </c>
      <c r="C854" s="275">
        <v>29467.1</v>
      </c>
      <c r="D854" s="275">
        <v>23789.1</v>
      </c>
      <c r="E854" s="275">
        <v>20389.099999999999</v>
      </c>
      <c r="F854" s="275">
        <v>19537.400000000001</v>
      </c>
      <c r="G854" s="275">
        <v>17157.5</v>
      </c>
      <c r="H854" s="275">
        <f>H853+F857+300</f>
        <v>15842.646000000001</v>
      </c>
      <c r="I854" s="12">
        <f>I853+G857</f>
        <v>13453.544999999998</v>
      </c>
      <c r="J854" s="12">
        <f>J853+0.1*H853</f>
        <v>14656.07</v>
      </c>
      <c r="K854" s="12">
        <f>K853+0.1*I853</f>
        <v>14634.597000000002</v>
      </c>
      <c r="L854" s="12">
        <f>L853+0.1*J853</f>
        <v>14645.33352</v>
      </c>
      <c r="M854" s="12">
        <f>M853+0.1*K853</f>
        <v>14907.684000000001</v>
      </c>
    </row>
    <row r="855" spans="1:13" ht="26.4" x14ac:dyDescent="0.25">
      <c r="A855" s="10" t="s">
        <v>19</v>
      </c>
      <c r="B855" s="276" t="s">
        <v>67</v>
      </c>
      <c r="C855" s="276" t="s">
        <v>67</v>
      </c>
      <c r="D855" s="276" t="s">
        <v>68</v>
      </c>
      <c r="E855" s="291" t="s">
        <v>69</v>
      </c>
      <c r="F855" s="291" t="s">
        <v>70</v>
      </c>
      <c r="G855" s="291" t="s">
        <v>71</v>
      </c>
      <c r="H855" s="291" t="s">
        <v>265</v>
      </c>
      <c r="I855" s="195" t="s">
        <v>266</v>
      </c>
      <c r="J855" s="195" t="s">
        <v>582</v>
      </c>
      <c r="K855" s="195" t="s">
        <v>877</v>
      </c>
      <c r="L855" s="195" t="s">
        <v>1011</v>
      </c>
      <c r="M855" s="195" t="s">
        <v>1224</v>
      </c>
    </row>
    <row r="856" spans="1:13" x14ac:dyDescent="0.25">
      <c r="A856" s="286" t="s">
        <v>20</v>
      </c>
      <c r="B856" s="12">
        <v>18152.900000000001</v>
      </c>
      <c r="C856" s="12">
        <v>15741.23</v>
      </c>
      <c r="D856" s="12">
        <v>18059.400000000001</v>
      </c>
      <c r="E856" s="12">
        <v>20220.53</v>
      </c>
      <c r="F856" s="12">
        <v>17416.054</v>
      </c>
      <c r="G856" s="12">
        <v>16910.525000000001</v>
      </c>
      <c r="H856" s="12">
        <v>11285.478270000007</v>
      </c>
      <c r="I856" s="12">
        <v>11445.933670000008</v>
      </c>
      <c r="J856" s="12">
        <v>12588.91</v>
      </c>
      <c r="K856" s="12">
        <v>11864.06</v>
      </c>
      <c r="L856" s="12">
        <v>9157.4519999999993</v>
      </c>
      <c r="M856" s="12"/>
    </row>
    <row r="857" spans="1:13" x14ac:dyDescent="0.25">
      <c r="A857" s="310" t="s">
        <v>21</v>
      </c>
      <c r="B857" s="311">
        <v>11314.2</v>
      </c>
      <c r="C857" s="311">
        <v>13725.87</v>
      </c>
      <c r="D857" s="311">
        <v>5729.68</v>
      </c>
      <c r="E857" s="311">
        <v>168.52</v>
      </c>
      <c r="F857" s="311">
        <v>2121.3460000000014</v>
      </c>
      <c r="G857" s="311">
        <f t="shared" ref="G857:L857" si="39">G854-G856</f>
        <v>246.97499999999854</v>
      </c>
      <c r="H857" s="311">
        <f t="shared" si="39"/>
        <v>4557.1677299999938</v>
      </c>
      <c r="I857" s="311">
        <f t="shared" si="39"/>
        <v>2007.6113299999906</v>
      </c>
      <c r="J857" s="311">
        <f t="shared" si="39"/>
        <v>2067.16</v>
      </c>
      <c r="K857" s="311">
        <f t="shared" si="39"/>
        <v>2770.5370000000021</v>
      </c>
      <c r="L857" s="311">
        <f t="shared" si="39"/>
        <v>5487.8815200000008</v>
      </c>
      <c r="M857" s="311"/>
    </row>
    <row r="858" spans="1:13" x14ac:dyDescent="0.25">
      <c r="A858" s="17" t="s">
        <v>22</v>
      </c>
      <c r="B858" s="159">
        <v>2016</v>
      </c>
      <c r="C858" s="159">
        <v>2017</v>
      </c>
      <c r="D858" s="159">
        <v>2018</v>
      </c>
      <c r="E858" s="159">
        <v>2019</v>
      </c>
      <c r="F858" s="159" t="s">
        <v>72</v>
      </c>
      <c r="G858" s="159" t="s">
        <v>73</v>
      </c>
      <c r="H858" s="159">
        <v>2022</v>
      </c>
      <c r="I858" s="159">
        <v>2023</v>
      </c>
      <c r="J858" s="159">
        <v>2024</v>
      </c>
      <c r="K858" s="159">
        <v>2025</v>
      </c>
      <c r="L858" s="159">
        <v>2026</v>
      </c>
      <c r="M858" s="197">
        <v>2027</v>
      </c>
    </row>
    <row r="859" spans="1:13" x14ac:dyDescent="0.25">
      <c r="A859" s="18" t="s">
        <v>488</v>
      </c>
      <c r="B859" s="279"/>
      <c r="C859" s="279"/>
      <c r="D859" s="279"/>
      <c r="E859" s="279"/>
      <c r="F859" s="279"/>
      <c r="G859" s="279"/>
      <c r="H859" s="279"/>
      <c r="I859" s="279"/>
      <c r="J859" s="19"/>
      <c r="K859" s="19"/>
      <c r="L859" s="19"/>
      <c r="M859" s="63"/>
    </row>
    <row r="860" spans="1:13" x14ac:dyDescent="0.25">
      <c r="A860" s="39" t="s">
        <v>489</v>
      </c>
      <c r="B860" s="280"/>
      <c r="C860" s="280"/>
      <c r="D860" s="280"/>
      <c r="E860" s="280"/>
      <c r="F860" s="280"/>
      <c r="G860" s="280"/>
      <c r="H860" s="280"/>
      <c r="I860" s="280"/>
      <c r="M860" s="64"/>
    </row>
    <row r="861" spans="1:13" ht="14.4" x14ac:dyDescent="0.25">
      <c r="A861" s="39" t="s">
        <v>732</v>
      </c>
      <c r="B861" s="280"/>
      <c r="C861" s="280"/>
      <c r="D861" s="280"/>
      <c r="E861" s="280"/>
      <c r="F861" s="280"/>
      <c r="G861" s="280"/>
      <c r="H861" s="280"/>
      <c r="I861" s="280"/>
      <c r="M861" s="64"/>
    </row>
    <row r="862" spans="1:13" x14ac:dyDescent="0.25">
      <c r="A862" s="41" t="s">
        <v>583</v>
      </c>
      <c r="B862" s="281"/>
      <c r="C862" s="281"/>
      <c r="D862" s="281"/>
      <c r="E862" s="281"/>
      <c r="F862" s="281"/>
      <c r="G862" s="281"/>
      <c r="H862" s="281"/>
      <c r="I862" s="281"/>
      <c r="J862" s="34"/>
      <c r="K862" s="34"/>
      <c r="L862" s="34"/>
      <c r="M862" s="48"/>
    </row>
    <row r="863" spans="1:13" x14ac:dyDescent="0.25">
      <c r="B863" s="4"/>
      <c r="C863" s="4"/>
      <c r="D863" s="4"/>
      <c r="E863" s="4"/>
      <c r="F863" s="4"/>
      <c r="G863" s="4"/>
      <c r="H863" s="4"/>
      <c r="I863" s="4"/>
    </row>
    <row r="865" spans="1:13" x14ac:dyDescent="0.25">
      <c r="A865" s="6" t="s">
        <v>14</v>
      </c>
      <c r="B865" s="173" t="s">
        <v>74</v>
      </c>
      <c r="C865" s="7" t="s">
        <v>15</v>
      </c>
    </row>
    <row r="866" spans="1:13" x14ac:dyDescent="0.25">
      <c r="A866" s="41" t="s">
        <v>16</v>
      </c>
      <c r="B866" s="274">
        <v>2014</v>
      </c>
      <c r="C866" s="154">
        <v>2015</v>
      </c>
      <c r="D866" s="154">
        <v>2016</v>
      </c>
      <c r="E866" s="154">
        <v>2017</v>
      </c>
      <c r="F866" s="154">
        <v>2018</v>
      </c>
      <c r="G866" s="154">
        <v>2019</v>
      </c>
      <c r="H866" s="154">
        <v>2020</v>
      </c>
      <c r="I866" s="154">
        <v>2021</v>
      </c>
      <c r="J866" s="154">
        <v>2022</v>
      </c>
      <c r="K866" s="154">
        <v>2023</v>
      </c>
      <c r="L866" s="154">
        <v>2024</v>
      </c>
      <c r="M866" s="154">
        <v>2025</v>
      </c>
    </row>
    <row r="867" spans="1:13" x14ac:dyDescent="0.25">
      <c r="A867" s="10" t="s">
        <v>17</v>
      </c>
      <c r="B867" s="275">
        <v>480</v>
      </c>
      <c r="C867" s="275">
        <v>480</v>
      </c>
      <c r="D867" s="275">
        <v>480</v>
      </c>
      <c r="E867" s="275">
        <v>480</v>
      </c>
      <c r="F867" s="275">
        <v>480</v>
      </c>
      <c r="G867" s="275">
        <v>480</v>
      </c>
      <c r="H867" s="298">
        <v>403.8</v>
      </c>
      <c r="I867" s="11">
        <v>403.8</v>
      </c>
      <c r="J867" s="11">
        <v>403.8</v>
      </c>
      <c r="K867" s="11">
        <v>403.8</v>
      </c>
      <c r="L867" s="11">
        <v>403.8</v>
      </c>
      <c r="M867" s="90">
        <v>403.8</v>
      </c>
    </row>
    <row r="868" spans="1:13" x14ac:dyDescent="0.25">
      <c r="A868" s="10" t="s">
        <v>18</v>
      </c>
      <c r="B868" s="275">
        <v>480</v>
      </c>
      <c r="C868" s="275">
        <v>528</v>
      </c>
      <c r="D868" s="275">
        <v>407.63</v>
      </c>
      <c r="E868" s="275">
        <v>414.75</v>
      </c>
      <c r="F868" s="275">
        <v>462.75</v>
      </c>
      <c r="G868" s="275">
        <v>528</v>
      </c>
      <c r="H868" s="275">
        <v>449.8</v>
      </c>
      <c r="I868" s="11">
        <f>I867+0.1*G867-2</f>
        <v>449.8</v>
      </c>
      <c r="J868" s="11">
        <v>401.8</v>
      </c>
      <c r="K868" s="11">
        <v>401.8</v>
      </c>
      <c r="L868" s="11">
        <v>401.8</v>
      </c>
      <c r="M868" s="90">
        <v>401.8</v>
      </c>
    </row>
    <row r="869" spans="1:13" ht="26.4" x14ac:dyDescent="0.25">
      <c r="A869" s="10" t="s">
        <v>19</v>
      </c>
      <c r="B869" s="276">
        <v>480</v>
      </c>
      <c r="C869" s="276">
        <v>528</v>
      </c>
      <c r="D869" s="276" t="s">
        <v>75</v>
      </c>
      <c r="E869" s="291" t="s">
        <v>76</v>
      </c>
      <c r="F869" s="291" t="s">
        <v>77</v>
      </c>
      <c r="G869" s="291" t="s">
        <v>78</v>
      </c>
      <c r="H869" s="291" t="s">
        <v>267</v>
      </c>
      <c r="I869" s="299" t="s">
        <v>268</v>
      </c>
      <c r="J869" s="299" t="s">
        <v>490</v>
      </c>
      <c r="K869" s="299" t="s">
        <v>880</v>
      </c>
      <c r="L869" s="299" t="s">
        <v>1012</v>
      </c>
      <c r="M869" s="90" t="s">
        <v>1176</v>
      </c>
    </row>
    <row r="870" spans="1:13" x14ac:dyDescent="0.25">
      <c r="A870" s="10" t="s">
        <v>20</v>
      </c>
      <c r="B870" s="12">
        <v>552.37</v>
      </c>
      <c r="C870" s="12">
        <v>658.51</v>
      </c>
      <c r="D870" s="12">
        <v>355.07</v>
      </c>
      <c r="E870" s="12">
        <v>338.75</v>
      </c>
      <c r="F870" s="12">
        <v>120.791</v>
      </c>
      <c r="G870" s="12">
        <v>79.62</v>
      </c>
      <c r="H870" s="12">
        <v>138.81700000000001</v>
      </c>
      <c r="I870" s="11">
        <v>105.06</v>
      </c>
      <c r="J870" s="11">
        <v>282.19</v>
      </c>
      <c r="K870" s="11">
        <v>191.54</v>
      </c>
      <c r="L870" s="11">
        <v>135.71</v>
      </c>
      <c r="M870" s="90"/>
    </row>
    <row r="871" spans="1:13" x14ac:dyDescent="0.25">
      <c r="A871" s="10" t="s">
        <v>21</v>
      </c>
      <c r="B871" s="12">
        <v>-72.37</v>
      </c>
      <c r="C871" s="12">
        <v>-130.51</v>
      </c>
      <c r="D871" s="12">
        <f>D868-D870</f>
        <v>52.56</v>
      </c>
      <c r="E871" s="12">
        <f>E868-E870</f>
        <v>76</v>
      </c>
      <c r="F871" s="12">
        <v>341.959</v>
      </c>
      <c r="G871" s="12">
        <f t="shared" ref="G871:L871" si="40">G868-G870</f>
        <v>448.38</v>
      </c>
      <c r="H871" s="12">
        <f t="shared" si="40"/>
        <v>310.983</v>
      </c>
      <c r="I871" s="11">
        <f t="shared" si="40"/>
        <v>344.74</v>
      </c>
      <c r="J871" s="11">
        <f t="shared" si="40"/>
        <v>119.61000000000001</v>
      </c>
      <c r="K871" s="11">
        <f t="shared" si="40"/>
        <v>210.26000000000002</v>
      </c>
      <c r="L871" s="11">
        <f t="shared" si="40"/>
        <v>266.09000000000003</v>
      </c>
      <c r="M871" s="90"/>
    </row>
    <row r="872" spans="1:13" x14ac:dyDescent="0.25">
      <c r="A872" s="16" t="s">
        <v>22</v>
      </c>
      <c r="B872" s="159">
        <v>2016</v>
      </c>
      <c r="C872" s="159">
        <v>2017</v>
      </c>
      <c r="D872" s="159">
        <v>2018</v>
      </c>
      <c r="E872" s="159">
        <v>2019</v>
      </c>
      <c r="F872" s="159" t="s">
        <v>72</v>
      </c>
      <c r="G872" s="159" t="s">
        <v>73</v>
      </c>
      <c r="H872" s="159" t="s">
        <v>161</v>
      </c>
      <c r="I872" s="159" t="s">
        <v>161</v>
      </c>
      <c r="J872" s="159" t="s">
        <v>161</v>
      </c>
      <c r="K872" s="159" t="s">
        <v>161</v>
      </c>
      <c r="L872" s="159" t="s">
        <v>161</v>
      </c>
      <c r="M872" s="180" t="s">
        <v>161</v>
      </c>
    </row>
    <row r="873" spans="1:13" x14ac:dyDescent="0.25">
      <c r="A873" s="18" t="s">
        <v>491</v>
      </c>
      <c r="B873" s="279"/>
      <c r="C873" s="279"/>
      <c r="D873" s="279"/>
      <c r="E873" s="279"/>
      <c r="F873" s="279"/>
      <c r="G873" s="279"/>
      <c r="H873" s="279"/>
      <c r="I873" s="279"/>
      <c r="J873" s="279"/>
      <c r="K873" s="279"/>
      <c r="L873" s="279"/>
      <c r="M873" s="63"/>
    </row>
    <row r="874" spans="1:13" x14ac:dyDescent="0.25">
      <c r="A874" s="39" t="s">
        <v>492</v>
      </c>
      <c r="B874" s="280"/>
      <c r="C874" s="280"/>
      <c r="D874" s="280"/>
      <c r="E874" s="280"/>
      <c r="F874" s="280"/>
      <c r="G874" s="280"/>
      <c r="H874" s="280"/>
      <c r="I874" s="280"/>
      <c r="J874" s="280"/>
      <c r="K874" s="280"/>
      <c r="L874" s="280"/>
      <c r="M874" s="64"/>
    </row>
    <row r="875" spans="1:13" x14ac:dyDescent="0.25">
      <c r="A875" s="312" t="s">
        <v>1067</v>
      </c>
      <c r="B875" s="313"/>
      <c r="C875" s="313"/>
      <c r="D875" s="313"/>
      <c r="E875" s="313"/>
      <c r="F875" s="313"/>
      <c r="G875" s="313"/>
      <c r="H875" s="313"/>
      <c r="I875" s="34"/>
      <c r="J875" s="34"/>
      <c r="K875" s="34"/>
      <c r="L875" s="34"/>
      <c r="M875" s="48"/>
    </row>
    <row r="877" spans="1:13" x14ac:dyDescent="0.25">
      <c r="A877" s="6" t="s">
        <v>14</v>
      </c>
      <c r="B877" s="173" t="s">
        <v>79</v>
      </c>
      <c r="C877" s="7" t="s">
        <v>15</v>
      </c>
    </row>
    <row r="878" spans="1:13" x14ac:dyDescent="0.25">
      <c r="A878" s="41" t="s">
        <v>16</v>
      </c>
      <c r="B878" s="274">
        <v>2014</v>
      </c>
      <c r="C878" s="154">
        <v>2015</v>
      </c>
      <c r="D878" s="154">
        <v>2016</v>
      </c>
      <c r="E878" s="154">
        <v>2017</v>
      </c>
      <c r="F878" s="154">
        <v>2018</v>
      </c>
      <c r="G878" s="154">
        <v>2019</v>
      </c>
      <c r="H878" s="154">
        <v>2020</v>
      </c>
      <c r="I878" s="154">
        <v>2021</v>
      </c>
      <c r="J878" s="154">
        <v>2022</v>
      </c>
    </row>
    <row r="879" spans="1:13" x14ac:dyDescent="0.25">
      <c r="A879" s="10" t="s">
        <v>17</v>
      </c>
      <c r="B879" s="275">
        <v>50</v>
      </c>
      <c r="C879" s="275">
        <v>50</v>
      </c>
      <c r="D879" s="275">
        <v>50</v>
      </c>
      <c r="E879" s="275">
        <v>50</v>
      </c>
      <c r="F879" s="275">
        <v>50</v>
      </c>
      <c r="G879" s="275">
        <v>50</v>
      </c>
      <c r="H879" s="298">
        <v>50</v>
      </c>
      <c r="I879" s="12">
        <v>50</v>
      </c>
      <c r="J879" s="12">
        <v>50</v>
      </c>
    </row>
    <row r="880" spans="1:13" x14ac:dyDescent="0.25">
      <c r="A880" s="10" t="s">
        <v>18</v>
      </c>
      <c r="B880" s="275">
        <v>50</v>
      </c>
      <c r="C880" s="275">
        <v>52.5</v>
      </c>
      <c r="D880" s="275">
        <v>23.9</v>
      </c>
      <c r="E880" s="275">
        <v>23.9</v>
      </c>
      <c r="F880" s="275">
        <v>27.6</v>
      </c>
      <c r="G880" s="275">
        <v>27.6</v>
      </c>
      <c r="H880" s="275">
        <v>32.6</v>
      </c>
      <c r="I880" s="12">
        <v>55</v>
      </c>
      <c r="J880" s="12">
        <v>50</v>
      </c>
    </row>
    <row r="881" spans="1:12" ht="26.4" x14ac:dyDescent="0.25">
      <c r="A881" s="10" t="s">
        <v>19</v>
      </c>
      <c r="B881" s="314">
        <v>50</v>
      </c>
      <c r="C881" s="314">
        <v>52.5</v>
      </c>
      <c r="D881" s="276" t="s">
        <v>80</v>
      </c>
      <c r="E881" s="291" t="s">
        <v>81</v>
      </c>
      <c r="F881" s="291" t="s">
        <v>82</v>
      </c>
      <c r="G881" s="291" t="s">
        <v>83</v>
      </c>
      <c r="H881" s="291" t="s">
        <v>84</v>
      </c>
      <c r="I881" s="195" t="s">
        <v>269</v>
      </c>
      <c r="J881" s="195" t="s">
        <v>572</v>
      </c>
    </row>
    <row r="882" spans="1:12" x14ac:dyDescent="0.25">
      <c r="A882" s="10" t="s">
        <v>20</v>
      </c>
      <c r="B882" s="12">
        <v>102.21</v>
      </c>
      <c r="C882" s="12">
        <v>119.69</v>
      </c>
      <c r="D882" s="12">
        <v>101.54</v>
      </c>
      <c r="E882" s="12">
        <v>14.67</v>
      </c>
      <c r="F882" s="12">
        <v>0.17</v>
      </c>
      <c r="G882" s="12">
        <v>0.7</v>
      </c>
      <c r="H882" s="12">
        <v>3.0670000000000002</v>
      </c>
      <c r="I882" s="12">
        <v>14.32</v>
      </c>
      <c r="J882" s="12">
        <v>1.1000000000000001</v>
      </c>
    </row>
    <row r="883" spans="1:12" x14ac:dyDescent="0.25">
      <c r="A883" s="10" t="s">
        <v>21</v>
      </c>
      <c r="B883" s="12">
        <v>-52.21</v>
      </c>
      <c r="C883" s="12">
        <v>-67.19</v>
      </c>
      <c r="D883" s="12">
        <v>-77.640000000000015</v>
      </c>
      <c r="E883" s="12">
        <f t="shared" ref="E883:J883" si="41">E880-E882</f>
        <v>9.2299999999999986</v>
      </c>
      <c r="F883" s="12">
        <f t="shared" si="41"/>
        <v>27.43</v>
      </c>
      <c r="G883" s="12">
        <f t="shared" si="41"/>
        <v>26.900000000000002</v>
      </c>
      <c r="H883" s="12">
        <f t="shared" si="41"/>
        <v>29.533000000000001</v>
      </c>
      <c r="I883" s="12">
        <f t="shared" si="41"/>
        <v>40.68</v>
      </c>
      <c r="J883" s="12">
        <f t="shared" si="41"/>
        <v>48.9</v>
      </c>
    </row>
    <row r="884" spans="1:12" x14ac:dyDescent="0.25">
      <c r="A884" s="16" t="s">
        <v>22</v>
      </c>
      <c r="B884" s="159">
        <v>2016</v>
      </c>
      <c r="C884" s="159">
        <v>2017</v>
      </c>
      <c r="D884" s="159">
        <v>2018</v>
      </c>
      <c r="E884" s="159">
        <v>2019</v>
      </c>
      <c r="F884" s="159" t="s">
        <v>72</v>
      </c>
      <c r="G884" s="159" t="s">
        <v>73</v>
      </c>
      <c r="H884" s="159" t="s">
        <v>161</v>
      </c>
      <c r="I884" s="159" t="s">
        <v>161</v>
      </c>
      <c r="J884" s="159" t="s">
        <v>161</v>
      </c>
    </row>
    <row r="885" spans="1:12" x14ac:dyDescent="0.25">
      <c r="A885" s="16" t="s">
        <v>493</v>
      </c>
      <c r="B885" s="178"/>
      <c r="C885" s="178"/>
      <c r="D885" s="178"/>
      <c r="E885" s="178"/>
      <c r="F885" s="178"/>
      <c r="G885" s="178"/>
      <c r="H885" s="178"/>
      <c r="I885" s="178"/>
      <c r="J885" s="179"/>
    </row>
    <row r="886" spans="1:12" x14ac:dyDescent="0.25">
      <c r="A886" s="312" t="s">
        <v>494</v>
      </c>
      <c r="B886" s="313"/>
      <c r="C886" s="313"/>
      <c r="D886" s="313"/>
      <c r="E886" s="313"/>
      <c r="F886" s="313"/>
      <c r="G886" s="313"/>
      <c r="H886" s="313"/>
      <c r="I886" s="313"/>
      <c r="J886" s="48"/>
    </row>
    <row r="887" spans="1:12" x14ac:dyDescent="0.25">
      <c r="A887" s="315"/>
      <c r="B887" s="315"/>
      <c r="C887" s="315"/>
      <c r="D887" s="315"/>
      <c r="E887" s="315"/>
      <c r="F887" s="315"/>
      <c r="G887" s="315"/>
      <c r="H887" s="315"/>
      <c r="I887" s="315"/>
    </row>
    <row r="889" spans="1:12" x14ac:dyDescent="0.25">
      <c r="A889" s="6" t="s">
        <v>11</v>
      </c>
      <c r="B889" s="7" t="s">
        <v>361</v>
      </c>
      <c r="C889" s="2"/>
    </row>
    <row r="890" spans="1:12" x14ac:dyDescent="0.25">
      <c r="A890" s="151" t="s">
        <v>1</v>
      </c>
      <c r="B890" s="24" t="s">
        <v>624</v>
      </c>
      <c r="C890" s="9" t="s">
        <v>2</v>
      </c>
    </row>
    <row r="891" spans="1:12" x14ac:dyDescent="0.25">
      <c r="A891" s="10" t="s">
        <v>3</v>
      </c>
      <c r="B891" s="154">
        <v>2015</v>
      </c>
      <c r="C891" s="154">
        <v>2016</v>
      </c>
      <c r="D891" s="172">
        <v>2017</v>
      </c>
      <c r="E891" s="154">
        <v>2018</v>
      </c>
      <c r="F891" s="154">
        <v>2019</v>
      </c>
      <c r="G891" s="154">
        <v>2020</v>
      </c>
      <c r="H891" s="154">
        <v>2021</v>
      </c>
      <c r="I891" s="154">
        <v>2022</v>
      </c>
      <c r="J891" s="154">
        <v>2023</v>
      </c>
      <c r="K891" s="154">
        <v>2024</v>
      </c>
      <c r="L891" s="154">
        <v>2025</v>
      </c>
    </row>
    <row r="892" spans="1:12" x14ac:dyDescent="0.25">
      <c r="A892" s="10" t="s">
        <v>4</v>
      </c>
      <c r="B892" s="156">
        <v>200</v>
      </c>
      <c r="C892" s="174">
        <v>200</v>
      </c>
      <c r="D892" s="156">
        <v>200</v>
      </c>
      <c r="E892" s="175">
        <v>200</v>
      </c>
      <c r="F892" s="175">
        <v>215</v>
      </c>
      <c r="G892" s="175">
        <v>215</v>
      </c>
      <c r="H892" s="175">
        <v>242</v>
      </c>
      <c r="I892" s="175">
        <v>242</v>
      </c>
      <c r="J892" s="175">
        <v>242</v>
      </c>
      <c r="K892" s="175">
        <v>302</v>
      </c>
      <c r="L892" s="175">
        <v>302</v>
      </c>
    </row>
    <row r="893" spans="1:12" x14ac:dyDescent="0.25">
      <c r="A893" s="10" t="s">
        <v>5</v>
      </c>
      <c r="B893" s="156">
        <f>200+(200*25%)</f>
        <v>250</v>
      </c>
      <c r="C893" s="156">
        <f>200+(200*25%)</f>
        <v>250</v>
      </c>
      <c r="D893" s="156">
        <f>200+(200*25%)</f>
        <v>250</v>
      </c>
      <c r="E893" s="156">
        <f>200+(200*25%)</f>
        <v>250</v>
      </c>
      <c r="F893" s="175">
        <f t="shared" ref="F893:J893" si="42">F892+0.25*E892</f>
        <v>265</v>
      </c>
      <c r="G893" s="175">
        <f t="shared" si="42"/>
        <v>268.75</v>
      </c>
      <c r="H893" s="175">
        <f t="shared" si="42"/>
        <v>295.75</v>
      </c>
      <c r="I893" s="175">
        <f t="shared" si="42"/>
        <v>302.5</v>
      </c>
      <c r="J893" s="175">
        <f t="shared" si="42"/>
        <v>302.5</v>
      </c>
      <c r="K893" s="175">
        <f>K892+0.25*J892</f>
        <v>362.5</v>
      </c>
      <c r="L893" s="175">
        <f>L892+0.25*K892</f>
        <v>377.5</v>
      </c>
    </row>
    <row r="894" spans="1:12" x14ac:dyDescent="0.25">
      <c r="A894" s="10" t="s">
        <v>6</v>
      </c>
      <c r="B894" s="13">
        <v>2</v>
      </c>
      <c r="C894" s="316">
        <v>3</v>
      </c>
      <c r="D894" s="13">
        <v>4</v>
      </c>
      <c r="E894" s="317">
        <v>5</v>
      </c>
      <c r="F894" s="317">
        <v>6</v>
      </c>
      <c r="G894" s="13">
        <v>7</v>
      </c>
      <c r="H894" s="13">
        <v>8</v>
      </c>
      <c r="I894" s="13">
        <v>9</v>
      </c>
      <c r="J894" s="13">
        <v>10</v>
      </c>
      <c r="K894" s="13">
        <v>11</v>
      </c>
      <c r="L894" s="13">
        <v>12</v>
      </c>
    </row>
    <row r="895" spans="1:12" x14ac:dyDescent="0.25">
      <c r="A895" s="10" t="s">
        <v>7</v>
      </c>
      <c r="B895" s="12">
        <v>0</v>
      </c>
      <c r="C895" s="188">
        <v>0</v>
      </c>
      <c r="D895" s="12">
        <v>0</v>
      </c>
      <c r="E895" s="189">
        <v>0</v>
      </c>
      <c r="F895" s="189">
        <v>0</v>
      </c>
      <c r="G895" s="12">
        <v>0</v>
      </c>
      <c r="H895" s="12">
        <v>0</v>
      </c>
      <c r="I895" s="12">
        <v>0</v>
      </c>
      <c r="J895" s="12">
        <v>0</v>
      </c>
      <c r="K895" s="12">
        <v>0</v>
      </c>
      <c r="L895" s="12"/>
    </row>
    <row r="896" spans="1:12" x14ac:dyDescent="0.25">
      <c r="A896" s="10" t="s">
        <v>8</v>
      </c>
      <c r="B896" s="156">
        <f>B893-B895</f>
        <v>250</v>
      </c>
      <c r="C896" s="156">
        <f>C893-C895</f>
        <v>250</v>
      </c>
      <c r="D896" s="156">
        <f>D893-D895</f>
        <v>250</v>
      </c>
      <c r="E896" s="175">
        <v>250</v>
      </c>
      <c r="F896" s="175">
        <f t="shared" ref="F896:J896" si="43">F893-F895</f>
        <v>265</v>
      </c>
      <c r="G896" s="175">
        <f t="shared" si="43"/>
        <v>268.75</v>
      </c>
      <c r="H896" s="175">
        <f t="shared" si="43"/>
        <v>295.75</v>
      </c>
      <c r="I896" s="175">
        <f t="shared" si="43"/>
        <v>302.5</v>
      </c>
      <c r="J896" s="175">
        <f t="shared" si="43"/>
        <v>302.5</v>
      </c>
      <c r="K896" s="175">
        <f>K893-K895</f>
        <v>362.5</v>
      </c>
      <c r="L896" s="175"/>
    </row>
    <row r="897" spans="1:12" x14ac:dyDescent="0.25">
      <c r="A897" s="10" t="s">
        <v>9</v>
      </c>
      <c r="B897" s="318">
        <v>2016</v>
      </c>
      <c r="C897" s="318">
        <v>2017</v>
      </c>
      <c r="D897" s="318">
        <v>2018</v>
      </c>
      <c r="E897" s="318">
        <v>2019</v>
      </c>
      <c r="F897" s="318">
        <v>2020</v>
      </c>
      <c r="G897" s="318">
        <v>2021</v>
      </c>
      <c r="H897" s="318">
        <v>2022</v>
      </c>
      <c r="I897" s="318">
        <v>2023</v>
      </c>
      <c r="J897" s="318">
        <v>2024</v>
      </c>
      <c r="K897" s="318">
        <v>2025</v>
      </c>
      <c r="L897" s="319">
        <v>2026</v>
      </c>
    </row>
    <row r="898" spans="1:12" x14ac:dyDescent="0.25">
      <c r="A898" s="16" t="s">
        <v>10</v>
      </c>
      <c r="B898" s="16"/>
      <c r="C898" s="46"/>
      <c r="D898" s="46"/>
      <c r="E898" s="46"/>
      <c r="F898" s="46"/>
      <c r="G898" s="47"/>
      <c r="H898" s="47"/>
      <c r="I898" s="47"/>
      <c r="J898" s="47"/>
      <c r="K898" s="47"/>
      <c r="L898" s="90"/>
    </row>
    <row r="899" spans="1:12" x14ac:dyDescent="0.25">
      <c r="A899" s="18" t="s">
        <v>362</v>
      </c>
      <c r="B899" s="19"/>
      <c r="C899" s="19"/>
      <c r="D899" s="19"/>
      <c r="E899" s="19"/>
      <c r="F899" s="19"/>
      <c r="G899" s="19"/>
      <c r="H899" s="19"/>
      <c r="I899" s="19"/>
      <c r="J899" s="19"/>
      <c r="K899" s="19"/>
      <c r="L899" s="63"/>
    </row>
    <row r="900" spans="1:12" x14ac:dyDescent="0.25">
      <c r="A900" s="39" t="s">
        <v>793</v>
      </c>
      <c r="L900" s="64"/>
    </row>
    <row r="901" spans="1:12" x14ac:dyDescent="0.25">
      <c r="A901" s="39" t="s">
        <v>794</v>
      </c>
      <c r="L901" s="64"/>
    </row>
    <row r="902" spans="1:12" x14ac:dyDescent="0.25">
      <c r="A902" s="39" t="s">
        <v>795</v>
      </c>
      <c r="L902" s="64"/>
    </row>
    <row r="903" spans="1:12" x14ac:dyDescent="0.25">
      <c r="A903" s="39" t="s">
        <v>796</v>
      </c>
      <c r="L903" s="64"/>
    </row>
    <row r="904" spans="1:12" x14ac:dyDescent="0.25">
      <c r="A904" s="39" t="s">
        <v>797</v>
      </c>
      <c r="L904" s="64"/>
    </row>
    <row r="905" spans="1:12" x14ac:dyDescent="0.25">
      <c r="A905" s="39" t="s">
        <v>798</v>
      </c>
      <c r="L905" s="64"/>
    </row>
    <row r="906" spans="1:12" x14ac:dyDescent="0.25">
      <c r="A906" s="39" t="s">
        <v>799</v>
      </c>
      <c r="L906" s="64"/>
    </row>
    <row r="907" spans="1:12" x14ac:dyDescent="0.25">
      <c r="A907" s="39" t="s">
        <v>800</v>
      </c>
      <c r="L907" s="64"/>
    </row>
    <row r="908" spans="1:12" x14ac:dyDescent="0.25">
      <c r="A908" s="39" t="s">
        <v>801</v>
      </c>
      <c r="L908" s="64"/>
    </row>
    <row r="909" spans="1:12" x14ac:dyDescent="0.25">
      <c r="A909" s="39" t="s">
        <v>969</v>
      </c>
      <c r="L909" s="64"/>
    </row>
    <row r="910" spans="1:12" x14ac:dyDescent="0.25">
      <c r="A910" s="42" t="s">
        <v>1254</v>
      </c>
      <c r="B910" s="34"/>
      <c r="C910" s="34"/>
      <c r="D910" s="34"/>
      <c r="E910" s="34"/>
      <c r="F910" s="34"/>
      <c r="G910" s="34"/>
      <c r="H910" s="34"/>
      <c r="I910" s="34"/>
      <c r="J910" s="34"/>
      <c r="K910" s="34"/>
      <c r="L910" s="48"/>
    </row>
    <row r="912" spans="1:12" s="4" customFormat="1" x14ac:dyDescent="0.25">
      <c r="A912" s="320" t="s">
        <v>1</v>
      </c>
      <c r="B912" s="321" t="s">
        <v>623</v>
      </c>
      <c r="C912" s="322" t="s">
        <v>2</v>
      </c>
    </row>
    <row r="913" spans="1:12" s="4" customFormat="1" x14ac:dyDescent="0.25">
      <c r="A913" s="323" t="s">
        <v>3</v>
      </c>
      <c r="B913" s="324">
        <v>2015</v>
      </c>
      <c r="C913" s="324">
        <v>2016</v>
      </c>
      <c r="D913" s="325">
        <v>2017</v>
      </c>
      <c r="E913" s="324">
        <v>2018</v>
      </c>
      <c r="F913" s="324">
        <v>2019</v>
      </c>
      <c r="G913" s="324">
        <v>2020</v>
      </c>
      <c r="H913" s="324">
        <v>2021</v>
      </c>
      <c r="I913" s="324">
        <v>2022</v>
      </c>
      <c r="J913" s="324">
        <v>2023</v>
      </c>
      <c r="K913" s="324">
        <v>2024</v>
      </c>
      <c r="L913" s="324">
        <v>2025</v>
      </c>
    </row>
    <row r="914" spans="1:12" s="4" customFormat="1" x14ac:dyDescent="0.25">
      <c r="A914" s="323" t="s">
        <v>4</v>
      </c>
      <c r="B914" s="284">
        <v>40</v>
      </c>
      <c r="C914" s="284">
        <v>40</v>
      </c>
      <c r="D914" s="326">
        <v>40</v>
      </c>
      <c r="E914" s="284">
        <v>40</v>
      </c>
      <c r="F914" s="327">
        <v>40</v>
      </c>
      <c r="G914" s="327">
        <v>40</v>
      </c>
      <c r="H914" s="327">
        <v>40</v>
      </c>
      <c r="I914" s="327">
        <v>40</v>
      </c>
      <c r="J914" s="327">
        <v>40</v>
      </c>
      <c r="K914" s="327">
        <v>40</v>
      </c>
      <c r="L914" s="327">
        <v>40</v>
      </c>
    </row>
    <row r="915" spans="1:12" s="4" customFormat="1" x14ac:dyDescent="0.25">
      <c r="A915" s="323" t="s">
        <v>5</v>
      </c>
      <c r="B915" s="284">
        <f>40+(40*50%)+40</f>
        <v>100</v>
      </c>
      <c r="C915" s="284">
        <f>40+(40*50%)+40</f>
        <v>100</v>
      </c>
      <c r="D915" s="284">
        <v>112.75</v>
      </c>
      <c r="E915" s="284">
        <v>108.75</v>
      </c>
      <c r="F915" s="284">
        <v>108.75</v>
      </c>
      <c r="G915" s="284">
        <v>108.75</v>
      </c>
      <c r="H915" s="284">
        <v>108.75</v>
      </c>
      <c r="I915" s="284">
        <f>I914+0.4*G914+40</f>
        <v>96</v>
      </c>
      <c r="J915" s="328">
        <v>96</v>
      </c>
      <c r="K915" s="284">
        <f>K914+0.4*I914+40</f>
        <v>96</v>
      </c>
      <c r="L915" s="284">
        <f>L914+0.4*J914+40</f>
        <v>96</v>
      </c>
    </row>
    <row r="916" spans="1:12" s="4" customFormat="1" x14ac:dyDescent="0.25">
      <c r="A916" s="323" t="s">
        <v>6</v>
      </c>
      <c r="B916" s="195">
        <v>1</v>
      </c>
      <c r="C916" s="195">
        <v>2</v>
      </c>
      <c r="D916" s="329">
        <v>3</v>
      </c>
      <c r="E916" s="195">
        <v>4</v>
      </c>
      <c r="F916" s="330">
        <v>5</v>
      </c>
      <c r="G916" s="195">
        <v>6</v>
      </c>
      <c r="H916" s="195">
        <v>7</v>
      </c>
      <c r="I916" s="195">
        <v>8</v>
      </c>
      <c r="J916" s="195">
        <v>9</v>
      </c>
      <c r="K916" s="195">
        <v>10</v>
      </c>
      <c r="L916" s="195">
        <v>11</v>
      </c>
    </row>
    <row r="917" spans="1:12" s="4" customFormat="1" x14ac:dyDescent="0.25">
      <c r="A917" s="323" t="s">
        <v>7</v>
      </c>
      <c r="B917" s="284">
        <v>0</v>
      </c>
      <c r="C917" s="284">
        <v>0</v>
      </c>
      <c r="D917" s="326">
        <v>0</v>
      </c>
      <c r="E917" s="284">
        <v>0</v>
      </c>
      <c r="F917" s="327">
        <v>0</v>
      </c>
      <c r="G917" s="284">
        <v>0</v>
      </c>
      <c r="H917" s="284">
        <v>0</v>
      </c>
      <c r="I917" s="284">
        <v>78</v>
      </c>
      <c r="J917" s="284">
        <v>0</v>
      </c>
      <c r="K917" s="284">
        <v>0</v>
      </c>
      <c r="L917" s="284"/>
    </row>
    <row r="918" spans="1:12" s="4" customFormat="1" x14ac:dyDescent="0.25">
      <c r="A918" s="323" t="s">
        <v>8</v>
      </c>
      <c r="B918" s="284">
        <f t="shared" ref="B918:G918" si="44">B915-B917</f>
        <v>100</v>
      </c>
      <c r="C918" s="284">
        <f t="shared" si="44"/>
        <v>100</v>
      </c>
      <c r="D918" s="284">
        <f t="shared" si="44"/>
        <v>112.75</v>
      </c>
      <c r="E918" s="284">
        <f t="shared" si="44"/>
        <v>108.75</v>
      </c>
      <c r="F918" s="284">
        <f t="shared" si="44"/>
        <v>108.75</v>
      </c>
      <c r="G918" s="284">
        <f t="shared" si="44"/>
        <v>108.75</v>
      </c>
      <c r="H918" s="284">
        <v>108.75</v>
      </c>
      <c r="I918" s="284">
        <f>I915-I917</f>
        <v>18</v>
      </c>
      <c r="J918" s="284">
        <f>J915-J917</f>
        <v>96</v>
      </c>
      <c r="K918" s="284">
        <f>K915-K917</f>
        <v>96</v>
      </c>
      <c r="L918" s="284">
        <f>L915-L917</f>
        <v>96</v>
      </c>
    </row>
    <row r="919" spans="1:12" s="4" customFormat="1" x14ac:dyDescent="0.25">
      <c r="A919" s="331" t="s">
        <v>9</v>
      </c>
      <c r="B919" s="332">
        <v>2017</v>
      </c>
      <c r="C919" s="332">
        <v>2018</v>
      </c>
      <c r="D919" s="332">
        <v>2019</v>
      </c>
      <c r="E919" s="332">
        <v>2020</v>
      </c>
      <c r="F919" s="332">
        <v>2021</v>
      </c>
      <c r="G919" s="332">
        <v>2022</v>
      </c>
      <c r="H919" s="332">
        <v>2023</v>
      </c>
      <c r="I919" s="332">
        <v>2024</v>
      </c>
      <c r="J919" s="332">
        <v>2025</v>
      </c>
      <c r="K919" s="332">
        <v>2026</v>
      </c>
      <c r="L919" s="332">
        <v>2027</v>
      </c>
    </row>
    <row r="920" spans="1:12" s="4" customFormat="1" x14ac:dyDescent="0.25">
      <c r="A920" s="702" t="s">
        <v>10</v>
      </c>
      <c r="B920" s="703"/>
      <c r="C920" s="703"/>
      <c r="D920" s="703"/>
      <c r="E920" s="703"/>
      <c r="F920" s="703"/>
      <c r="G920" s="585"/>
      <c r="H920" s="585"/>
      <c r="I920" s="585"/>
      <c r="J920" s="585"/>
      <c r="K920" s="585"/>
      <c r="L920" s="670"/>
    </row>
    <row r="921" spans="1:12" s="4" customFormat="1" x14ac:dyDescent="0.25">
      <c r="A921" s="672" t="s">
        <v>362</v>
      </c>
      <c r="B921" s="585"/>
      <c r="C921" s="585"/>
      <c r="D921" s="585"/>
      <c r="E921" s="585"/>
      <c r="F921" s="585"/>
      <c r="G921" s="585"/>
      <c r="H921" s="585"/>
      <c r="I921" s="585"/>
      <c r="J921" s="585"/>
      <c r="K921" s="585"/>
      <c r="L921" s="670"/>
    </row>
    <row r="922" spans="1:12" s="4" customFormat="1" x14ac:dyDescent="0.25">
      <c r="A922" s="690" t="s">
        <v>363</v>
      </c>
      <c r="B922" s="691"/>
      <c r="C922" s="691"/>
      <c r="D922" s="691"/>
      <c r="E922" s="691"/>
      <c r="F922" s="691"/>
      <c r="L922" s="333"/>
    </row>
    <row r="923" spans="1:12" s="4" customFormat="1" x14ac:dyDescent="0.25">
      <c r="A923" s="690" t="s">
        <v>364</v>
      </c>
      <c r="B923" s="691"/>
      <c r="C923" s="691"/>
      <c r="D923" s="691"/>
      <c r="E923" s="691"/>
      <c r="F923" s="691"/>
      <c r="L923" s="333"/>
    </row>
    <row r="924" spans="1:12" s="4" customFormat="1" ht="45" customHeight="1" x14ac:dyDescent="0.25">
      <c r="A924" s="690" t="s">
        <v>365</v>
      </c>
      <c r="B924" s="691"/>
      <c r="C924" s="691"/>
      <c r="D924" s="691"/>
      <c r="E924" s="691"/>
      <c r="F924" s="691"/>
      <c r="G924" s="691"/>
      <c r="L924" s="333"/>
    </row>
    <row r="925" spans="1:12" s="4" customFormat="1" ht="30" customHeight="1" x14ac:dyDescent="0.25">
      <c r="A925" s="690" t="s">
        <v>974</v>
      </c>
      <c r="B925" s="691"/>
      <c r="C925" s="691"/>
      <c r="D925" s="691"/>
      <c r="E925" s="691"/>
      <c r="F925" s="691"/>
      <c r="G925" s="691"/>
      <c r="L925" s="333"/>
    </row>
    <row r="926" spans="1:12" s="4" customFormat="1" ht="30" customHeight="1" x14ac:dyDescent="0.25">
      <c r="A926" s="690" t="s">
        <v>973</v>
      </c>
      <c r="B926" s="691"/>
      <c r="C926" s="691"/>
      <c r="D926" s="691"/>
      <c r="E926" s="691"/>
      <c r="F926" s="691"/>
      <c r="G926" s="691"/>
      <c r="L926" s="333"/>
    </row>
    <row r="927" spans="1:12" s="4" customFormat="1" ht="30" customHeight="1" x14ac:dyDescent="0.25">
      <c r="A927" s="690" t="s">
        <v>972</v>
      </c>
      <c r="B927" s="691"/>
      <c r="C927" s="691"/>
      <c r="D927" s="691"/>
      <c r="E927" s="691"/>
      <c r="F927" s="691"/>
      <c r="G927" s="691"/>
      <c r="L927" s="333"/>
    </row>
    <row r="928" spans="1:12" s="4" customFormat="1" ht="30" customHeight="1" x14ac:dyDescent="0.25">
      <c r="A928" s="690" t="s">
        <v>971</v>
      </c>
      <c r="B928" s="691"/>
      <c r="C928" s="691"/>
      <c r="D928" s="691"/>
      <c r="E928" s="691"/>
      <c r="F928" s="691"/>
      <c r="G928" s="691"/>
      <c r="L928" s="333"/>
    </row>
    <row r="929" spans="1:12" s="4" customFormat="1" ht="30" customHeight="1" x14ac:dyDescent="0.25">
      <c r="A929" s="161" t="s">
        <v>970</v>
      </c>
      <c r="B929" s="32"/>
      <c r="C929" s="32"/>
      <c r="D929" s="32"/>
      <c r="E929" s="32"/>
      <c r="F929" s="32"/>
      <c r="G929" s="32"/>
      <c r="L929" s="333"/>
    </row>
    <row r="930" spans="1:12" s="335" customFormat="1" ht="30" customHeight="1" x14ac:dyDescent="0.25">
      <c r="A930" s="334" t="s">
        <v>1144</v>
      </c>
      <c r="B930" s="671"/>
      <c r="C930" s="671"/>
      <c r="D930" s="671"/>
      <c r="E930" s="671"/>
      <c r="F930" s="671"/>
      <c r="G930" s="671"/>
      <c r="L930" s="336"/>
    </row>
    <row r="931" spans="1:12" s="335" customFormat="1" ht="30" customHeight="1" x14ac:dyDescent="0.25">
      <c r="A931" s="334" t="s">
        <v>975</v>
      </c>
      <c r="B931" s="671"/>
      <c r="C931" s="671"/>
      <c r="D931" s="671"/>
      <c r="E931" s="671"/>
      <c r="F931" s="671"/>
      <c r="G931" s="671"/>
      <c r="L931" s="336"/>
    </row>
    <row r="932" spans="1:12" s="4" customFormat="1" ht="30" customHeight="1" x14ac:dyDescent="0.25">
      <c r="A932" s="710" t="s">
        <v>1253</v>
      </c>
      <c r="B932" s="711"/>
      <c r="C932" s="711"/>
      <c r="D932" s="711"/>
      <c r="E932" s="711"/>
      <c r="F932" s="711"/>
      <c r="G932" s="711"/>
      <c r="H932" s="337"/>
      <c r="I932" s="337"/>
      <c r="J932" s="337"/>
      <c r="K932" s="337"/>
      <c r="L932" s="338"/>
    </row>
    <row r="934" spans="1:12" x14ac:dyDescent="0.25">
      <c r="A934" s="6" t="s">
        <v>1</v>
      </c>
      <c r="B934" s="7" t="s">
        <v>645</v>
      </c>
      <c r="C934" s="322" t="s">
        <v>2</v>
      </c>
    </row>
    <row r="935" spans="1:12" x14ac:dyDescent="0.25">
      <c r="A935" s="10" t="s">
        <v>3</v>
      </c>
      <c r="B935" s="154">
        <v>2015</v>
      </c>
      <c r="C935" s="154">
        <v>2016</v>
      </c>
      <c r="D935" s="172">
        <v>2017</v>
      </c>
      <c r="E935" s="154">
        <v>2018</v>
      </c>
      <c r="F935" s="154">
        <v>2019</v>
      </c>
      <c r="G935" s="154">
        <v>2020</v>
      </c>
      <c r="H935" s="154">
        <v>2021</v>
      </c>
      <c r="I935" s="154">
        <v>2022</v>
      </c>
      <c r="J935" s="154">
        <v>2023</v>
      </c>
      <c r="K935" s="154">
        <v>2024</v>
      </c>
      <c r="L935" s="493">
        <v>2025</v>
      </c>
    </row>
    <row r="936" spans="1:12" x14ac:dyDescent="0.25">
      <c r="A936" s="10" t="s">
        <v>4</v>
      </c>
      <c r="B936" s="12">
        <v>4.51</v>
      </c>
      <c r="C936" s="12">
        <v>4.51</v>
      </c>
      <c r="D936" s="188">
        <v>4.51</v>
      </c>
      <c r="E936" s="12">
        <v>5.31</v>
      </c>
      <c r="F936" s="189">
        <v>5.31</v>
      </c>
      <c r="G936" s="12">
        <v>5.31</v>
      </c>
      <c r="H936" s="12">
        <v>5.31</v>
      </c>
      <c r="I936" s="12">
        <v>6.18</v>
      </c>
      <c r="J936" s="12">
        <v>6.18</v>
      </c>
      <c r="K936" s="12">
        <v>6.18</v>
      </c>
      <c r="L936" s="131">
        <v>6.18</v>
      </c>
    </row>
    <row r="937" spans="1:12" x14ac:dyDescent="0.25">
      <c r="A937" s="10" t="s">
        <v>5</v>
      </c>
      <c r="B937" s="12">
        <v>8.51</v>
      </c>
      <c r="C937" s="12">
        <v>9.02</v>
      </c>
      <c r="D937" s="12">
        <v>4.1899999999999995</v>
      </c>
      <c r="E937" s="12">
        <v>9.5</v>
      </c>
      <c r="F937" s="12">
        <f>2*F936-9.62</f>
        <v>1</v>
      </c>
      <c r="G937" s="12">
        <f>G936+F940-4.78</f>
        <v>1.5299999999999994</v>
      </c>
      <c r="H937" s="12">
        <f>H936+G940-4.78</f>
        <v>2.0599999999999987</v>
      </c>
      <c r="I937" s="12">
        <f>I936+H940-4.78</f>
        <v>3.4599999999999982</v>
      </c>
      <c r="J937" s="12">
        <f>J936+I940-5.18</f>
        <v>4.4599999999999973</v>
      </c>
      <c r="K937" s="12">
        <f>K936+J940</f>
        <v>10.639999999999997</v>
      </c>
      <c r="L937" s="131">
        <f>L936+K936</f>
        <v>12.36</v>
      </c>
    </row>
    <row r="938" spans="1:12" x14ac:dyDescent="0.25">
      <c r="A938" s="10" t="s">
        <v>6</v>
      </c>
      <c r="B938" s="11">
        <v>1</v>
      </c>
      <c r="C938" s="11">
        <v>2</v>
      </c>
      <c r="D938" s="36">
        <v>3</v>
      </c>
      <c r="E938" s="11">
        <v>4</v>
      </c>
      <c r="F938" s="37">
        <v>5</v>
      </c>
      <c r="G938" s="11">
        <v>6</v>
      </c>
      <c r="H938" s="11">
        <v>7</v>
      </c>
      <c r="I938" s="11">
        <v>8</v>
      </c>
      <c r="J938" s="11">
        <v>9</v>
      </c>
      <c r="K938" s="11">
        <v>10</v>
      </c>
      <c r="L938" s="90">
        <v>11</v>
      </c>
    </row>
    <row r="939" spans="1:12" x14ac:dyDescent="0.25">
      <c r="A939" s="10" t="s">
        <v>7</v>
      </c>
      <c r="B939" s="12">
        <v>0.17</v>
      </c>
      <c r="C939" s="12">
        <v>9.34</v>
      </c>
      <c r="D939" s="188">
        <v>0</v>
      </c>
      <c r="E939" s="12">
        <v>0</v>
      </c>
      <c r="F939" s="189">
        <v>0</v>
      </c>
      <c r="G939" s="12">
        <v>0</v>
      </c>
      <c r="H939" s="12">
        <v>0</v>
      </c>
      <c r="I939" s="12">
        <v>0</v>
      </c>
      <c r="J939" s="12">
        <v>0</v>
      </c>
      <c r="K939" s="12">
        <v>0</v>
      </c>
      <c r="L939" s="131"/>
    </row>
    <row r="940" spans="1:12" x14ac:dyDescent="0.25">
      <c r="A940" s="10" t="s">
        <v>8</v>
      </c>
      <c r="B940" s="12">
        <v>8.34</v>
      </c>
      <c r="C940" s="12">
        <v>-0.32000000000000028</v>
      </c>
      <c r="D940" s="12">
        <v>4.1899999999999995</v>
      </c>
      <c r="E940" s="12">
        <v>9.5</v>
      </c>
      <c r="F940" s="189">
        <f>F937-F939</f>
        <v>1</v>
      </c>
      <c r="G940" s="12">
        <f>G937</f>
        <v>1.5299999999999994</v>
      </c>
      <c r="H940" s="12">
        <f>H937</f>
        <v>2.0599999999999987</v>
      </c>
      <c r="I940" s="12">
        <f>I937-I939</f>
        <v>3.4599999999999982</v>
      </c>
      <c r="J940" s="12">
        <f>J937-J939</f>
        <v>4.4599999999999973</v>
      </c>
      <c r="K940" s="12">
        <f>K937-K939</f>
        <v>10.639999999999997</v>
      </c>
      <c r="L940" s="131"/>
    </row>
    <row r="941" spans="1:12" x14ac:dyDescent="0.25">
      <c r="A941" s="16" t="s">
        <v>9</v>
      </c>
      <c r="B941" s="17">
        <v>2016</v>
      </c>
      <c r="C941" s="17">
        <v>2017</v>
      </c>
      <c r="D941" s="17">
        <v>2018</v>
      </c>
      <c r="E941" s="17">
        <v>2019</v>
      </c>
      <c r="F941" s="17">
        <v>2020</v>
      </c>
      <c r="G941" s="17">
        <v>2021</v>
      </c>
      <c r="H941" s="17">
        <v>2022</v>
      </c>
      <c r="I941" s="17">
        <v>2023</v>
      </c>
      <c r="J941" s="17">
        <v>2024</v>
      </c>
      <c r="K941" s="17">
        <v>2025</v>
      </c>
      <c r="L941" s="62">
        <v>2026</v>
      </c>
    </row>
    <row r="942" spans="1:12" x14ac:dyDescent="0.25">
      <c r="A942" s="684" t="s">
        <v>10</v>
      </c>
      <c r="B942" s="682"/>
      <c r="C942" s="682"/>
      <c r="D942" s="682"/>
      <c r="E942" s="682"/>
      <c r="F942" s="682"/>
      <c r="G942" s="682"/>
      <c r="H942" s="682"/>
      <c r="I942" s="682"/>
      <c r="J942" s="682"/>
      <c r="K942" s="682"/>
      <c r="L942" s="683"/>
    </row>
    <row r="943" spans="1:12" x14ac:dyDescent="0.25">
      <c r="A943" s="684" t="s">
        <v>366</v>
      </c>
      <c r="B943" s="682"/>
      <c r="C943" s="682"/>
      <c r="D943" s="682"/>
      <c r="E943" s="682"/>
      <c r="F943" s="682"/>
      <c r="G943" s="682"/>
      <c r="H943" s="682"/>
      <c r="I943" s="682"/>
      <c r="J943" s="682"/>
      <c r="K943" s="682"/>
      <c r="L943" s="683"/>
    </row>
    <row r="944" spans="1:12" x14ac:dyDescent="0.25">
      <c r="A944" s="39" t="s">
        <v>367</v>
      </c>
      <c r="L944" s="64"/>
    </row>
    <row r="945" spans="1:12" x14ac:dyDescent="0.25">
      <c r="A945" s="39" t="s">
        <v>368</v>
      </c>
      <c r="L945" s="64"/>
    </row>
    <row r="946" spans="1:12" x14ac:dyDescent="0.25">
      <c r="A946" s="39" t="s">
        <v>369</v>
      </c>
      <c r="L946" s="64"/>
    </row>
    <row r="947" spans="1:12" x14ac:dyDescent="0.25">
      <c r="A947" s="39" t="s">
        <v>596</v>
      </c>
      <c r="L947" s="64"/>
    </row>
    <row r="948" spans="1:12" x14ac:dyDescent="0.25">
      <c r="A948" s="39" t="s">
        <v>589</v>
      </c>
      <c r="L948" s="64"/>
    </row>
    <row r="949" spans="1:12" x14ac:dyDescent="0.25">
      <c r="A949" s="39" t="s">
        <v>588</v>
      </c>
      <c r="L949" s="64"/>
    </row>
    <row r="950" spans="1:12" x14ac:dyDescent="0.25">
      <c r="A950" s="39" t="s">
        <v>597</v>
      </c>
      <c r="L950" s="64"/>
    </row>
    <row r="951" spans="1:12" x14ac:dyDescent="0.25">
      <c r="A951" s="39" t="s">
        <v>802</v>
      </c>
      <c r="L951" s="64"/>
    </row>
    <row r="952" spans="1:12" x14ac:dyDescent="0.25">
      <c r="A952" s="39" t="s">
        <v>976</v>
      </c>
      <c r="L952" s="64"/>
    </row>
    <row r="953" spans="1:12" s="45" customFormat="1" x14ac:dyDescent="0.25">
      <c r="A953" s="42" t="s">
        <v>1267</v>
      </c>
      <c r="B953" s="43"/>
      <c r="C953" s="43"/>
      <c r="D953" s="43"/>
      <c r="E953" s="43"/>
      <c r="F953" s="43"/>
      <c r="G953" s="43"/>
      <c r="H953" s="43"/>
      <c r="I953" s="43"/>
      <c r="J953" s="43"/>
      <c r="K953" s="43"/>
      <c r="L953" s="44"/>
    </row>
    <row r="955" spans="1:12" x14ac:dyDescent="0.25">
      <c r="A955" s="98" t="s">
        <v>12</v>
      </c>
      <c r="B955" s="66" t="s">
        <v>249</v>
      </c>
      <c r="C955" s="339"/>
      <c r="D955" s="8"/>
      <c r="E955" s="8"/>
      <c r="F955" s="8"/>
    </row>
    <row r="956" spans="1:12" x14ac:dyDescent="0.25">
      <c r="A956" s="98" t="s">
        <v>14</v>
      </c>
      <c r="B956" s="66" t="s">
        <v>66</v>
      </c>
      <c r="C956" s="67" t="s">
        <v>15</v>
      </c>
      <c r="D956" s="8"/>
      <c r="E956" s="8"/>
      <c r="F956" s="8"/>
    </row>
    <row r="957" spans="1:12" x14ac:dyDescent="0.25">
      <c r="A957" s="68" t="s">
        <v>16</v>
      </c>
      <c r="B957" s="263">
        <v>2015</v>
      </c>
      <c r="C957" s="263">
        <v>2016</v>
      </c>
      <c r="D957" s="340">
        <v>2017</v>
      </c>
      <c r="E957" s="263">
        <v>2018</v>
      </c>
      <c r="F957" s="341">
        <v>2019</v>
      </c>
      <c r="G957" s="341">
        <v>2020</v>
      </c>
      <c r="H957" s="341">
        <v>2021</v>
      </c>
      <c r="I957" s="341">
        <v>2022</v>
      </c>
      <c r="J957" s="341">
        <v>2023</v>
      </c>
      <c r="K957" s="342">
        <v>2024</v>
      </c>
    </row>
    <row r="958" spans="1:12" x14ac:dyDescent="0.25">
      <c r="A958" s="68" t="s">
        <v>17</v>
      </c>
      <c r="B958" s="12">
        <v>4722</v>
      </c>
      <c r="C958" s="12">
        <v>4250</v>
      </c>
      <c r="D958" s="12">
        <v>4250</v>
      </c>
      <c r="E958" s="12">
        <v>4250</v>
      </c>
      <c r="F958" s="12">
        <v>4250</v>
      </c>
      <c r="G958" s="12">
        <v>3968.23</v>
      </c>
      <c r="H958" s="12">
        <v>3904.7383199999999</v>
      </c>
      <c r="I958" s="12">
        <v>3936.48416</v>
      </c>
      <c r="J958" s="12">
        <v>3936.48416</v>
      </c>
      <c r="K958" s="131">
        <v>3936.48416</v>
      </c>
    </row>
    <row r="959" spans="1:12" x14ac:dyDescent="0.25">
      <c r="A959" s="68" t="s">
        <v>18</v>
      </c>
      <c r="B959" s="12">
        <v>6614.6</v>
      </c>
      <c r="C959" s="12">
        <f>C958+70+583-337</f>
        <v>4566</v>
      </c>
      <c r="D959" s="12">
        <f>D958-337+70+B962+C962</f>
        <v>4433.3230000000003</v>
      </c>
      <c r="E959" s="12">
        <f>E958-337+70</f>
        <v>3983</v>
      </c>
      <c r="F959" s="12">
        <f>F958+70+D962</f>
        <v>4667.3230000000003</v>
      </c>
      <c r="G959" s="12">
        <f>G958+E962</f>
        <v>4380.2299999999996</v>
      </c>
      <c r="H959" s="12">
        <f>H958+425</f>
        <v>4329.7383200000004</v>
      </c>
      <c r="I959" s="12">
        <f>I958+396.82</f>
        <v>4333.3041599999997</v>
      </c>
      <c r="J959" s="12">
        <v>4326.9541600000002</v>
      </c>
      <c r="K959" s="131">
        <v>4330.1319999999996</v>
      </c>
    </row>
    <row r="960" spans="1:12" x14ac:dyDescent="0.25">
      <c r="A960" s="68" t="s">
        <v>19</v>
      </c>
      <c r="B960" s="13"/>
      <c r="C960" s="13">
        <v>1</v>
      </c>
      <c r="D960" s="13">
        <v>2</v>
      </c>
      <c r="E960" s="13">
        <v>3</v>
      </c>
      <c r="F960" s="13">
        <v>4</v>
      </c>
      <c r="G960" s="13">
        <v>5</v>
      </c>
      <c r="H960" s="13">
        <v>6</v>
      </c>
      <c r="I960" s="13">
        <v>7</v>
      </c>
      <c r="J960" s="13">
        <v>8</v>
      </c>
      <c r="K960" s="343">
        <v>9</v>
      </c>
    </row>
    <row r="961" spans="1:11" x14ac:dyDescent="0.25">
      <c r="A961" s="68" t="s">
        <v>20</v>
      </c>
      <c r="B961" s="12">
        <v>5917.6769999999997</v>
      </c>
      <c r="C961" s="12">
        <v>4812.6000000000004</v>
      </c>
      <c r="D961" s="12">
        <v>4086</v>
      </c>
      <c r="E961" s="12">
        <v>3571</v>
      </c>
      <c r="F961" s="12">
        <v>2864.5</v>
      </c>
      <c r="G961" s="12">
        <v>2932.5</v>
      </c>
      <c r="H961" s="12">
        <v>1925</v>
      </c>
      <c r="I961" s="12">
        <v>3672</v>
      </c>
      <c r="J961" s="12">
        <v>2371</v>
      </c>
      <c r="K961" s="131">
        <v>2345</v>
      </c>
    </row>
    <row r="962" spans="1:11" x14ac:dyDescent="0.25">
      <c r="A962" s="68" t="s">
        <v>21</v>
      </c>
      <c r="B962" s="12">
        <f t="shared" ref="B962:H962" si="45">B959-B961</f>
        <v>696.92300000000068</v>
      </c>
      <c r="C962" s="12">
        <f t="shared" si="45"/>
        <v>-246.60000000000036</v>
      </c>
      <c r="D962" s="12">
        <f t="shared" si="45"/>
        <v>347.32300000000032</v>
      </c>
      <c r="E962" s="12">
        <f t="shared" si="45"/>
        <v>412</v>
      </c>
      <c r="F962" s="12">
        <f t="shared" si="45"/>
        <v>1802.8230000000003</v>
      </c>
      <c r="G962" s="12">
        <f t="shared" si="45"/>
        <v>1447.7299999999996</v>
      </c>
      <c r="H962" s="12">
        <f t="shared" si="45"/>
        <v>2404.7383200000004</v>
      </c>
      <c r="I962" s="12">
        <f>I959-I961</f>
        <v>661.30415999999968</v>
      </c>
      <c r="J962" s="12">
        <f>J959-J961</f>
        <v>1955.9541600000002</v>
      </c>
      <c r="K962" s="131">
        <f>K959-K961</f>
        <v>1985.1319999999996</v>
      </c>
    </row>
    <row r="963" spans="1:11" x14ac:dyDescent="0.25">
      <c r="A963" s="73" t="s">
        <v>22</v>
      </c>
      <c r="B963" s="344">
        <v>2017</v>
      </c>
      <c r="C963" s="344">
        <v>2018</v>
      </c>
      <c r="D963" s="344">
        <v>2019</v>
      </c>
      <c r="E963" s="344">
        <v>2020</v>
      </c>
      <c r="F963" s="344">
        <v>2021</v>
      </c>
      <c r="G963" s="344">
        <v>2022</v>
      </c>
      <c r="H963" s="344">
        <v>2023</v>
      </c>
      <c r="I963" s="344">
        <v>2024</v>
      </c>
      <c r="J963" s="344">
        <v>2025</v>
      </c>
      <c r="K963" s="345">
        <v>2026</v>
      </c>
    </row>
    <row r="964" spans="1:11" x14ac:dyDescent="0.25">
      <c r="A964" s="346"/>
      <c r="B964" s="19"/>
      <c r="C964" s="347"/>
      <c r="D964" s="19"/>
      <c r="E964" s="19"/>
      <c r="F964" s="19"/>
      <c r="G964" s="19"/>
      <c r="H964" s="19"/>
      <c r="I964" s="19"/>
      <c r="J964" s="19"/>
      <c r="K964" s="63"/>
    </row>
    <row r="965" spans="1:11" x14ac:dyDescent="0.25">
      <c r="A965" s="39" t="s">
        <v>598</v>
      </c>
      <c r="K965" s="64"/>
    </row>
    <row r="966" spans="1:11" x14ac:dyDescent="0.25">
      <c r="A966" s="39" t="s">
        <v>599</v>
      </c>
      <c r="K966" s="64"/>
    </row>
    <row r="967" spans="1:11" x14ac:dyDescent="0.25">
      <c r="A967" s="39" t="s">
        <v>600</v>
      </c>
      <c r="C967" s="348"/>
      <c r="K967" s="64"/>
    </row>
    <row r="968" spans="1:11" x14ac:dyDescent="0.25">
      <c r="A968" s="39" t="s">
        <v>601</v>
      </c>
      <c r="C968" s="348"/>
      <c r="K968" s="64"/>
    </row>
    <row r="969" spans="1:11" x14ac:dyDescent="0.25">
      <c r="A969" s="39" t="s">
        <v>602</v>
      </c>
      <c r="C969" s="348"/>
      <c r="K969" s="64"/>
    </row>
    <row r="970" spans="1:11" x14ac:dyDescent="0.25">
      <c r="A970" s="39" t="s">
        <v>501</v>
      </c>
      <c r="K970" s="64"/>
    </row>
    <row r="971" spans="1:11" x14ac:dyDescent="0.25">
      <c r="A971" s="39" t="s">
        <v>736</v>
      </c>
      <c r="K971" s="64"/>
    </row>
    <row r="972" spans="1:11" x14ac:dyDescent="0.25">
      <c r="A972" s="39" t="s">
        <v>735</v>
      </c>
      <c r="K972" s="64"/>
    </row>
    <row r="973" spans="1:11" x14ac:dyDescent="0.25">
      <c r="A973" s="39" t="s">
        <v>979</v>
      </c>
      <c r="K973" s="64"/>
    </row>
    <row r="974" spans="1:11" x14ac:dyDescent="0.25">
      <c r="A974" s="42" t="s">
        <v>1177</v>
      </c>
      <c r="B974" s="34"/>
      <c r="C974" s="34"/>
      <c r="D974" s="34"/>
      <c r="E974" s="34"/>
      <c r="F974" s="34"/>
      <c r="G974" s="34"/>
      <c r="H974" s="34"/>
      <c r="I974" s="34"/>
      <c r="J974" s="34"/>
      <c r="K974" s="48"/>
    </row>
    <row r="976" spans="1:11" ht="13.8" x14ac:dyDescent="0.3">
      <c r="A976" s="1"/>
      <c r="B976" s="2"/>
      <c r="C976" s="2"/>
      <c r="D976" s="2"/>
      <c r="E976" s="2"/>
      <c r="F976" s="1"/>
      <c r="G976" s="2"/>
    </row>
    <row r="977" spans="1:12" x14ac:dyDescent="0.25">
      <c r="A977" s="6" t="s">
        <v>12</v>
      </c>
      <c r="B977" s="7" t="s">
        <v>941</v>
      </c>
      <c r="C977" s="8"/>
    </row>
    <row r="978" spans="1:12" s="50" customFormat="1" ht="14.4" x14ac:dyDescent="0.3">
      <c r="A978" s="9" t="s">
        <v>14</v>
      </c>
      <c r="B978" s="9" t="s">
        <v>623</v>
      </c>
      <c r="C978" s="9" t="s">
        <v>15</v>
      </c>
      <c r="D978" s="49"/>
      <c r="E978" s="49"/>
      <c r="F978" s="49"/>
      <c r="G978" s="49"/>
      <c r="H978" s="49"/>
      <c r="I978" s="49"/>
      <c r="J978" s="49"/>
      <c r="K978" s="349"/>
      <c r="L978" s="349"/>
    </row>
    <row r="979" spans="1:12" s="50" customFormat="1" ht="14.4" x14ac:dyDescent="0.3">
      <c r="A979" s="11" t="s">
        <v>16</v>
      </c>
      <c r="B979" s="9">
        <v>2016</v>
      </c>
      <c r="C979" s="639">
        <v>2017</v>
      </c>
      <c r="D979" s="9">
        <v>2018</v>
      </c>
      <c r="E979" s="639">
        <v>2019</v>
      </c>
      <c r="F979" s="9">
        <v>2020</v>
      </c>
      <c r="G979" s="639">
        <v>2021</v>
      </c>
      <c r="H979" s="639">
        <v>2022</v>
      </c>
      <c r="I979" s="639">
        <v>2023</v>
      </c>
      <c r="J979" s="639">
        <v>2024</v>
      </c>
      <c r="K979" s="640">
        <v>2025</v>
      </c>
    </row>
    <row r="980" spans="1:12" s="50" customFormat="1" ht="14.4" x14ac:dyDescent="0.3">
      <c r="A980" s="11" t="s">
        <v>17</v>
      </c>
      <c r="B980" s="12">
        <v>0</v>
      </c>
      <c r="C980" s="12">
        <v>0</v>
      </c>
      <c r="D980" s="12">
        <v>0</v>
      </c>
      <c r="E980" s="12">
        <v>0</v>
      </c>
      <c r="F980" s="12">
        <v>0</v>
      </c>
      <c r="G980" s="12">
        <v>0</v>
      </c>
      <c r="H980" s="12">
        <v>0</v>
      </c>
      <c r="I980" s="12">
        <v>0</v>
      </c>
      <c r="J980" s="12">
        <v>0</v>
      </c>
      <c r="K980" s="131">
        <v>0</v>
      </c>
    </row>
    <row r="981" spans="1:12" s="50" customFormat="1" ht="14.4" x14ac:dyDescent="0.3">
      <c r="A981" s="11" t="s">
        <v>18</v>
      </c>
      <c r="B981" s="12"/>
      <c r="C981" s="12">
        <f>C980+B984</f>
        <v>-28.55546</v>
      </c>
      <c r="D981" s="12">
        <f>D980+C984</f>
        <v>-64.828410000000005</v>
      </c>
      <c r="E981" s="12">
        <f>E980+D984</f>
        <v>-100.71838</v>
      </c>
      <c r="F981" s="12">
        <f>F980+E984</f>
        <v>-122.58440999999999</v>
      </c>
      <c r="G981" s="12">
        <f>G980+F984</f>
        <v>-137.94472999999999</v>
      </c>
      <c r="H981" s="12">
        <f>H980+(G984)</f>
        <v>-142.25473</v>
      </c>
      <c r="I981" s="12">
        <f>I980+(H984)</f>
        <v>-149.03372999999999</v>
      </c>
      <c r="J981" s="12">
        <f>J980+(I984)</f>
        <v>-165.23183999999998</v>
      </c>
      <c r="K981" s="131">
        <f>K980+(J984)</f>
        <v>-171.79183999999998</v>
      </c>
    </row>
    <row r="982" spans="1:12" s="50" customFormat="1" ht="14.4" x14ac:dyDescent="0.3">
      <c r="A982" s="11" t="s">
        <v>19</v>
      </c>
      <c r="B982" s="11"/>
      <c r="C982" s="11">
        <v>1</v>
      </c>
      <c r="D982" s="11">
        <v>2</v>
      </c>
      <c r="E982" s="11">
        <v>3</v>
      </c>
      <c r="F982" s="11">
        <v>4</v>
      </c>
      <c r="G982" s="11">
        <v>5</v>
      </c>
      <c r="H982" s="11">
        <v>6</v>
      </c>
      <c r="I982" s="11">
        <v>7</v>
      </c>
      <c r="J982" s="11">
        <v>8</v>
      </c>
      <c r="K982" s="362">
        <v>9</v>
      </c>
    </row>
    <row r="983" spans="1:12" s="50" customFormat="1" ht="15" x14ac:dyDescent="0.3">
      <c r="A983" s="11" t="s">
        <v>20</v>
      </c>
      <c r="B983" s="350">
        <v>28.55546</v>
      </c>
      <c r="C983" s="350">
        <v>36.272950000000002</v>
      </c>
      <c r="D983" s="350">
        <v>35.889969999999998</v>
      </c>
      <c r="E983" s="350">
        <v>21.866029999999999</v>
      </c>
      <c r="F983" s="350">
        <v>15.36032</v>
      </c>
      <c r="G983" s="350">
        <v>4.3099999999999996</v>
      </c>
      <c r="H983" s="350">
        <v>6.7789999999999999</v>
      </c>
      <c r="I983" s="351">
        <v>16.19811</v>
      </c>
      <c r="J983" s="351">
        <v>6.56</v>
      </c>
      <c r="K983" s="362"/>
    </row>
    <row r="984" spans="1:12" s="50" customFormat="1" ht="14.4" x14ac:dyDescent="0.3">
      <c r="A984" s="11" t="s">
        <v>21</v>
      </c>
      <c r="B984" s="12">
        <f>B980-B983</f>
        <v>-28.55546</v>
      </c>
      <c r="C984" s="12">
        <f t="shared" ref="C984:J984" si="46">C981-C983</f>
        <v>-64.828410000000005</v>
      </c>
      <c r="D984" s="12">
        <f t="shared" si="46"/>
        <v>-100.71838</v>
      </c>
      <c r="E984" s="12">
        <f t="shared" si="46"/>
        <v>-122.58440999999999</v>
      </c>
      <c r="F984" s="12">
        <f t="shared" si="46"/>
        <v>-137.94472999999999</v>
      </c>
      <c r="G984" s="12">
        <f t="shared" si="46"/>
        <v>-142.25473</v>
      </c>
      <c r="H984" s="12">
        <f t="shared" si="46"/>
        <v>-149.03372999999999</v>
      </c>
      <c r="I984" s="12">
        <f t="shared" si="46"/>
        <v>-165.23183999999998</v>
      </c>
      <c r="J984" s="12">
        <f t="shared" si="46"/>
        <v>-171.79183999999998</v>
      </c>
      <c r="K984" s="362"/>
    </row>
    <row r="985" spans="1:12" s="50" customFormat="1" ht="14.4" x14ac:dyDescent="0.3">
      <c r="A985" s="62" t="s">
        <v>22</v>
      </c>
      <c r="B985" s="62">
        <v>2017</v>
      </c>
      <c r="C985" s="62">
        <v>2018</v>
      </c>
      <c r="D985" s="62">
        <v>2019</v>
      </c>
      <c r="E985" s="62">
        <v>2020</v>
      </c>
      <c r="F985" s="62">
        <v>2021</v>
      </c>
      <c r="G985" s="62">
        <v>2022</v>
      </c>
      <c r="H985" s="62">
        <v>2023</v>
      </c>
      <c r="I985" s="62">
        <v>2024</v>
      </c>
      <c r="J985" s="62">
        <v>2025</v>
      </c>
      <c r="K985" s="611"/>
    </row>
    <row r="986" spans="1:12" s="50" customFormat="1" ht="14.4" x14ac:dyDescent="0.3">
      <c r="A986" s="18">
        <v>1</v>
      </c>
      <c r="B986" s="53" t="s">
        <v>942</v>
      </c>
      <c r="C986" s="19"/>
      <c r="D986" s="19"/>
      <c r="E986" s="19"/>
      <c r="F986" s="19"/>
      <c r="G986" s="19"/>
      <c r="H986" s="19"/>
      <c r="I986" s="19"/>
      <c r="J986" s="19"/>
      <c r="K986" s="55"/>
      <c r="L986" s="3"/>
    </row>
    <row r="987" spans="1:12" s="50" customFormat="1" ht="14.4" x14ac:dyDescent="0.3">
      <c r="A987" s="39">
        <v>2</v>
      </c>
      <c r="B987" s="49" t="s">
        <v>943</v>
      </c>
      <c r="C987" s="3"/>
      <c r="D987" s="3"/>
      <c r="E987" s="3"/>
      <c r="F987" s="3"/>
      <c r="G987" s="3"/>
      <c r="H987" s="3"/>
      <c r="I987" s="3"/>
      <c r="J987" s="3"/>
      <c r="K987" s="57"/>
      <c r="L987" s="3"/>
    </row>
    <row r="988" spans="1:12" s="50" customFormat="1" ht="14.4" x14ac:dyDescent="0.3">
      <c r="A988" s="39">
        <v>3</v>
      </c>
      <c r="B988" s="49" t="s">
        <v>944</v>
      </c>
      <c r="C988" s="3"/>
      <c r="D988" s="3"/>
      <c r="E988" s="3"/>
      <c r="F988" s="3"/>
      <c r="G988" s="3"/>
      <c r="H988" s="3"/>
      <c r="I988" s="3"/>
      <c r="J988" s="3"/>
      <c r="K988" s="57"/>
      <c r="L988" s="3"/>
    </row>
    <row r="989" spans="1:12" s="50" customFormat="1" ht="14.4" x14ac:dyDescent="0.3">
      <c r="A989" s="39">
        <v>4</v>
      </c>
      <c r="B989" s="49" t="s">
        <v>945</v>
      </c>
      <c r="C989" s="3"/>
      <c r="D989" s="3"/>
      <c r="E989" s="3"/>
      <c r="F989" s="3"/>
      <c r="G989" s="3"/>
      <c r="H989" s="3"/>
      <c r="I989" s="3"/>
      <c r="J989" s="3"/>
      <c r="K989" s="57"/>
      <c r="L989" s="3"/>
    </row>
    <row r="990" spans="1:12" s="50" customFormat="1" ht="14.4" x14ac:dyDescent="0.3">
      <c r="A990" s="39">
        <v>5</v>
      </c>
      <c r="B990" s="49" t="s">
        <v>946</v>
      </c>
      <c r="C990" s="3"/>
      <c r="D990" s="3"/>
      <c r="E990" s="3"/>
      <c r="F990" s="3"/>
      <c r="G990" s="3"/>
      <c r="H990" s="3"/>
      <c r="I990" s="3"/>
      <c r="J990" s="3"/>
      <c r="K990" s="57"/>
      <c r="L990" s="3"/>
    </row>
    <row r="991" spans="1:12" s="50" customFormat="1" ht="14.4" x14ac:dyDescent="0.3">
      <c r="A991" s="39">
        <v>6</v>
      </c>
      <c r="B991" s="49" t="s">
        <v>949</v>
      </c>
      <c r="C991" s="3"/>
      <c r="D991" s="3"/>
      <c r="E991" s="3"/>
      <c r="F991" s="3"/>
      <c r="G991" s="3"/>
      <c r="H991" s="3"/>
      <c r="I991" s="3"/>
      <c r="J991" s="3"/>
      <c r="K991" s="57"/>
      <c r="L991" s="3"/>
    </row>
    <row r="992" spans="1:12" s="50" customFormat="1" ht="14.4" x14ac:dyDescent="0.3">
      <c r="A992" s="39">
        <v>7</v>
      </c>
      <c r="B992" s="49" t="s">
        <v>950</v>
      </c>
      <c r="C992" s="3"/>
      <c r="D992" s="3"/>
      <c r="E992" s="3"/>
      <c r="F992" s="3"/>
      <c r="G992" s="3"/>
      <c r="H992" s="3"/>
      <c r="I992" s="3"/>
      <c r="J992" s="3"/>
      <c r="K992" s="57"/>
      <c r="L992" s="3"/>
    </row>
    <row r="993" spans="1:12" s="50" customFormat="1" ht="14.4" x14ac:dyDescent="0.3">
      <c r="A993" s="39">
        <v>8</v>
      </c>
      <c r="B993" s="49" t="s">
        <v>1092</v>
      </c>
      <c r="C993" s="3"/>
      <c r="D993" s="3"/>
      <c r="E993" s="3"/>
      <c r="F993" s="3"/>
      <c r="G993" s="3"/>
      <c r="H993" s="3"/>
      <c r="I993" s="3"/>
      <c r="J993" s="3"/>
      <c r="K993" s="57"/>
      <c r="L993" s="3"/>
    </row>
    <row r="994" spans="1:12" s="582" customFormat="1" ht="14.4" x14ac:dyDescent="0.3">
      <c r="A994" s="42">
        <v>9</v>
      </c>
      <c r="B994" s="141" t="s">
        <v>1131</v>
      </c>
      <c r="C994" s="43"/>
      <c r="D994" s="43"/>
      <c r="E994" s="43"/>
      <c r="F994" s="43"/>
      <c r="G994" s="43"/>
      <c r="H994" s="43"/>
      <c r="I994" s="43"/>
      <c r="J994" s="43"/>
      <c r="K994" s="641"/>
      <c r="L994" s="45"/>
    </row>
    <row r="996" spans="1:12" s="50" customFormat="1" ht="14.4" x14ac:dyDescent="0.3">
      <c r="A996" s="9" t="s">
        <v>14</v>
      </c>
      <c r="B996" s="9" t="s">
        <v>74</v>
      </c>
      <c r="C996" s="9" t="s">
        <v>15</v>
      </c>
      <c r="D996" s="49"/>
      <c r="E996" s="49"/>
      <c r="F996" s="49"/>
      <c r="G996" s="49"/>
      <c r="H996" s="49"/>
      <c r="I996" s="49"/>
      <c r="J996" s="49"/>
      <c r="K996" s="349"/>
      <c r="L996" s="349"/>
    </row>
    <row r="997" spans="1:12" s="50" customFormat="1" ht="14.4" x14ac:dyDescent="0.3">
      <c r="A997" s="11" t="s">
        <v>16</v>
      </c>
      <c r="B997" s="11">
        <v>2016</v>
      </c>
      <c r="C997" s="51">
        <v>2017</v>
      </c>
      <c r="D997" s="11">
        <v>2018</v>
      </c>
      <c r="E997" s="51">
        <v>2019</v>
      </c>
      <c r="F997" s="11">
        <v>2020</v>
      </c>
      <c r="G997" s="51">
        <v>2021</v>
      </c>
      <c r="H997" s="51">
        <v>2022</v>
      </c>
      <c r="I997" s="51">
        <v>2023</v>
      </c>
      <c r="J997" s="51">
        <v>2024</v>
      </c>
      <c r="K997" s="51">
        <v>2025</v>
      </c>
    </row>
    <row r="998" spans="1:12" s="50" customFormat="1" ht="14.4" x14ac:dyDescent="0.3">
      <c r="A998" s="11" t="s">
        <v>17</v>
      </c>
      <c r="B998" s="12">
        <v>10</v>
      </c>
      <c r="C998" s="12">
        <v>10</v>
      </c>
      <c r="D998" s="12">
        <v>10</v>
      </c>
      <c r="E998" s="12">
        <v>10</v>
      </c>
      <c r="F998" s="12">
        <v>10</v>
      </c>
      <c r="G998" s="12">
        <v>10</v>
      </c>
      <c r="H998" s="12">
        <v>10</v>
      </c>
      <c r="I998" s="12">
        <v>10</v>
      </c>
      <c r="J998" s="12">
        <v>10</v>
      </c>
      <c r="K998" s="12">
        <v>10</v>
      </c>
    </row>
    <row r="999" spans="1:12" s="50" customFormat="1" ht="14.4" x14ac:dyDescent="0.3">
      <c r="A999" s="11" t="s">
        <v>18</v>
      </c>
      <c r="B999" s="12"/>
      <c r="C999" s="12">
        <f>C998+B1002</f>
        <v>-32.61403</v>
      </c>
      <c r="D999" s="12">
        <f>D998+C1002</f>
        <v>-76.433140000000009</v>
      </c>
      <c r="E999" s="12">
        <f>E998+D1002</f>
        <v>-128.10641000000001</v>
      </c>
      <c r="F999" s="12">
        <f>F998+E1002</f>
        <v>-187.27213</v>
      </c>
      <c r="G999" s="12">
        <f>G998+F1002</f>
        <v>-226.22134</v>
      </c>
      <c r="H999" s="12">
        <f>H998+(1.25*G1002)</f>
        <v>-295.64792499999999</v>
      </c>
      <c r="I999" s="12">
        <f>I998+(H1002)</f>
        <v>-304.77292499999999</v>
      </c>
      <c r="J999" s="12">
        <f>J998+(I1002)</f>
        <v>-363.07112499999999</v>
      </c>
      <c r="K999" s="12">
        <f>K998+(J1002)</f>
        <v>-379.58112499999999</v>
      </c>
    </row>
    <row r="1000" spans="1:12" s="50" customFormat="1" ht="14.4" x14ac:dyDescent="0.3">
      <c r="A1000" s="11" t="s">
        <v>19</v>
      </c>
      <c r="B1000" s="11"/>
      <c r="C1000" s="11">
        <v>1</v>
      </c>
      <c r="D1000" s="11">
        <v>2</v>
      </c>
      <c r="E1000" s="11">
        <v>3</v>
      </c>
      <c r="F1000" s="11">
        <v>4</v>
      </c>
      <c r="G1000" s="11">
        <v>5</v>
      </c>
      <c r="H1000" s="11">
        <v>6</v>
      </c>
      <c r="I1000" s="11">
        <v>7</v>
      </c>
      <c r="J1000" s="11">
        <v>8</v>
      </c>
      <c r="K1000" s="11">
        <v>9</v>
      </c>
    </row>
    <row r="1001" spans="1:12" s="50" customFormat="1" ht="15" x14ac:dyDescent="0.3">
      <c r="A1001" s="11" t="s">
        <v>20</v>
      </c>
      <c r="B1001" s="350">
        <v>52.61403</v>
      </c>
      <c r="C1001" s="350">
        <v>53.819110000000002</v>
      </c>
      <c r="D1001" s="350">
        <v>61.673270000000002</v>
      </c>
      <c r="E1001" s="350">
        <v>69.165719999999993</v>
      </c>
      <c r="F1001" s="350">
        <v>48.949210000000001</v>
      </c>
      <c r="G1001" s="350">
        <v>18.297000000000001</v>
      </c>
      <c r="H1001" s="350">
        <v>19.125</v>
      </c>
      <c r="I1001" s="351">
        <v>68.298199999999994</v>
      </c>
      <c r="J1001" s="351">
        <v>26.51</v>
      </c>
      <c r="K1001" s="351"/>
    </row>
    <row r="1002" spans="1:12" s="50" customFormat="1" ht="14.4" x14ac:dyDescent="0.3">
      <c r="A1002" s="11" t="s">
        <v>21</v>
      </c>
      <c r="B1002" s="12">
        <f>B998-B1001</f>
        <v>-42.61403</v>
      </c>
      <c r="C1002" s="12">
        <f>C999-C1001</f>
        <v>-86.433140000000009</v>
      </c>
      <c r="D1002" s="12">
        <f t="shared" ref="D1002:J1002" si="47">D999-D1001</f>
        <v>-138.10641000000001</v>
      </c>
      <c r="E1002" s="12">
        <f t="shared" si="47"/>
        <v>-197.27213</v>
      </c>
      <c r="F1002" s="12">
        <f t="shared" si="47"/>
        <v>-236.22134</v>
      </c>
      <c r="G1002" s="12">
        <f t="shared" si="47"/>
        <v>-244.51833999999999</v>
      </c>
      <c r="H1002" s="12">
        <f t="shared" si="47"/>
        <v>-314.77292499999999</v>
      </c>
      <c r="I1002" s="12">
        <f t="shared" si="47"/>
        <v>-373.07112499999999</v>
      </c>
      <c r="J1002" s="12">
        <f t="shared" si="47"/>
        <v>-389.58112499999999</v>
      </c>
      <c r="K1002" s="12"/>
    </row>
    <row r="1003" spans="1:12" s="50" customFormat="1" ht="14.4" x14ac:dyDescent="0.3">
      <c r="A1003" s="62" t="s">
        <v>22</v>
      </c>
      <c r="B1003" s="62">
        <v>2017</v>
      </c>
      <c r="C1003" s="62">
        <v>2018</v>
      </c>
      <c r="D1003" s="62">
        <v>2019</v>
      </c>
      <c r="E1003" s="62">
        <v>2020</v>
      </c>
      <c r="F1003" s="62">
        <v>2021</v>
      </c>
      <c r="G1003" s="62">
        <v>2022</v>
      </c>
      <c r="H1003" s="62">
        <v>2023</v>
      </c>
      <c r="I1003" s="62">
        <v>2024</v>
      </c>
      <c r="J1003" s="62">
        <v>2025</v>
      </c>
      <c r="K1003" s="62">
        <v>2026</v>
      </c>
    </row>
    <row r="1004" spans="1:12" s="50" customFormat="1" ht="14.4" x14ac:dyDescent="0.3">
      <c r="A1004" s="18">
        <v>1</v>
      </c>
      <c r="B1004" s="53" t="s">
        <v>942</v>
      </c>
      <c r="C1004" s="19"/>
      <c r="D1004" s="19"/>
      <c r="E1004" s="19"/>
      <c r="F1004" s="19"/>
      <c r="G1004" s="19"/>
      <c r="H1004" s="19"/>
      <c r="I1004" s="19"/>
      <c r="J1004" s="19"/>
      <c r="K1004" s="55"/>
      <c r="L1004" s="3"/>
    </row>
    <row r="1005" spans="1:12" s="50" customFormat="1" ht="14.4" x14ac:dyDescent="0.3">
      <c r="A1005" s="39">
        <v>2</v>
      </c>
      <c r="B1005" s="49" t="s">
        <v>943</v>
      </c>
      <c r="C1005" s="3"/>
      <c r="D1005" s="3"/>
      <c r="E1005" s="3"/>
      <c r="F1005" s="3"/>
      <c r="G1005" s="3"/>
      <c r="H1005" s="3"/>
      <c r="I1005" s="3"/>
      <c r="J1005" s="3"/>
      <c r="K1005" s="57"/>
      <c r="L1005" s="3"/>
    </row>
    <row r="1006" spans="1:12" s="50" customFormat="1" ht="14.4" x14ac:dyDescent="0.3">
      <c r="A1006" s="39">
        <v>3</v>
      </c>
      <c r="B1006" s="49" t="s">
        <v>944</v>
      </c>
      <c r="C1006" s="3"/>
      <c r="D1006" s="3"/>
      <c r="E1006" s="3"/>
      <c r="F1006" s="3"/>
      <c r="G1006" s="3"/>
      <c r="H1006" s="3"/>
      <c r="I1006" s="3"/>
      <c r="J1006" s="3"/>
      <c r="K1006" s="57"/>
      <c r="L1006" s="3"/>
    </row>
    <row r="1007" spans="1:12" s="50" customFormat="1" ht="14.4" x14ac:dyDescent="0.3">
      <c r="A1007" s="39">
        <v>4</v>
      </c>
      <c r="B1007" s="49" t="s">
        <v>945</v>
      </c>
      <c r="C1007" s="3"/>
      <c r="D1007" s="3"/>
      <c r="E1007" s="3"/>
      <c r="F1007" s="3"/>
      <c r="G1007" s="3"/>
      <c r="H1007" s="3"/>
      <c r="I1007" s="3"/>
      <c r="J1007" s="3"/>
      <c r="K1007" s="57"/>
      <c r="L1007" s="3"/>
    </row>
    <row r="1008" spans="1:12" s="50" customFormat="1" ht="14.4" x14ac:dyDescent="0.3">
      <c r="A1008" s="39">
        <v>5</v>
      </c>
      <c r="B1008" s="49" t="s">
        <v>946</v>
      </c>
      <c r="C1008" s="3"/>
      <c r="D1008" s="3"/>
      <c r="E1008" s="3"/>
      <c r="F1008" s="3"/>
      <c r="G1008" s="3"/>
      <c r="H1008" s="3"/>
      <c r="I1008" s="3"/>
      <c r="J1008" s="3"/>
      <c r="K1008" s="57"/>
      <c r="L1008" s="3"/>
    </row>
    <row r="1009" spans="1:12" s="50" customFormat="1" ht="14.4" x14ac:dyDescent="0.3">
      <c r="A1009" s="39">
        <v>6</v>
      </c>
      <c r="B1009" s="49" t="s">
        <v>947</v>
      </c>
      <c r="C1009" s="3"/>
      <c r="D1009" s="3"/>
      <c r="E1009" s="3"/>
      <c r="F1009" s="3"/>
      <c r="G1009" s="3"/>
      <c r="H1009" s="3"/>
      <c r="I1009" s="3"/>
      <c r="J1009" s="3"/>
      <c r="K1009" s="57"/>
      <c r="L1009" s="3"/>
    </row>
    <row r="1010" spans="1:12" s="50" customFormat="1" ht="14.4" x14ac:dyDescent="0.3">
      <c r="A1010" s="39">
        <v>7</v>
      </c>
      <c r="B1010" s="49" t="s">
        <v>950</v>
      </c>
      <c r="C1010" s="3"/>
      <c r="D1010" s="3"/>
      <c r="E1010" s="3"/>
      <c r="F1010" s="3"/>
      <c r="G1010" s="3"/>
      <c r="H1010" s="3"/>
      <c r="I1010" s="3"/>
      <c r="J1010" s="3"/>
      <c r="K1010" s="57"/>
      <c r="L1010" s="3"/>
    </row>
    <row r="1011" spans="1:12" s="50" customFormat="1" ht="14.4" x14ac:dyDescent="0.3">
      <c r="A1011" s="39">
        <v>8</v>
      </c>
      <c r="B1011" s="49" t="s">
        <v>1092</v>
      </c>
      <c r="C1011" s="3"/>
      <c r="D1011" s="3"/>
      <c r="E1011" s="3"/>
      <c r="F1011" s="3"/>
      <c r="G1011" s="3"/>
      <c r="H1011" s="3"/>
      <c r="I1011" s="3"/>
      <c r="J1011" s="3"/>
      <c r="K1011" s="57"/>
      <c r="L1011" s="3"/>
    </row>
    <row r="1012" spans="1:12" s="59" customFormat="1" ht="14.4" x14ac:dyDescent="0.3">
      <c r="A1012" s="41">
        <v>9</v>
      </c>
      <c r="B1012" s="58" t="s">
        <v>1131</v>
      </c>
      <c r="C1012" s="34"/>
      <c r="D1012" s="34"/>
      <c r="E1012" s="34"/>
      <c r="F1012" s="34"/>
      <c r="G1012" s="34"/>
      <c r="H1012" s="34"/>
      <c r="I1012" s="34"/>
      <c r="J1012" s="34"/>
      <c r="K1012" s="60"/>
      <c r="L1012" s="34"/>
    </row>
    <row r="1014" spans="1:12" s="50" customFormat="1" ht="14.4" x14ac:dyDescent="0.3">
      <c r="A1014" s="9" t="s">
        <v>14</v>
      </c>
      <c r="B1014" s="9" t="s">
        <v>79</v>
      </c>
      <c r="C1014" s="9" t="s">
        <v>15</v>
      </c>
      <c r="D1014" s="49"/>
      <c r="E1014" s="49"/>
      <c r="F1014" s="49"/>
      <c r="G1014" s="49"/>
      <c r="H1014" s="49"/>
      <c r="I1014" s="49"/>
      <c r="J1014" s="49"/>
      <c r="K1014" s="349"/>
      <c r="L1014" s="349"/>
    </row>
    <row r="1015" spans="1:12" s="50" customFormat="1" ht="14.4" x14ac:dyDescent="0.3">
      <c r="A1015" s="11" t="s">
        <v>16</v>
      </c>
      <c r="B1015" s="11">
        <v>2016</v>
      </c>
      <c r="C1015" s="51">
        <v>2017</v>
      </c>
      <c r="D1015" s="11">
        <v>2018</v>
      </c>
      <c r="E1015" s="51">
        <v>2019</v>
      </c>
      <c r="F1015" s="11">
        <v>2020</v>
      </c>
      <c r="G1015" s="51">
        <v>2021</v>
      </c>
      <c r="H1015" s="51">
        <v>2022</v>
      </c>
      <c r="I1015" s="51">
        <v>2023</v>
      </c>
      <c r="J1015" s="51">
        <v>2024</v>
      </c>
      <c r="K1015" s="51">
        <v>2025</v>
      </c>
    </row>
    <row r="1016" spans="1:12" s="50" customFormat="1" ht="14.4" x14ac:dyDescent="0.3">
      <c r="A1016" s="11" t="s">
        <v>17</v>
      </c>
      <c r="B1016" s="12">
        <v>2</v>
      </c>
      <c r="C1016" s="12">
        <v>2</v>
      </c>
      <c r="D1016" s="12">
        <v>2</v>
      </c>
      <c r="E1016" s="12">
        <v>2</v>
      </c>
      <c r="F1016" s="12">
        <v>2</v>
      </c>
      <c r="G1016" s="12">
        <v>2</v>
      </c>
      <c r="H1016" s="12">
        <v>2</v>
      </c>
      <c r="I1016" s="12">
        <v>2</v>
      </c>
      <c r="J1016" s="12">
        <v>2</v>
      </c>
      <c r="K1016" s="12">
        <v>2</v>
      </c>
    </row>
    <row r="1017" spans="1:12" s="50" customFormat="1" ht="14.4" x14ac:dyDescent="0.3">
      <c r="A1017" s="11" t="s">
        <v>18</v>
      </c>
      <c r="B1017" s="12"/>
      <c r="C1017" s="12">
        <f>C1016+B1020</f>
        <v>-11.25929</v>
      </c>
      <c r="D1017" s="12">
        <f>D1016+C1020</f>
        <v>-18.250970000000002</v>
      </c>
      <c r="E1017" s="12">
        <f>E1016+D1020</f>
        <v>-26.929000000000002</v>
      </c>
      <c r="F1017" s="12">
        <f>F1016+E1020</f>
        <v>-43.615989999999996</v>
      </c>
      <c r="G1017" s="12">
        <f>G1016+F1020</f>
        <v>-55.136309999999995</v>
      </c>
      <c r="H1017" s="12">
        <f>H1016+(1.25*G1020)</f>
        <v>-68.606637499999991</v>
      </c>
      <c r="I1017" s="12">
        <f>I1016+(H1020)</f>
        <v>-71.317637499999989</v>
      </c>
      <c r="J1017" s="12">
        <f>J1016+(I1020)</f>
        <v>-81.973067499999985</v>
      </c>
      <c r="K1017" s="12">
        <f>K1016+(J1020)</f>
        <v>-84.527911499999988</v>
      </c>
    </row>
    <row r="1018" spans="1:12" s="50" customFormat="1" ht="14.4" x14ac:dyDescent="0.3">
      <c r="A1018" s="11" t="s">
        <v>19</v>
      </c>
      <c r="B1018" s="11"/>
      <c r="C1018" s="11">
        <v>1</v>
      </c>
      <c r="D1018" s="11">
        <v>2</v>
      </c>
      <c r="E1018" s="11">
        <v>3</v>
      </c>
      <c r="F1018" s="11">
        <v>4</v>
      </c>
      <c r="G1018" s="11">
        <v>5</v>
      </c>
      <c r="H1018" s="11">
        <v>6</v>
      </c>
      <c r="I1018" s="11">
        <v>7</v>
      </c>
      <c r="J1018" s="11">
        <v>8</v>
      </c>
      <c r="K1018" s="11">
        <v>9</v>
      </c>
    </row>
    <row r="1019" spans="1:12" s="50" customFormat="1" ht="15" x14ac:dyDescent="0.3">
      <c r="A1019" s="11" t="s">
        <v>20</v>
      </c>
      <c r="B1019" s="350">
        <v>15.25929</v>
      </c>
      <c r="C1019" s="350">
        <v>8.9916800000000006</v>
      </c>
      <c r="D1019" s="350">
        <v>10.67803</v>
      </c>
      <c r="E1019" s="350">
        <v>18.686989999999998</v>
      </c>
      <c r="F1019" s="350">
        <v>13.52032</v>
      </c>
      <c r="G1019" s="350">
        <v>1.349</v>
      </c>
      <c r="H1019" s="350">
        <v>4.7110000000000003</v>
      </c>
      <c r="I1019" s="351">
        <v>12.655430000000001</v>
      </c>
      <c r="J1019" s="351">
        <v>4.5548440000000001</v>
      </c>
      <c r="K1019" s="351"/>
    </row>
    <row r="1020" spans="1:12" s="50" customFormat="1" ht="14.4" x14ac:dyDescent="0.3">
      <c r="A1020" s="11" t="s">
        <v>21</v>
      </c>
      <c r="B1020" s="12">
        <f>B1016-B1019</f>
        <v>-13.25929</v>
      </c>
      <c r="C1020" s="12">
        <f>C1017-C1019</f>
        <v>-20.250970000000002</v>
      </c>
      <c r="D1020" s="12">
        <f t="shared" ref="D1020:J1020" si="48">D1017-D1019</f>
        <v>-28.929000000000002</v>
      </c>
      <c r="E1020" s="12">
        <f t="shared" si="48"/>
        <v>-45.615989999999996</v>
      </c>
      <c r="F1020" s="12">
        <f t="shared" si="48"/>
        <v>-57.136309999999995</v>
      </c>
      <c r="G1020" s="12">
        <f t="shared" si="48"/>
        <v>-56.485309999999991</v>
      </c>
      <c r="H1020" s="12">
        <f t="shared" si="48"/>
        <v>-73.317637499999989</v>
      </c>
      <c r="I1020" s="12">
        <f t="shared" si="48"/>
        <v>-83.973067499999985</v>
      </c>
      <c r="J1020" s="12">
        <f t="shared" si="48"/>
        <v>-86.527911499999988</v>
      </c>
      <c r="K1020" s="12"/>
    </row>
    <row r="1021" spans="1:12" s="50" customFormat="1" ht="14.4" x14ac:dyDescent="0.3">
      <c r="A1021" s="62" t="s">
        <v>22</v>
      </c>
      <c r="B1021" s="62">
        <v>2017</v>
      </c>
      <c r="C1021" s="62">
        <v>2018</v>
      </c>
      <c r="D1021" s="62">
        <v>2019</v>
      </c>
      <c r="E1021" s="62">
        <v>2020</v>
      </c>
      <c r="F1021" s="62">
        <v>2021</v>
      </c>
      <c r="G1021" s="62">
        <v>2022</v>
      </c>
      <c r="H1021" s="62">
        <v>2023</v>
      </c>
      <c r="I1021" s="62">
        <v>2024</v>
      </c>
      <c r="J1021" s="62">
        <v>2025</v>
      </c>
      <c r="K1021" s="62">
        <v>2026</v>
      </c>
    </row>
    <row r="1022" spans="1:12" s="50" customFormat="1" ht="14.4" x14ac:dyDescent="0.3">
      <c r="A1022" s="18">
        <v>1</v>
      </c>
      <c r="B1022" s="53" t="s">
        <v>942</v>
      </c>
      <c r="C1022" s="19"/>
      <c r="D1022" s="19"/>
      <c r="E1022" s="19"/>
      <c r="F1022" s="19"/>
      <c r="G1022" s="19"/>
      <c r="H1022" s="19"/>
      <c r="I1022" s="19"/>
      <c r="J1022" s="19"/>
      <c r="K1022" s="55"/>
      <c r="L1022" s="3"/>
    </row>
    <row r="1023" spans="1:12" s="50" customFormat="1" ht="14.4" x14ac:dyDescent="0.3">
      <c r="A1023" s="39">
        <v>2</v>
      </c>
      <c r="B1023" s="49" t="s">
        <v>943</v>
      </c>
      <c r="C1023" s="3"/>
      <c r="D1023" s="3"/>
      <c r="E1023" s="3"/>
      <c r="F1023" s="3"/>
      <c r="G1023" s="3"/>
      <c r="H1023" s="3"/>
      <c r="I1023" s="3"/>
      <c r="J1023" s="3"/>
      <c r="K1023" s="57"/>
      <c r="L1023" s="3"/>
    </row>
    <row r="1024" spans="1:12" s="50" customFormat="1" ht="14.4" x14ac:dyDescent="0.3">
      <c r="A1024" s="39">
        <v>3</v>
      </c>
      <c r="B1024" s="49" t="s">
        <v>944</v>
      </c>
      <c r="C1024" s="3"/>
      <c r="D1024" s="3"/>
      <c r="E1024" s="3"/>
      <c r="F1024" s="3"/>
      <c r="G1024" s="3"/>
      <c r="H1024" s="3"/>
      <c r="I1024" s="3"/>
      <c r="J1024" s="3"/>
      <c r="K1024" s="57"/>
      <c r="L1024" s="3"/>
    </row>
    <row r="1025" spans="1:19" s="50" customFormat="1" ht="14.4" x14ac:dyDescent="0.3">
      <c r="A1025" s="39">
        <v>4</v>
      </c>
      <c r="B1025" s="49" t="s">
        <v>945</v>
      </c>
      <c r="C1025" s="3"/>
      <c r="D1025" s="3"/>
      <c r="E1025" s="3"/>
      <c r="F1025" s="3"/>
      <c r="G1025" s="3"/>
      <c r="H1025" s="3"/>
      <c r="I1025" s="3"/>
      <c r="J1025" s="3"/>
      <c r="K1025" s="57"/>
      <c r="L1025" s="3"/>
    </row>
    <row r="1026" spans="1:19" s="50" customFormat="1" ht="14.4" x14ac:dyDescent="0.3">
      <c r="A1026" s="39">
        <v>5</v>
      </c>
      <c r="B1026" s="49" t="s">
        <v>946</v>
      </c>
      <c r="C1026" s="3"/>
      <c r="D1026" s="3"/>
      <c r="E1026" s="3"/>
      <c r="F1026" s="3"/>
      <c r="G1026" s="3"/>
      <c r="H1026" s="3"/>
      <c r="I1026" s="3"/>
      <c r="J1026" s="3"/>
      <c r="K1026" s="57"/>
      <c r="L1026" s="3"/>
    </row>
    <row r="1027" spans="1:19" s="50" customFormat="1" ht="14.4" x14ac:dyDescent="0.3">
      <c r="A1027" s="39">
        <v>6</v>
      </c>
      <c r="B1027" s="49" t="s">
        <v>947</v>
      </c>
      <c r="C1027" s="3"/>
      <c r="D1027" s="3"/>
      <c r="E1027" s="3"/>
      <c r="F1027" s="3"/>
      <c r="G1027" s="3"/>
      <c r="H1027" s="3"/>
      <c r="I1027" s="3"/>
      <c r="J1027" s="3"/>
      <c r="K1027" s="57"/>
      <c r="L1027" s="3"/>
    </row>
    <row r="1028" spans="1:19" s="50" customFormat="1" ht="14.4" x14ac:dyDescent="0.3">
      <c r="A1028" s="39">
        <v>7</v>
      </c>
      <c r="B1028" s="49" t="s">
        <v>948</v>
      </c>
      <c r="C1028" s="3"/>
      <c r="D1028" s="3"/>
      <c r="E1028" s="3"/>
      <c r="F1028" s="3"/>
      <c r="G1028" s="3"/>
      <c r="H1028" s="3"/>
      <c r="I1028" s="3"/>
      <c r="J1028" s="3"/>
      <c r="K1028" s="57"/>
      <c r="L1028" s="3"/>
    </row>
    <row r="1029" spans="1:19" s="50" customFormat="1" ht="14.4" x14ac:dyDescent="0.3">
      <c r="A1029" s="39">
        <v>8</v>
      </c>
      <c r="B1029" s="49" t="s">
        <v>1092</v>
      </c>
      <c r="C1029" s="3"/>
      <c r="D1029" s="3"/>
      <c r="E1029" s="3"/>
      <c r="F1029" s="3"/>
      <c r="G1029" s="3"/>
      <c r="H1029" s="3"/>
      <c r="I1029" s="3"/>
      <c r="J1029" s="3"/>
      <c r="K1029" s="57"/>
      <c r="L1029" s="3"/>
    </row>
    <row r="1030" spans="1:19" s="59" customFormat="1" ht="14.4" x14ac:dyDescent="0.3">
      <c r="A1030" s="41">
        <v>9</v>
      </c>
      <c r="B1030" s="58" t="s">
        <v>1092</v>
      </c>
      <c r="C1030" s="34"/>
      <c r="D1030" s="34"/>
      <c r="E1030" s="34"/>
      <c r="F1030" s="34"/>
      <c r="G1030" s="34"/>
      <c r="H1030" s="34"/>
      <c r="I1030" s="34"/>
      <c r="J1030" s="34"/>
      <c r="K1030" s="60"/>
      <c r="L1030" s="34"/>
    </row>
    <row r="1032" spans="1:19" x14ac:dyDescent="0.25">
      <c r="A1032" s="315"/>
      <c r="C1032" s="348"/>
    </row>
    <row r="1033" spans="1:19" x14ac:dyDescent="0.25">
      <c r="A1033" s="352" t="s">
        <v>12</v>
      </c>
      <c r="B1033" s="353" t="s">
        <v>173</v>
      </c>
      <c r="C1033" s="354" t="s">
        <v>1042</v>
      </c>
      <c r="D1033" s="339"/>
      <c r="E1033" s="339"/>
      <c r="F1033" s="339"/>
      <c r="G1033" s="339"/>
      <c r="H1033" s="339"/>
      <c r="I1033" s="339"/>
      <c r="J1033" s="339"/>
      <c r="K1033" s="339"/>
      <c r="L1033" s="339"/>
    </row>
    <row r="1034" spans="1:19" x14ac:dyDescent="0.25">
      <c r="A1034" s="355" t="s">
        <v>14</v>
      </c>
      <c r="B1034" s="356" t="s">
        <v>624</v>
      </c>
      <c r="C1034" s="353" t="s">
        <v>15</v>
      </c>
      <c r="D1034" s="339"/>
      <c r="E1034" s="339"/>
      <c r="F1034" s="339"/>
      <c r="G1034" s="339"/>
      <c r="H1034" s="339"/>
      <c r="I1034" s="339"/>
      <c r="J1034" s="339"/>
      <c r="K1034" s="339"/>
      <c r="L1034" s="339"/>
    </row>
    <row r="1035" spans="1:19" s="50" customFormat="1" ht="14.4" x14ac:dyDescent="0.3">
      <c r="A1035" s="357" t="s">
        <v>16</v>
      </c>
      <c r="B1035" s="358">
        <v>2009</v>
      </c>
      <c r="C1035" s="359">
        <v>2010</v>
      </c>
      <c r="D1035" s="359">
        <v>2011</v>
      </c>
      <c r="E1035" s="359">
        <v>2012</v>
      </c>
      <c r="F1035" s="359">
        <v>2013</v>
      </c>
      <c r="G1035" s="359">
        <v>2014</v>
      </c>
      <c r="H1035" s="359">
        <v>2015</v>
      </c>
      <c r="I1035" s="359">
        <v>2016</v>
      </c>
      <c r="J1035" s="359">
        <v>2017</v>
      </c>
      <c r="K1035" s="359">
        <v>2018</v>
      </c>
      <c r="L1035" s="359">
        <v>2019</v>
      </c>
      <c r="M1035" s="359">
        <v>2020</v>
      </c>
      <c r="N1035" s="359">
        <v>2021</v>
      </c>
      <c r="O1035" s="359">
        <v>2022</v>
      </c>
      <c r="P1035" s="359">
        <v>2023</v>
      </c>
      <c r="Q1035" s="359">
        <v>2024</v>
      </c>
      <c r="R1035" s="359">
        <v>2025</v>
      </c>
      <c r="S1035" s="359">
        <v>2026</v>
      </c>
    </row>
    <row r="1036" spans="1:19" s="50" customFormat="1" ht="14.4" x14ac:dyDescent="0.3">
      <c r="A1036" s="360" t="s">
        <v>17</v>
      </c>
      <c r="B1036" s="361"/>
      <c r="C1036" s="361"/>
      <c r="D1036" s="361"/>
      <c r="E1036" s="361"/>
      <c r="F1036" s="361"/>
      <c r="G1036" s="361"/>
      <c r="H1036" s="361"/>
      <c r="I1036" s="361"/>
      <c r="J1036" s="361"/>
      <c r="K1036" s="361"/>
      <c r="L1036" s="361"/>
      <c r="M1036" s="361"/>
      <c r="N1036" s="361"/>
      <c r="O1036" s="361"/>
      <c r="P1036" s="361"/>
      <c r="Q1036" s="362"/>
      <c r="R1036" s="362"/>
      <c r="S1036" s="362"/>
    </row>
    <row r="1037" spans="1:19" s="50" customFormat="1" ht="14.4" x14ac:dyDescent="0.3">
      <c r="A1037" s="360" t="s">
        <v>18</v>
      </c>
      <c r="B1037" s="361">
        <v>525.11158760000001</v>
      </c>
      <c r="C1037" s="361">
        <v>516.79334119999999</v>
      </c>
      <c r="D1037" s="361">
        <v>478.68400000000003</v>
      </c>
      <c r="E1037" s="361">
        <v>638.87599999999998</v>
      </c>
      <c r="F1037" s="361">
        <v>573.67999999999995</v>
      </c>
      <c r="G1037" s="361">
        <v>503.80800000000005</v>
      </c>
      <c r="H1037" s="361">
        <v>407.19200000000001</v>
      </c>
      <c r="I1037" s="361">
        <v>449.52</v>
      </c>
      <c r="J1037" s="361">
        <v>394.88799999999998</v>
      </c>
      <c r="K1037" s="361">
        <v>393.98364000000004</v>
      </c>
      <c r="L1037" s="361">
        <v>397.32737956000005</v>
      </c>
      <c r="M1037" s="361">
        <v>371.77199999999999</v>
      </c>
      <c r="N1037" s="361">
        <v>505.18</v>
      </c>
      <c r="O1037" s="361">
        <v>556.85249999999996</v>
      </c>
      <c r="P1037" s="361">
        <v>601.17999999999995</v>
      </c>
      <c r="Q1037" s="363">
        <v>496.62</v>
      </c>
      <c r="R1037" s="362" t="s">
        <v>1135</v>
      </c>
      <c r="S1037" s="362" t="s">
        <v>1135</v>
      </c>
    </row>
    <row r="1038" spans="1:19" s="50" customFormat="1" ht="14.4" x14ac:dyDescent="0.3">
      <c r="A1038" s="360" t="s">
        <v>19</v>
      </c>
      <c r="B1038" s="361"/>
      <c r="C1038" s="361"/>
      <c r="D1038" s="361"/>
      <c r="E1038" s="361"/>
      <c r="F1038" s="361"/>
      <c r="G1038" s="361"/>
      <c r="H1038" s="361"/>
      <c r="I1038" s="361"/>
      <c r="J1038" s="361"/>
      <c r="K1038" s="361"/>
      <c r="L1038" s="361"/>
      <c r="M1038" s="361"/>
      <c r="N1038" s="361"/>
      <c r="O1038" s="361"/>
      <c r="P1038" s="361"/>
      <c r="Q1038" s="363"/>
      <c r="R1038" s="362"/>
      <c r="S1038" s="362"/>
    </row>
    <row r="1039" spans="1:19" s="50" customFormat="1" ht="14.4" x14ac:dyDescent="0.3">
      <c r="A1039" s="360" t="s">
        <v>20</v>
      </c>
      <c r="B1039" s="361">
        <v>419.55900000000003</v>
      </c>
      <c r="C1039" s="361">
        <v>483.41500000000002</v>
      </c>
      <c r="D1039" s="361">
        <v>285.3</v>
      </c>
      <c r="E1039" s="361">
        <v>1822.1</v>
      </c>
      <c r="F1039" s="361">
        <v>266.39999999999998</v>
      </c>
      <c r="G1039" s="361">
        <v>305.2</v>
      </c>
      <c r="H1039" s="361">
        <v>329.8</v>
      </c>
      <c r="I1039" s="361">
        <v>254.9</v>
      </c>
      <c r="J1039" s="361">
        <v>335</v>
      </c>
      <c r="K1039" s="361">
        <v>210.6</v>
      </c>
      <c r="L1039" s="361">
        <v>319.27300000000002</v>
      </c>
      <c r="M1039" s="361">
        <v>282.8</v>
      </c>
      <c r="N1039" s="361">
        <v>223.4</v>
      </c>
      <c r="O1039" s="361">
        <v>241.6</v>
      </c>
      <c r="P1039" s="361">
        <v>219.1</v>
      </c>
      <c r="Q1039" s="363">
        <v>194</v>
      </c>
      <c r="R1039" s="362" t="s">
        <v>1135</v>
      </c>
      <c r="S1039" s="362" t="s">
        <v>1135</v>
      </c>
    </row>
    <row r="1040" spans="1:19" s="50" customFormat="1" ht="14.4" x14ac:dyDescent="0.3">
      <c r="A1040" s="366" t="s">
        <v>21</v>
      </c>
      <c r="B1040" s="608">
        <v>105.55258759999998</v>
      </c>
      <c r="C1040" s="608">
        <v>33.378341199999966</v>
      </c>
      <c r="D1040" s="608">
        <v>193.38400000000001</v>
      </c>
      <c r="E1040" s="609">
        <v>-1183.2239999999999</v>
      </c>
      <c r="F1040" s="608">
        <v>307.28000000000009</v>
      </c>
      <c r="G1040" s="608">
        <v>198.60800000000006</v>
      </c>
      <c r="H1040" s="608">
        <v>77.391999999999996</v>
      </c>
      <c r="I1040" s="608">
        <v>194.61999999999998</v>
      </c>
      <c r="J1040" s="608">
        <v>59.888000000000034</v>
      </c>
      <c r="K1040" s="608">
        <v>183.38364000000004</v>
      </c>
      <c r="L1040" s="608">
        <v>78.054379560000029</v>
      </c>
      <c r="M1040" s="608">
        <v>88.971999999999994</v>
      </c>
      <c r="N1040" s="608">
        <f>N1037-N1039</f>
        <v>281.77999999999997</v>
      </c>
      <c r="O1040" s="608">
        <f>O1037-O1039</f>
        <v>315.25249999999994</v>
      </c>
      <c r="P1040" s="608">
        <v>382.07999999999993</v>
      </c>
      <c r="Q1040" s="610">
        <v>302.62</v>
      </c>
      <c r="R1040" s="611" t="s">
        <v>1135</v>
      </c>
      <c r="S1040" s="611" t="s">
        <v>1135</v>
      </c>
    </row>
    <row r="1041" spans="1:19" s="50" customFormat="1" ht="14.4" x14ac:dyDescent="0.3">
      <c r="A1041" s="366" t="s">
        <v>22</v>
      </c>
      <c r="B1041" s="367"/>
      <c r="C1041" s="367"/>
      <c r="D1041" s="367"/>
      <c r="E1041" s="367"/>
      <c r="F1041" s="367"/>
      <c r="G1041" s="367"/>
      <c r="H1041" s="367"/>
      <c r="I1041" s="367"/>
      <c r="J1041" s="367"/>
      <c r="K1041" s="367"/>
      <c r="L1041" s="367"/>
      <c r="M1041" s="367"/>
      <c r="N1041" s="367"/>
      <c r="O1041" s="367"/>
      <c r="P1041" s="367"/>
      <c r="Q1041" s="54"/>
      <c r="R1041" s="54"/>
      <c r="S1041" s="55"/>
    </row>
    <row r="1042" spans="1:19" s="50" customFormat="1" ht="14.4" x14ac:dyDescent="0.3">
      <c r="A1042" s="366" t="s">
        <v>23</v>
      </c>
      <c r="B1042" s="368"/>
      <c r="C1042" s="368"/>
      <c r="D1042" s="368"/>
      <c r="E1042" s="368"/>
      <c r="F1042" s="368"/>
      <c r="G1042" s="368"/>
      <c r="H1042" s="368"/>
      <c r="I1042" s="368"/>
      <c r="J1042" s="368"/>
      <c r="K1042" s="368"/>
      <c r="L1042" s="368"/>
      <c r="M1042" s="368"/>
      <c r="N1042" s="368"/>
      <c r="O1042" s="368"/>
      <c r="P1042" s="606"/>
      <c r="Q1042" s="54"/>
      <c r="R1042" s="54"/>
      <c r="S1042" s="55"/>
    </row>
    <row r="1043" spans="1:19" s="50" customFormat="1" ht="14.4" x14ac:dyDescent="0.3">
      <c r="A1043" s="369" t="s">
        <v>174</v>
      </c>
      <c r="B1043" s="339"/>
      <c r="C1043" s="339"/>
      <c r="D1043" s="339"/>
      <c r="E1043" s="339"/>
      <c r="F1043" s="339"/>
      <c r="G1043" s="339"/>
      <c r="H1043" s="339"/>
      <c r="I1043" s="339"/>
      <c r="J1043" s="339"/>
      <c r="K1043" s="339"/>
      <c r="L1043" s="339"/>
      <c r="M1043" s="339"/>
      <c r="N1043" s="339"/>
      <c r="O1043" s="339"/>
      <c r="P1043" s="607"/>
      <c r="S1043" s="57"/>
    </row>
    <row r="1044" spans="1:19" s="50" customFormat="1" ht="14.4" x14ac:dyDescent="0.3">
      <c r="A1044" s="39" t="s">
        <v>220</v>
      </c>
      <c r="B1044" s="339"/>
      <c r="C1044" s="339"/>
      <c r="D1044" s="339"/>
      <c r="E1044" s="339"/>
      <c r="F1044" s="339"/>
      <c r="G1044" s="339"/>
      <c r="H1044" s="339"/>
      <c r="I1044" s="339"/>
      <c r="J1044" s="339"/>
      <c r="K1044" s="339"/>
      <c r="L1044" s="339"/>
      <c r="M1044" s="339"/>
      <c r="N1044" s="339"/>
      <c r="O1044" s="339"/>
      <c r="P1044" s="607"/>
      <c r="S1044" s="57"/>
    </row>
    <row r="1045" spans="1:19" s="50" customFormat="1" ht="14.4" x14ac:dyDescent="0.3">
      <c r="A1045" s="369" t="s">
        <v>270</v>
      </c>
      <c r="B1045" s="339"/>
      <c r="C1045" s="339"/>
      <c r="D1045" s="339"/>
      <c r="E1045" s="339"/>
      <c r="F1045" s="339"/>
      <c r="G1045" s="339"/>
      <c r="H1045" s="339"/>
      <c r="I1045" s="339"/>
      <c r="J1045" s="339"/>
      <c r="K1045" s="339"/>
      <c r="L1045" s="339"/>
      <c r="M1045" s="339"/>
      <c r="N1045" s="339"/>
      <c r="O1045" s="339"/>
      <c r="P1045" s="607"/>
      <c r="S1045" s="57"/>
    </row>
    <row r="1046" spans="1:19" s="50" customFormat="1" ht="14.4" x14ac:dyDescent="0.3">
      <c r="A1046" s="369" t="s">
        <v>460</v>
      </c>
      <c r="B1046" s="339"/>
      <c r="C1046" s="339"/>
      <c r="D1046" s="339"/>
      <c r="E1046" s="339"/>
      <c r="F1046" s="339"/>
      <c r="G1046" s="339"/>
      <c r="H1046" s="339"/>
      <c r="I1046" s="339"/>
      <c r="J1046" s="339"/>
      <c r="K1046" s="339"/>
      <c r="L1046" s="339"/>
      <c r="M1046" s="339"/>
      <c r="N1046" s="339"/>
      <c r="O1046" s="339"/>
      <c r="P1046" s="607"/>
      <c r="S1046" s="57"/>
    </row>
    <row r="1047" spans="1:19" s="50" customFormat="1" ht="14.4" x14ac:dyDescent="0.3">
      <c r="A1047" s="369" t="s">
        <v>707</v>
      </c>
      <c r="B1047" s="339"/>
      <c r="C1047" s="339"/>
      <c r="D1047" s="339"/>
      <c r="E1047" s="339"/>
      <c r="F1047" s="339"/>
      <c r="G1047" s="339"/>
      <c r="H1047" s="339"/>
      <c r="I1047" s="339"/>
      <c r="J1047" s="339"/>
      <c r="K1047" s="339"/>
      <c r="L1047" s="339"/>
      <c r="M1047" s="339"/>
      <c r="N1047" s="339"/>
      <c r="O1047" s="339"/>
      <c r="P1047" s="607"/>
      <c r="S1047" s="57"/>
    </row>
    <row r="1048" spans="1:19" s="50" customFormat="1" ht="14.4" x14ac:dyDescent="0.3">
      <c r="A1048" s="369" t="s">
        <v>805</v>
      </c>
      <c r="B1048" s="339"/>
      <c r="C1048" s="339"/>
      <c r="D1048" s="339"/>
      <c r="E1048" s="339"/>
      <c r="F1048" s="339"/>
      <c r="G1048" s="339"/>
      <c r="H1048" s="339"/>
      <c r="I1048" s="339"/>
      <c r="J1048" s="339"/>
      <c r="K1048" s="339"/>
      <c r="L1048" s="339"/>
      <c r="M1048" s="339"/>
      <c r="N1048" s="339"/>
      <c r="O1048" s="339"/>
      <c r="P1048" s="607"/>
      <c r="S1048" s="57"/>
    </row>
    <row r="1049" spans="1:19" s="50" customFormat="1" ht="14.4" x14ac:dyDescent="0.3">
      <c r="A1049" s="369" t="s">
        <v>1035</v>
      </c>
      <c r="B1049" s="339"/>
      <c r="C1049" s="339"/>
      <c r="D1049" s="339"/>
      <c r="E1049" s="339"/>
      <c r="F1049" s="339"/>
      <c r="G1049" s="339"/>
      <c r="H1049" s="339"/>
      <c r="I1049" s="339"/>
      <c r="J1049" s="339"/>
      <c r="K1049" s="339"/>
      <c r="L1049" s="339"/>
      <c r="M1049" s="339"/>
      <c r="N1049" s="339"/>
      <c r="O1049" s="339"/>
      <c r="P1049" s="607"/>
      <c r="S1049" s="57"/>
    </row>
    <row r="1050" spans="1:19" s="50" customFormat="1" ht="14.4" x14ac:dyDescent="0.3">
      <c r="A1050" s="369" t="s">
        <v>1178</v>
      </c>
      <c r="B1050" s="339"/>
      <c r="C1050" s="339"/>
      <c r="D1050" s="339"/>
      <c r="E1050" s="339"/>
      <c r="F1050" s="339"/>
      <c r="G1050" s="339"/>
      <c r="H1050" s="339"/>
      <c r="I1050" s="339"/>
      <c r="J1050" s="339"/>
      <c r="K1050" s="339"/>
      <c r="L1050" s="339"/>
      <c r="M1050" s="339"/>
      <c r="N1050" s="339"/>
      <c r="O1050" s="339"/>
      <c r="P1050" s="607"/>
      <c r="S1050" s="57"/>
    </row>
    <row r="1051" spans="1:19" s="50" customFormat="1" ht="14.4" x14ac:dyDescent="0.3">
      <c r="A1051" s="369" t="s">
        <v>1179</v>
      </c>
      <c r="B1051" s="339"/>
      <c r="C1051" s="339"/>
      <c r="D1051" s="339"/>
      <c r="E1051" s="339"/>
      <c r="F1051" s="339"/>
      <c r="G1051" s="339"/>
      <c r="H1051" s="339"/>
      <c r="I1051" s="339"/>
      <c r="J1051" s="339"/>
      <c r="K1051" s="339"/>
      <c r="L1051" s="339"/>
      <c r="M1051" s="339"/>
      <c r="N1051" s="339"/>
      <c r="O1051" s="339"/>
      <c r="P1051" s="607"/>
      <c r="S1051" s="57"/>
    </row>
    <row r="1052" spans="1:19" s="411" customFormat="1" ht="13.8" x14ac:dyDescent="0.3">
      <c r="A1052" s="426" t="s">
        <v>1229</v>
      </c>
      <c r="B1052" s="339"/>
      <c r="C1052" s="339"/>
      <c r="D1052" s="339"/>
      <c r="E1052" s="339"/>
      <c r="F1052" s="339"/>
      <c r="G1052" s="339"/>
      <c r="H1052" s="339"/>
      <c r="I1052" s="339"/>
      <c r="J1052" s="339"/>
      <c r="K1052" s="339"/>
      <c r="L1052" s="3"/>
      <c r="M1052" s="3"/>
      <c r="N1052" s="339"/>
      <c r="O1052" s="339"/>
      <c r="S1052" s="605"/>
    </row>
    <row r="1053" spans="1:19" s="50" customFormat="1" ht="14.4" x14ac:dyDescent="0.3">
      <c r="A1053" s="369"/>
      <c r="B1053" s="339"/>
      <c r="C1053" s="339"/>
      <c r="D1053" s="339"/>
      <c r="E1053" s="339"/>
      <c r="F1053" s="339" t="s">
        <v>175</v>
      </c>
      <c r="G1053" s="339"/>
      <c r="H1053" s="339"/>
      <c r="I1053" s="339"/>
      <c r="J1053" s="339"/>
      <c r="K1053" s="339"/>
      <c r="L1053" s="339"/>
      <c r="M1053" s="339"/>
      <c r="N1053" s="339"/>
      <c r="O1053" s="339"/>
      <c r="P1053" s="607"/>
      <c r="S1053" s="57"/>
    </row>
    <row r="1054" spans="1:19" s="50" customFormat="1" ht="14.4" x14ac:dyDescent="0.3">
      <c r="A1054" s="369"/>
      <c r="B1054" s="370" t="s">
        <v>176</v>
      </c>
      <c r="C1054" s="371">
        <v>1.6354139265717185E-2</v>
      </c>
      <c r="D1054" s="3"/>
      <c r="E1054" s="339"/>
      <c r="F1054" s="339" t="s">
        <v>177</v>
      </c>
      <c r="G1054" s="372">
        <v>2019</v>
      </c>
      <c r="H1054" s="372">
        <v>2020</v>
      </c>
      <c r="I1054" s="372">
        <v>2021</v>
      </c>
      <c r="J1054" s="372">
        <v>2022</v>
      </c>
      <c r="K1054" s="372">
        <v>2023</v>
      </c>
      <c r="L1054" s="372">
        <v>2024</v>
      </c>
      <c r="M1054" s="372">
        <v>2025</v>
      </c>
      <c r="N1054" s="339">
        <v>2026</v>
      </c>
      <c r="O1054" s="339"/>
      <c r="P1054" s="607"/>
      <c r="S1054" s="57"/>
    </row>
    <row r="1055" spans="1:19" s="50" customFormat="1" ht="14.4" x14ac:dyDescent="0.3">
      <c r="A1055" s="369"/>
      <c r="B1055" s="339"/>
      <c r="C1055" s="339"/>
      <c r="D1055" s="339"/>
      <c r="E1055" s="339"/>
      <c r="F1055" s="339" t="s">
        <v>14</v>
      </c>
      <c r="G1055" s="372" t="s">
        <v>66</v>
      </c>
      <c r="H1055" s="372" t="s">
        <v>66</v>
      </c>
      <c r="I1055" s="372" t="s">
        <v>66</v>
      </c>
      <c r="J1055" s="372" t="s">
        <v>66</v>
      </c>
      <c r="K1055" s="372" t="s">
        <v>66</v>
      </c>
      <c r="L1055" s="372" t="s">
        <v>66</v>
      </c>
      <c r="M1055" s="372" t="s">
        <v>66</v>
      </c>
      <c r="N1055" s="339" t="s">
        <v>66</v>
      </c>
      <c r="O1055" s="339"/>
      <c r="P1055" s="607"/>
      <c r="S1055" s="57"/>
    </row>
    <row r="1056" spans="1:19" s="50" customFormat="1" ht="14.4" x14ac:dyDescent="0.3">
      <c r="A1056" s="369"/>
      <c r="B1056" s="339"/>
      <c r="C1056" s="339"/>
      <c r="D1056" s="339"/>
      <c r="E1056" s="339"/>
      <c r="F1056" s="339" t="s">
        <v>178</v>
      </c>
      <c r="G1056" s="613">
        <v>9933.1844890000011</v>
      </c>
      <c r="H1056" s="613">
        <v>9294.2999999999993</v>
      </c>
      <c r="I1056" s="613">
        <v>11226.4</v>
      </c>
      <c r="J1056" s="613">
        <v>12374.5</v>
      </c>
      <c r="K1056" s="613">
        <v>13359.6</v>
      </c>
      <c r="L1056" s="372">
        <v>11036</v>
      </c>
      <c r="M1056" s="372" t="s">
        <v>1135</v>
      </c>
      <c r="N1056" s="339" t="s">
        <v>1135</v>
      </c>
      <c r="O1056" s="339"/>
      <c r="P1056" s="607"/>
      <c r="S1056" s="57"/>
    </row>
    <row r="1057" spans="1:19" s="50" customFormat="1" ht="14.4" x14ac:dyDescent="0.3">
      <c r="A1057" s="357"/>
      <c r="B1057" s="373"/>
      <c r="C1057" s="373"/>
      <c r="D1057" s="373"/>
      <c r="E1057" s="373"/>
      <c r="F1057" s="373"/>
      <c r="G1057" s="373"/>
      <c r="H1057" s="373"/>
      <c r="I1057" s="373"/>
      <c r="J1057" s="373"/>
      <c r="K1057" s="373"/>
      <c r="L1057" s="373"/>
      <c r="M1057" s="373"/>
      <c r="N1057" s="373"/>
      <c r="O1057" s="373"/>
      <c r="P1057" s="374"/>
      <c r="Q1057" s="59"/>
      <c r="R1057" s="59"/>
      <c r="S1057" s="60"/>
    </row>
    <row r="1058" spans="1:19" x14ac:dyDescent="0.25">
      <c r="A1058" s="315"/>
      <c r="C1058" s="348"/>
    </row>
    <row r="1059" spans="1:19" x14ac:dyDescent="0.25">
      <c r="A1059" s="352" t="s">
        <v>14</v>
      </c>
      <c r="B1059" s="353" t="s">
        <v>638</v>
      </c>
      <c r="C1059" s="353" t="s">
        <v>15</v>
      </c>
      <c r="D1059" s="339"/>
      <c r="E1059" s="339"/>
      <c r="F1059" s="339"/>
      <c r="G1059" s="339"/>
      <c r="H1059" s="339"/>
      <c r="I1059" s="339"/>
      <c r="J1059" s="339"/>
      <c r="K1059" s="339"/>
      <c r="L1059" s="339"/>
      <c r="M1059" s="339"/>
      <c r="N1059" s="339"/>
      <c r="O1059" s="339"/>
      <c r="P1059" s="339"/>
      <c r="Q1059" s="339"/>
      <c r="R1059" s="339"/>
    </row>
    <row r="1060" spans="1:19" s="375" customFormat="1" ht="13.8" x14ac:dyDescent="0.25">
      <c r="A1060" s="357" t="s">
        <v>16</v>
      </c>
      <c r="B1060" s="358">
        <v>2009</v>
      </c>
      <c r="C1060" s="359">
        <v>2010</v>
      </c>
      <c r="D1060" s="359">
        <v>2011</v>
      </c>
      <c r="E1060" s="359">
        <v>2012</v>
      </c>
      <c r="F1060" s="359">
        <v>2013</v>
      </c>
      <c r="G1060" s="359">
        <v>2014</v>
      </c>
      <c r="H1060" s="359">
        <v>2015</v>
      </c>
      <c r="I1060" s="359">
        <v>2016</v>
      </c>
      <c r="J1060" s="359">
        <v>2017</v>
      </c>
      <c r="K1060" s="359">
        <v>2018</v>
      </c>
      <c r="L1060" s="359">
        <v>2019</v>
      </c>
      <c r="M1060" s="359">
        <v>2020</v>
      </c>
      <c r="N1060" s="359">
        <v>2021</v>
      </c>
      <c r="O1060" s="359">
        <v>2022</v>
      </c>
      <c r="P1060" s="359">
        <v>2023</v>
      </c>
      <c r="Q1060" s="359">
        <v>2024</v>
      </c>
      <c r="R1060" s="359">
        <v>2025</v>
      </c>
      <c r="S1060" s="359">
        <v>2026</v>
      </c>
    </row>
    <row r="1061" spans="1:19" s="375" customFormat="1" ht="13.8" x14ac:dyDescent="0.25">
      <c r="A1061" s="360" t="s">
        <v>17</v>
      </c>
      <c r="B1061" s="376"/>
      <c r="C1061" s="376"/>
      <c r="D1061" s="376"/>
      <c r="E1061" s="376"/>
      <c r="F1061" s="376"/>
      <c r="G1061" s="376">
        <v>1355</v>
      </c>
      <c r="H1061" s="376">
        <v>1355</v>
      </c>
      <c r="I1061" s="376">
        <v>1355</v>
      </c>
      <c r="J1061" s="376">
        <v>1355</v>
      </c>
      <c r="K1061" s="376">
        <v>1355</v>
      </c>
      <c r="L1061" s="376">
        <v>1355</v>
      </c>
      <c r="M1061" s="376">
        <v>1355</v>
      </c>
      <c r="N1061" s="376">
        <v>1355</v>
      </c>
      <c r="O1061" s="376">
        <v>1355</v>
      </c>
      <c r="P1061" s="376">
        <v>1630</v>
      </c>
      <c r="Q1061" s="376">
        <v>1630</v>
      </c>
      <c r="R1061" s="376">
        <v>1630</v>
      </c>
      <c r="S1061" s="376">
        <v>1630</v>
      </c>
    </row>
    <row r="1062" spans="1:19" s="375" customFormat="1" ht="13.8" x14ac:dyDescent="0.25">
      <c r="A1062" s="360" t="s">
        <v>18</v>
      </c>
      <c r="B1062" s="376">
        <v>237.31834029985683</v>
      </c>
      <c r="C1062" s="376">
        <v>315.5295404143024</v>
      </c>
      <c r="D1062" s="376">
        <v>275.05599999999998</v>
      </c>
      <c r="E1062" s="376">
        <v>415.68</v>
      </c>
      <c r="F1062" s="376">
        <v>341.67599999999999</v>
      </c>
      <c r="G1062" s="376">
        <v>1725</v>
      </c>
      <c r="H1062" s="376">
        <v>1555</v>
      </c>
      <c r="I1062" s="376">
        <v>1693.75</v>
      </c>
      <c r="J1062" s="376">
        <v>1717.1</v>
      </c>
      <c r="K1062" s="376">
        <v>1893.75</v>
      </c>
      <c r="L1062" s="376">
        <v>1936.3</v>
      </c>
      <c r="M1062" s="376">
        <v>2693.75</v>
      </c>
      <c r="N1062" s="376">
        <f>N1061+0.25*L1061</f>
        <v>1693.75</v>
      </c>
      <c r="O1062" s="376">
        <v>1693.75</v>
      </c>
      <c r="P1062" s="376">
        <f>P1061+N1065+300</f>
        <v>2136.15</v>
      </c>
      <c r="Q1062" s="376">
        <f>Q1061+O1065+100+100+100</f>
        <v>1882.55</v>
      </c>
      <c r="R1062" s="376">
        <f>R1061+P1065+100+100+100+148.15</f>
        <v>2337.5000000000005</v>
      </c>
      <c r="S1062" s="376">
        <v>2337.5</v>
      </c>
    </row>
    <row r="1063" spans="1:19" s="375" customFormat="1" ht="13.8" x14ac:dyDescent="0.25">
      <c r="A1063" s="360" t="s">
        <v>19</v>
      </c>
      <c r="B1063" s="376"/>
      <c r="C1063" s="376"/>
      <c r="D1063" s="376"/>
      <c r="E1063" s="376"/>
      <c r="F1063" s="376"/>
      <c r="G1063" s="376"/>
      <c r="H1063" s="376"/>
      <c r="I1063" s="376"/>
      <c r="J1063" s="376"/>
      <c r="K1063" s="376"/>
      <c r="L1063" s="376"/>
      <c r="M1063" s="376"/>
      <c r="N1063" s="376"/>
      <c r="O1063" s="376"/>
      <c r="P1063" s="376"/>
      <c r="Q1063" s="376"/>
      <c r="R1063" s="376"/>
      <c r="S1063" s="376"/>
    </row>
    <row r="1064" spans="1:19" s="375" customFormat="1" ht="13.8" x14ac:dyDescent="0.25">
      <c r="A1064" s="360" t="s">
        <v>20</v>
      </c>
      <c r="B1064" s="376">
        <v>958.10900000000004</v>
      </c>
      <c r="C1064" s="376">
        <v>1217.827</v>
      </c>
      <c r="D1064" s="376">
        <v>1776.4</v>
      </c>
      <c r="E1064" s="376">
        <v>3550.6</v>
      </c>
      <c r="F1064" s="376">
        <v>1713.8</v>
      </c>
      <c r="G1064" s="376">
        <v>1198.9000000000001</v>
      </c>
      <c r="H1064" s="376">
        <v>1392.9</v>
      </c>
      <c r="I1064" s="376">
        <v>1212.8</v>
      </c>
      <c r="J1064" s="376">
        <v>2135.8000000000002</v>
      </c>
      <c r="K1064" s="376">
        <v>1654.5</v>
      </c>
      <c r="L1064" s="376">
        <v>1465.57</v>
      </c>
      <c r="M1064" s="376">
        <v>1621.8</v>
      </c>
      <c r="N1064" s="376">
        <v>1487.6</v>
      </c>
      <c r="O1064" s="376">
        <v>1741.2</v>
      </c>
      <c r="P1064" s="376">
        <v>1876.8</v>
      </c>
      <c r="Q1064" s="376">
        <v>1861.5</v>
      </c>
      <c r="R1064" s="376" t="s">
        <v>1135</v>
      </c>
      <c r="S1064" s="376"/>
    </row>
    <row r="1065" spans="1:19" s="375" customFormat="1" ht="13.8" x14ac:dyDescent="0.25">
      <c r="A1065" s="360" t="s">
        <v>21</v>
      </c>
      <c r="B1065" s="376">
        <v>-720.79065970014324</v>
      </c>
      <c r="C1065" s="376">
        <v>-902.29745958569765</v>
      </c>
      <c r="D1065" s="376">
        <v>-1501.3440000000001</v>
      </c>
      <c r="E1065" s="376">
        <v>-3134.92</v>
      </c>
      <c r="F1065" s="376">
        <v>-1372.124</v>
      </c>
      <c r="G1065" s="376">
        <v>526.09999999999991</v>
      </c>
      <c r="H1065" s="376">
        <v>162.09999999999991</v>
      </c>
      <c r="I1065" s="376">
        <v>480.95000000000005</v>
      </c>
      <c r="J1065" s="376">
        <v>-418.70000000000027</v>
      </c>
      <c r="K1065" s="376">
        <v>239.25</v>
      </c>
      <c r="L1065" s="376">
        <v>470.73</v>
      </c>
      <c r="M1065" s="376">
        <v>1071.95</v>
      </c>
      <c r="N1065" s="376">
        <f>N1062-N1064</f>
        <v>206.15000000000009</v>
      </c>
      <c r="O1065" s="376">
        <f>O1062-O1064</f>
        <v>-47.450000000000045</v>
      </c>
      <c r="P1065" s="376">
        <f>P1062-P1064</f>
        <v>259.35000000000014</v>
      </c>
      <c r="Q1065" s="376">
        <v>21.049999999999955</v>
      </c>
      <c r="R1065" s="376" t="s">
        <v>1135</v>
      </c>
      <c r="S1065" s="376"/>
    </row>
    <row r="1066" spans="1:19" s="375" customFormat="1" ht="13.8" x14ac:dyDescent="0.25">
      <c r="A1066" s="364" t="s">
        <v>22</v>
      </c>
      <c r="B1066" s="377"/>
      <c r="C1066" s="377"/>
      <c r="D1066" s="377"/>
      <c r="E1066" s="377"/>
      <c r="F1066" s="377"/>
      <c r="G1066" s="378">
        <v>2016</v>
      </c>
      <c r="H1066" s="378">
        <v>2017</v>
      </c>
      <c r="I1066" s="378">
        <v>2018</v>
      </c>
      <c r="J1066" s="378">
        <v>2019</v>
      </c>
      <c r="K1066" s="378">
        <v>2020</v>
      </c>
      <c r="L1066" s="378">
        <v>2021</v>
      </c>
      <c r="M1066" s="378">
        <v>2022</v>
      </c>
      <c r="N1066" s="378">
        <v>2023</v>
      </c>
      <c r="O1066" s="378">
        <v>2024</v>
      </c>
      <c r="P1066" s="378">
        <v>2025</v>
      </c>
      <c r="Q1066" s="378">
        <v>2026</v>
      </c>
      <c r="R1066" s="378">
        <v>2027</v>
      </c>
      <c r="S1066" s="378">
        <v>2028</v>
      </c>
    </row>
    <row r="1067" spans="1:19" s="375" customFormat="1" ht="13.8" x14ac:dyDescent="0.25">
      <c r="A1067" s="379" t="s">
        <v>179</v>
      </c>
      <c r="B1067" s="380"/>
      <c r="C1067" s="380"/>
      <c r="D1067" s="380"/>
      <c r="E1067" s="380"/>
      <c r="F1067" s="380"/>
      <c r="G1067" s="380"/>
      <c r="H1067" s="380"/>
      <c r="I1067" s="380"/>
      <c r="J1067" s="380"/>
      <c r="K1067" s="380"/>
      <c r="L1067" s="380"/>
      <c r="M1067" s="380"/>
      <c r="N1067" s="380"/>
      <c r="O1067" s="380"/>
      <c r="P1067" s="380"/>
      <c r="Q1067" s="380"/>
      <c r="R1067" s="380"/>
      <c r="S1067" s="381"/>
    </row>
    <row r="1068" spans="1:19" s="375" customFormat="1" ht="13.8" x14ac:dyDescent="0.25">
      <c r="A1068" s="366" t="s">
        <v>180</v>
      </c>
      <c r="B1068" s="368"/>
      <c r="C1068" s="368"/>
      <c r="D1068" s="368"/>
      <c r="E1068" s="368"/>
      <c r="F1068" s="368"/>
      <c r="G1068" s="368"/>
      <c r="H1068" s="368"/>
      <c r="I1068" s="368"/>
      <c r="J1068" s="368"/>
      <c r="K1068" s="368"/>
      <c r="L1068" s="368"/>
      <c r="M1068" s="368"/>
      <c r="N1068" s="368"/>
      <c r="O1068" s="368"/>
      <c r="P1068" s="368"/>
      <c r="Q1068" s="368"/>
      <c r="R1068" s="368"/>
      <c r="S1068" s="382"/>
    </row>
    <row r="1069" spans="1:19" s="375" customFormat="1" ht="13.8" x14ac:dyDescent="0.25">
      <c r="A1069" s="369" t="s">
        <v>181</v>
      </c>
      <c r="B1069" s="339"/>
      <c r="C1069" s="339"/>
      <c r="D1069" s="339"/>
      <c r="E1069" s="339"/>
      <c r="F1069" s="339"/>
      <c r="G1069" s="339"/>
      <c r="H1069" s="339"/>
      <c r="I1069" s="339"/>
      <c r="J1069" s="339"/>
      <c r="K1069" s="339"/>
      <c r="L1069" s="339"/>
      <c r="M1069" s="339"/>
      <c r="N1069" s="339"/>
      <c r="O1069" s="339"/>
      <c r="P1069" s="339"/>
      <c r="Q1069" s="339"/>
      <c r="R1069" s="339"/>
      <c r="S1069" s="383"/>
    </row>
    <row r="1070" spans="1:19" s="375" customFormat="1" ht="13.8" x14ac:dyDescent="0.25">
      <c r="A1070" s="369" t="s">
        <v>182</v>
      </c>
      <c r="B1070" s="339"/>
      <c r="C1070" s="339"/>
      <c r="D1070" s="339"/>
      <c r="E1070" s="339"/>
      <c r="F1070" s="339"/>
      <c r="G1070" s="339"/>
      <c r="H1070" s="339"/>
      <c r="I1070" s="339"/>
      <c r="J1070" s="339"/>
      <c r="K1070" s="339"/>
      <c r="L1070" s="339"/>
      <c r="M1070" s="339"/>
      <c r="N1070" s="339"/>
      <c r="O1070" s="339"/>
      <c r="P1070" s="339"/>
      <c r="Q1070" s="339"/>
      <c r="R1070" s="339"/>
      <c r="S1070" s="383"/>
    </row>
    <row r="1071" spans="1:19" s="375" customFormat="1" ht="13.8" x14ac:dyDescent="0.25">
      <c r="A1071" s="369" t="s">
        <v>183</v>
      </c>
      <c r="B1071" s="370"/>
      <c r="C1071" s="372"/>
      <c r="D1071" s="371"/>
      <c r="E1071" s="339"/>
      <c r="F1071" s="339"/>
      <c r="G1071" s="372"/>
      <c r="H1071" s="339"/>
      <c r="I1071" s="339"/>
      <c r="J1071" s="339"/>
      <c r="K1071" s="339"/>
      <c r="L1071" s="339"/>
      <c r="M1071" s="339"/>
      <c r="N1071" s="339"/>
      <c r="O1071" s="339"/>
      <c r="P1071" s="339"/>
      <c r="Q1071" s="339"/>
      <c r="R1071" s="339"/>
      <c r="S1071" s="383"/>
    </row>
    <row r="1072" spans="1:19" s="375" customFormat="1" ht="13.8" x14ac:dyDescent="0.25">
      <c r="A1072" s="369" t="s">
        <v>184</v>
      </c>
      <c r="B1072" s="339"/>
      <c r="C1072" s="339"/>
      <c r="D1072" s="339"/>
      <c r="E1072" s="339"/>
      <c r="F1072" s="339"/>
      <c r="G1072" s="339"/>
      <c r="H1072" s="339"/>
      <c r="I1072" s="339"/>
      <c r="J1072" s="339"/>
      <c r="K1072" s="339"/>
      <c r="L1072" s="339"/>
      <c r="M1072" s="339"/>
      <c r="N1072" s="339"/>
      <c r="O1072" s="339"/>
      <c r="P1072" s="339"/>
      <c r="Q1072" s="339"/>
      <c r="R1072" s="339"/>
      <c r="S1072" s="383"/>
    </row>
    <row r="1073" spans="1:19" s="375" customFormat="1" ht="13.8" x14ac:dyDescent="0.25">
      <c r="A1073" s="369" t="s">
        <v>185</v>
      </c>
      <c r="B1073" s="339"/>
      <c r="C1073" s="339"/>
      <c r="D1073" s="339"/>
      <c r="E1073" s="339"/>
      <c r="F1073" s="339"/>
      <c r="G1073" s="339"/>
      <c r="H1073" s="339"/>
      <c r="I1073" s="339"/>
      <c r="J1073" s="339"/>
      <c r="K1073" s="339"/>
      <c r="L1073" s="339"/>
      <c r="M1073" s="339"/>
      <c r="N1073" s="339"/>
      <c r="O1073" s="339"/>
      <c r="P1073" s="339"/>
      <c r="Q1073" s="339"/>
      <c r="R1073" s="339"/>
      <c r="S1073" s="383"/>
    </row>
    <row r="1074" spans="1:19" s="375" customFormat="1" ht="13.8" x14ac:dyDescent="0.25">
      <c r="A1074" s="384" t="s">
        <v>221</v>
      </c>
      <c r="B1074" s="339"/>
      <c r="C1074" s="339"/>
      <c r="D1074" s="339"/>
      <c r="E1074" s="339"/>
      <c r="F1074" s="339"/>
      <c r="G1074" s="339"/>
      <c r="H1074" s="339"/>
      <c r="I1074" s="339"/>
      <c r="J1074" s="339"/>
      <c r="K1074" s="339"/>
      <c r="L1074" s="339"/>
      <c r="M1074" s="339"/>
      <c r="N1074" s="339"/>
      <c r="O1074" s="339"/>
      <c r="P1074" s="339"/>
      <c r="Q1074" s="339"/>
      <c r="R1074" s="339"/>
      <c r="S1074" s="383"/>
    </row>
    <row r="1075" spans="1:19" s="375" customFormat="1" ht="13.8" x14ac:dyDescent="0.25">
      <c r="A1075" s="369" t="s">
        <v>222</v>
      </c>
      <c r="B1075" s="339"/>
      <c r="C1075" s="339"/>
      <c r="D1075" s="339"/>
      <c r="E1075" s="339"/>
      <c r="F1075" s="339"/>
      <c r="G1075" s="372"/>
      <c r="H1075" s="339"/>
      <c r="I1075" s="339"/>
      <c r="J1075" s="339"/>
      <c r="K1075" s="339"/>
      <c r="L1075" s="339"/>
      <c r="M1075" s="339"/>
      <c r="N1075" s="339"/>
      <c r="O1075" s="339"/>
      <c r="P1075" s="339"/>
      <c r="Q1075" s="339"/>
      <c r="R1075" s="339"/>
      <c r="S1075" s="383"/>
    </row>
    <row r="1076" spans="1:19" s="387" customFormat="1" x14ac:dyDescent="0.25">
      <c r="A1076" s="369" t="s">
        <v>223</v>
      </c>
      <c r="B1076" s="354"/>
      <c r="C1076" s="354"/>
      <c r="D1076" s="354"/>
      <c r="E1076" s="354"/>
      <c r="F1076" s="354"/>
      <c r="G1076" s="385"/>
      <c r="H1076" s="354"/>
      <c r="I1076" s="354"/>
      <c r="J1076" s="354"/>
      <c r="K1076" s="354"/>
      <c r="L1076" s="354"/>
      <c r="M1076" s="354"/>
      <c r="N1076" s="354"/>
      <c r="O1076" s="354"/>
      <c r="P1076" s="354"/>
      <c r="Q1076" s="354"/>
      <c r="R1076" s="354"/>
      <c r="S1076" s="386"/>
    </row>
    <row r="1077" spans="1:19" s="387" customFormat="1" x14ac:dyDescent="0.25">
      <c r="A1077" s="369" t="s">
        <v>224</v>
      </c>
      <c r="B1077" s="354"/>
      <c r="C1077" s="354"/>
      <c r="D1077" s="354"/>
      <c r="E1077" s="354"/>
      <c r="F1077" s="354"/>
      <c r="G1077" s="388"/>
      <c r="H1077" s="354"/>
      <c r="I1077" s="354"/>
      <c r="J1077" s="354"/>
      <c r="K1077" s="354"/>
      <c r="L1077" s="354"/>
      <c r="M1077" s="354"/>
      <c r="N1077" s="354"/>
      <c r="O1077" s="354"/>
      <c r="P1077" s="354"/>
      <c r="Q1077" s="354"/>
      <c r="R1077" s="354"/>
      <c r="S1077" s="386"/>
    </row>
    <row r="1078" spans="1:19" s="387" customFormat="1" x14ac:dyDescent="0.25">
      <c r="A1078" s="369" t="s">
        <v>271</v>
      </c>
      <c r="B1078" s="354"/>
      <c r="C1078" s="354"/>
      <c r="D1078" s="354"/>
      <c r="E1078" s="354"/>
      <c r="F1078" s="354"/>
      <c r="G1078" s="388"/>
      <c r="H1078" s="354"/>
      <c r="I1078" s="354"/>
      <c r="J1078" s="354"/>
      <c r="K1078" s="354"/>
      <c r="L1078" s="354"/>
      <c r="M1078" s="354"/>
      <c r="N1078" s="354"/>
      <c r="O1078" s="354"/>
      <c r="P1078" s="354"/>
      <c r="Q1078" s="354"/>
      <c r="R1078" s="354"/>
      <c r="S1078" s="386"/>
    </row>
    <row r="1079" spans="1:19" s="375" customFormat="1" ht="13.8" x14ac:dyDescent="0.25">
      <c r="A1079" s="389" t="s">
        <v>225</v>
      </c>
      <c r="B1079" s="390"/>
      <c r="C1079" s="390"/>
      <c r="D1079" s="390"/>
      <c r="E1079" s="390"/>
      <c r="F1079" s="390"/>
      <c r="G1079" s="390"/>
      <c r="H1079" s="390"/>
      <c r="I1079" s="390"/>
      <c r="J1079" s="390"/>
      <c r="K1079" s="390"/>
      <c r="L1079" s="390"/>
      <c r="M1079" s="390"/>
      <c r="N1079" s="390"/>
      <c r="O1079" s="390"/>
      <c r="P1079" s="339"/>
      <c r="Q1079" s="339"/>
      <c r="R1079" s="339"/>
      <c r="S1079" s="383"/>
    </row>
    <row r="1080" spans="1:19" s="375" customFormat="1" ht="27" customHeight="1" x14ac:dyDescent="0.25">
      <c r="A1080" s="728" t="s">
        <v>347</v>
      </c>
      <c r="B1080" s="729"/>
      <c r="C1080" s="729"/>
      <c r="D1080" s="729"/>
      <c r="E1080" s="729"/>
      <c r="F1080" s="729"/>
      <c r="G1080" s="729"/>
      <c r="H1080" s="729"/>
      <c r="I1080" s="729"/>
      <c r="J1080" s="729"/>
      <c r="K1080" s="729"/>
      <c r="L1080" s="729"/>
      <c r="M1080" s="729"/>
      <c r="N1080" s="729"/>
      <c r="O1080" s="390"/>
      <c r="P1080" s="339"/>
      <c r="Q1080" s="339"/>
      <c r="R1080" s="339"/>
      <c r="S1080" s="383"/>
    </row>
    <row r="1081" spans="1:19" s="375" customFormat="1" ht="13.95" customHeight="1" x14ac:dyDescent="0.25">
      <c r="A1081" s="389" t="s">
        <v>406</v>
      </c>
      <c r="B1081" s="390"/>
      <c r="C1081" s="390"/>
      <c r="D1081" s="390"/>
      <c r="E1081" s="390"/>
      <c r="F1081" s="390"/>
      <c r="G1081" s="390"/>
      <c r="H1081" s="390"/>
      <c r="I1081" s="390"/>
      <c r="J1081" s="390"/>
      <c r="K1081" s="390"/>
      <c r="L1081" s="390"/>
      <c r="M1081" s="390"/>
      <c r="N1081" s="390"/>
      <c r="O1081" s="390"/>
      <c r="P1081" s="339"/>
      <c r="Q1081" s="339"/>
      <c r="R1081" s="339"/>
      <c r="S1081" s="383"/>
    </row>
    <row r="1082" spans="1:19" s="375" customFormat="1" ht="13.95" customHeight="1" x14ac:dyDescent="0.25">
      <c r="A1082" s="389" t="s">
        <v>639</v>
      </c>
      <c r="B1082" s="390"/>
      <c r="C1082" s="390"/>
      <c r="D1082" s="390"/>
      <c r="E1082" s="390"/>
      <c r="F1082" s="390"/>
      <c r="G1082" s="390"/>
      <c r="H1082" s="390"/>
      <c r="I1082" s="390"/>
      <c r="J1082" s="390"/>
      <c r="K1082" s="390"/>
      <c r="L1082" s="390"/>
      <c r="M1082" s="390"/>
      <c r="N1082" s="390"/>
      <c r="O1082" s="390"/>
      <c r="P1082" s="339"/>
      <c r="Q1082" s="339"/>
      <c r="R1082" s="339"/>
      <c r="S1082" s="383"/>
    </row>
    <row r="1083" spans="1:19" s="375" customFormat="1" ht="13.95" customHeight="1" x14ac:dyDescent="0.25">
      <c r="A1083" s="389" t="s">
        <v>806</v>
      </c>
      <c r="B1083" s="390"/>
      <c r="C1083" s="390"/>
      <c r="D1083" s="390"/>
      <c r="E1083" s="390"/>
      <c r="F1083" s="390"/>
      <c r="G1083" s="390"/>
      <c r="H1083" s="390"/>
      <c r="I1083" s="390"/>
      <c r="J1083" s="390"/>
      <c r="K1083" s="390"/>
      <c r="L1083" s="390"/>
      <c r="M1083" s="390"/>
      <c r="N1083" s="390"/>
      <c r="O1083" s="390"/>
      <c r="P1083" s="339"/>
      <c r="Q1083" s="339"/>
      <c r="R1083" s="339"/>
      <c r="S1083" s="383"/>
    </row>
    <row r="1084" spans="1:19" s="375" customFormat="1" ht="13.95" customHeight="1" x14ac:dyDescent="0.25">
      <c r="A1084" s="389" t="s">
        <v>1036</v>
      </c>
      <c r="B1084" s="390"/>
      <c r="C1084" s="390"/>
      <c r="D1084" s="390"/>
      <c r="E1084" s="390"/>
      <c r="F1084" s="390"/>
      <c r="G1084" s="390"/>
      <c r="H1084" s="390"/>
      <c r="I1084" s="390"/>
      <c r="J1084" s="390"/>
      <c r="K1084" s="390"/>
      <c r="L1084" s="390"/>
      <c r="M1084" s="390"/>
      <c r="N1084" s="390"/>
      <c r="O1084" s="390"/>
      <c r="P1084" s="339"/>
      <c r="Q1084" s="339"/>
      <c r="R1084" s="339"/>
      <c r="S1084" s="383"/>
    </row>
    <row r="1085" spans="1:19" s="375" customFormat="1" ht="13.95" customHeight="1" x14ac:dyDescent="0.25">
      <c r="A1085" s="391" t="s">
        <v>1180</v>
      </c>
      <c r="B1085" s="390"/>
      <c r="C1085" s="390"/>
      <c r="D1085" s="390"/>
      <c r="E1085" s="390"/>
      <c r="F1085" s="390"/>
      <c r="G1085" s="390"/>
      <c r="H1085" s="390"/>
      <c r="I1085" s="390"/>
      <c r="J1085" s="390"/>
      <c r="K1085" s="390"/>
      <c r="L1085" s="390"/>
      <c r="M1085" s="390"/>
      <c r="N1085" s="390"/>
      <c r="O1085" s="390"/>
      <c r="P1085" s="339"/>
      <c r="Q1085" s="339"/>
      <c r="R1085" s="339"/>
      <c r="S1085" s="383"/>
    </row>
    <row r="1086" spans="1:19" s="617" customFormat="1" ht="13.95" customHeight="1" x14ac:dyDescent="0.25">
      <c r="A1086" s="401" t="s">
        <v>1230</v>
      </c>
      <c r="B1086" s="614"/>
      <c r="C1086" s="614"/>
      <c r="D1086" s="614"/>
      <c r="E1086" s="614"/>
      <c r="F1086" s="614"/>
      <c r="G1086" s="614"/>
      <c r="H1086" s="614"/>
      <c r="I1086" s="614"/>
      <c r="J1086" s="614"/>
      <c r="K1086" s="614"/>
      <c r="L1086" s="614"/>
      <c r="M1086" s="614"/>
      <c r="N1086" s="614"/>
      <c r="O1086" s="614"/>
      <c r="P1086" s="615"/>
      <c r="Q1086" s="615"/>
      <c r="R1086" s="615"/>
      <c r="S1086" s="616"/>
    </row>
    <row r="1087" spans="1:19" x14ac:dyDescent="0.25">
      <c r="A1087" s="315"/>
      <c r="C1087" s="348"/>
    </row>
    <row r="1088" spans="1:19" x14ac:dyDescent="0.25">
      <c r="A1088" s="352" t="s">
        <v>14</v>
      </c>
      <c r="B1088" s="353" t="s">
        <v>623</v>
      </c>
      <c r="C1088" s="353" t="s">
        <v>15</v>
      </c>
      <c r="D1088" s="339"/>
      <c r="E1088" s="339"/>
      <c r="F1088" s="339"/>
      <c r="G1088" s="339"/>
      <c r="H1088" s="339"/>
      <c r="I1088" s="339"/>
      <c r="J1088" s="339"/>
      <c r="K1088" s="339"/>
      <c r="L1088" s="339"/>
      <c r="M1088" s="339"/>
      <c r="N1088" s="339"/>
      <c r="O1088" s="339"/>
      <c r="P1088" s="339"/>
      <c r="Q1088" s="339"/>
      <c r="R1088" s="339"/>
    </row>
    <row r="1089" spans="1:19" x14ac:dyDescent="0.25">
      <c r="A1089" s="357" t="s">
        <v>16</v>
      </c>
      <c r="B1089" s="392">
        <v>2009</v>
      </c>
      <c r="C1089" s="393">
        <v>2010</v>
      </c>
      <c r="D1089" s="393">
        <v>2011</v>
      </c>
      <c r="E1089" s="393">
        <v>2012</v>
      </c>
      <c r="F1089" s="393">
        <v>2013</v>
      </c>
      <c r="G1089" s="393">
        <v>2014</v>
      </c>
      <c r="H1089" s="393">
        <v>2015</v>
      </c>
      <c r="I1089" s="393">
        <v>2016</v>
      </c>
      <c r="J1089" s="393">
        <v>2017</v>
      </c>
      <c r="K1089" s="393">
        <v>2018</v>
      </c>
      <c r="L1089" s="393">
        <v>2019</v>
      </c>
      <c r="M1089" s="393">
        <v>2020</v>
      </c>
      <c r="N1089" s="359">
        <v>2021</v>
      </c>
      <c r="O1089" s="359">
        <v>2022</v>
      </c>
      <c r="P1089" s="359">
        <v>2023</v>
      </c>
      <c r="Q1089" s="359">
        <v>2024</v>
      </c>
      <c r="R1089" s="620">
        <v>2025</v>
      </c>
      <c r="S1089" s="620">
        <v>2026</v>
      </c>
    </row>
    <row r="1090" spans="1:19" x14ac:dyDescent="0.25">
      <c r="A1090" s="360" t="s">
        <v>17</v>
      </c>
      <c r="B1090" s="376">
        <v>842</v>
      </c>
      <c r="C1090" s="376">
        <v>842</v>
      </c>
      <c r="D1090" s="376">
        <v>842</v>
      </c>
      <c r="E1090" s="376">
        <v>842</v>
      </c>
      <c r="F1090" s="376">
        <v>842</v>
      </c>
      <c r="G1090" s="376">
        <v>842</v>
      </c>
      <c r="H1090" s="376">
        <v>842</v>
      </c>
      <c r="I1090" s="376">
        <v>842</v>
      </c>
      <c r="J1090" s="376">
        <v>842</v>
      </c>
      <c r="K1090" s="376">
        <v>842</v>
      </c>
      <c r="L1090" s="376">
        <v>842</v>
      </c>
      <c r="M1090" s="376">
        <v>842</v>
      </c>
      <c r="N1090" s="376">
        <v>842</v>
      </c>
      <c r="O1090" s="376">
        <v>842</v>
      </c>
      <c r="P1090" s="376">
        <v>842</v>
      </c>
      <c r="Q1090" s="376">
        <v>842</v>
      </c>
      <c r="R1090" s="394">
        <v>842</v>
      </c>
      <c r="S1090" s="394">
        <v>842</v>
      </c>
    </row>
    <row r="1091" spans="1:19" x14ac:dyDescent="0.25">
      <c r="A1091" s="360" t="s">
        <v>18</v>
      </c>
      <c r="B1091" s="376">
        <v>2717.74</v>
      </c>
      <c r="C1091" s="376">
        <v>2596.7442299999998</v>
      </c>
      <c r="D1091" s="376">
        <v>2707.4306399999996</v>
      </c>
      <c r="E1091" s="376">
        <v>2795.2306399999998</v>
      </c>
      <c r="F1091" s="376">
        <v>3114.7264100000002</v>
      </c>
      <c r="G1091" s="376">
        <v>3408.0264100000004</v>
      </c>
      <c r="H1091" s="376">
        <f>1.15*H1090-(50+35+25)</f>
        <v>858.3</v>
      </c>
      <c r="I1091" s="376">
        <f>I1090+H1094-50-35-25</f>
        <v>1138.1999999999998</v>
      </c>
      <c r="J1091" s="376">
        <f>J1090+I1094-100-35-25</f>
        <v>1422.4999999999998</v>
      </c>
      <c r="K1091" s="376">
        <f>K1090*1.15-100-35</f>
        <v>833.3</v>
      </c>
      <c r="L1091" s="376">
        <f>L1090+K1094-100-35-25</f>
        <v>1226</v>
      </c>
      <c r="M1091" s="376">
        <f>M1090+L1094-150-35-25</f>
        <v>1463.0075420000001</v>
      </c>
      <c r="N1091" s="376">
        <f>N1090+M1094-150-35-25</f>
        <v>1688.2075420000001</v>
      </c>
      <c r="O1091" s="376">
        <f>O1090+N1094-150-35-25</f>
        <v>2032.807542</v>
      </c>
      <c r="P1091" s="376">
        <f>P1090+O1094-150-35-25</f>
        <v>2219.807542</v>
      </c>
      <c r="Q1091" s="376">
        <f>Q1090+P1094-150-35-25</f>
        <v>2355.5075420000003</v>
      </c>
      <c r="R1091" s="394">
        <f>R1090+Q1094-150-25</f>
        <v>2649.5075420000003</v>
      </c>
      <c r="S1091" s="394">
        <f>S1090-150-25</f>
        <v>667</v>
      </c>
    </row>
    <row r="1092" spans="1:19" x14ac:dyDescent="0.25">
      <c r="A1092" s="360" t="s">
        <v>19</v>
      </c>
      <c r="B1092" s="376"/>
      <c r="C1092" s="376"/>
      <c r="D1092" s="376"/>
      <c r="E1092" s="376"/>
      <c r="F1092" s="376"/>
      <c r="G1092" s="376"/>
      <c r="H1092" s="395"/>
      <c r="I1092" s="395"/>
      <c r="J1092" s="395"/>
      <c r="K1092" s="395"/>
      <c r="L1092" s="395"/>
      <c r="M1092" s="395"/>
      <c r="N1092" s="395"/>
      <c r="O1092" s="395"/>
      <c r="P1092" s="395"/>
      <c r="Q1092" s="395"/>
      <c r="R1092" s="394"/>
      <c r="S1092" s="90"/>
    </row>
    <row r="1093" spans="1:19" x14ac:dyDescent="0.25">
      <c r="A1093" s="360" t="s">
        <v>20</v>
      </c>
      <c r="B1093" s="376">
        <v>962.99576999999999</v>
      </c>
      <c r="C1093" s="376">
        <v>681.31358999999998</v>
      </c>
      <c r="D1093" s="376">
        <v>669.2</v>
      </c>
      <c r="E1093" s="376">
        <v>437.5</v>
      </c>
      <c r="F1093" s="376">
        <v>438.7</v>
      </c>
      <c r="G1093" s="376">
        <v>392.9</v>
      </c>
      <c r="H1093" s="376">
        <v>452.1</v>
      </c>
      <c r="I1093" s="376">
        <v>397.7</v>
      </c>
      <c r="J1093" s="376">
        <v>406</v>
      </c>
      <c r="K1093" s="376">
        <v>289.3</v>
      </c>
      <c r="L1093" s="376">
        <v>394.992458</v>
      </c>
      <c r="M1093" s="376">
        <v>406.79999999999995</v>
      </c>
      <c r="N1093" s="376">
        <v>287.39999999999998</v>
      </c>
      <c r="O1093" s="376">
        <v>445</v>
      </c>
      <c r="P1093" s="376">
        <v>496.3</v>
      </c>
      <c r="Q1093" s="376">
        <v>373</v>
      </c>
      <c r="R1093" s="396" t="s">
        <v>1135</v>
      </c>
      <c r="S1093" s="90"/>
    </row>
    <row r="1094" spans="1:19" x14ac:dyDescent="0.25">
      <c r="A1094" s="360" t="s">
        <v>21</v>
      </c>
      <c r="B1094" s="376">
        <v>1754.7442299999998</v>
      </c>
      <c r="C1094" s="376">
        <v>1915.4306399999998</v>
      </c>
      <c r="D1094" s="376">
        <v>2038.2306399999995</v>
      </c>
      <c r="E1094" s="376">
        <v>2357.7264100000002</v>
      </c>
      <c r="F1094" s="376">
        <v>2676.0264100000004</v>
      </c>
      <c r="G1094" s="376">
        <v>3015.1264100000003</v>
      </c>
      <c r="H1094" s="376">
        <f t="shared" ref="H1094:Q1094" si="49">H1091-H1093</f>
        <v>406.19999999999993</v>
      </c>
      <c r="I1094" s="376">
        <f t="shared" si="49"/>
        <v>740.49999999999977</v>
      </c>
      <c r="J1094" s="376">
        <f t="shared" si="49"/>
        <v>1016.4999999999998</v>
      </c>
      <c r="K1094" s="376">
        <f t="shared" si="49"/>
        <v>544</v>
      </c>
      <c r="L1094" s="376">
        <f t="shared" si="49"/>
        <v>831.00754200000006</v>
      </c>
      <c r="M1094" s="376">
        <f t="shared" si="49"/>
        <v>1056.2075420000001</v>
      </c>
      <c r="N1094" s="376">
        <f t="shared" si="49"/>
        <v>1400.807542</v>
      </c>
      <c r="O1094" s="376">
        <f t="shared" si="49"/>
        <v>1587.807542</v>
      </c>
      <c r="P1094" s="376">
        <f t="shared" si="49"/>
        <v>1723.5075420000001</v>
      </c>
      <c r="Q1094" s="376">
        <f t="shared" si="49"/>
        <v>1982.5075420000003</v>
      </c>
      <c r="R1094" s="396" t="s">
        <v>1135</v>
      </c>
      <c r="S1094" s="90"/>
    </row>
    <row r="1095" spans="1:19" x14ac:dyDescent="0.25">
      <c r="A1095" s="366" t="s">
        <v>22</v>
      </c>
      <c r="B1095" s="621"/>
      <c r="C1095" s="621"/>
      <c r="D1095" s="621"/>
      <c r="E1095" s="621"/>
      <c r="F1095" s="621"/>
      <c r="G1095" s="621"/>
      <c r="H1095" s="622">
        <v>2016</v>
      </c>
      <c r="I1095" s="622">
        <v>2017</v>
      </c>
      <c r="J1095" s="622">
        <v>2018</v>
      </c>
      <c r="K1095" s="622">
        <v>2019</v>
      </c>
      <c r="L1095" s="622">
        <v>2020</v>
      </c>
      <c r="M1095" s="622">
        <v>2021</v>
      </c>
      <c r="N1095" s="622">
        <v>2022</v>
      </c>
      <c r="O1095" s="622">
        <v>2023</v>
      </c>
      <c r="P1095" s="622">
        <v>2024</v>
      </c>
      <c r="Q1095" s="622">
        <v>2025</v>
      </c>
      <c r="R1095" s="623">
        <v>2026</v>
      </c>
      <c r="S1095" s="62"/>
    </row>
    <row r="1096" spans="1:19" x14ac:dyDescent="0.25">
      <c r="A1096" s="366" t="s">
        <v>179</v>
      </c>
      <c r="B1096" s="368"/>
      <c r="C1096" s="368"/>
      <c r="D1096" s="368"/>
      <c r="E1096" s="368"/>
      <c r="F1096" s="368"/>
      <c r="G1096" s="368"/>
      <c r="H1096" s="368"/>
      <c r="I1096" s="368"/>
      <c r="J1096" s="368"/>
      <c r="K1096" s="368"/>
      <c r="L1096" s="368"/>
      <c r="M1096" s="368"/>
      <c r="N1096" s="368"/>
      <c r="O1096" s="368"/>
      <c r="P1096" s="368"/>
      <c r="Q1096" s="368"/>
      <c r="R1096" s="368"/>
      <c r="S1096" s="63"/>
    </row>
    <row r="1097" spans="1:19" x14ac:dyDescent="0.25">
      <c r="A1097" s="366" t="s">
        <v>186</v>
      </c>
      <c r="B1097" s="368"/>
      <c r="C1097" s="368"/>
      <c r="D1097" s="368"/>
      <c r="E1097" s="368"/>
      <c r="F1097" s="368"/>
      <c r="G1097" s="368"/>
      <c r="H1097" s="368"/>
      <c r="I1097" s="368"/>
      <c r="J1097" s="368"/>
      <c r="K1097" s="368"/>
      <c r="L1097" s="368"/>
      <c r="M1097" s="368"/>
      <c r="N1097" s="368"/>
      <c r="O1097" s="368"/>
      <c r="P1097" s="368"/>
      <c r="Q1097" s="368"/>
      <c r="R1097" s="368"/>
      <c r="S1097" s="63"/>
    </row>
    <row r="1098" spans="1:19" x14ac:dyDescent="0.25">
      <c r="A1098" s="369" t="s">
        <v>187</v>
      </c>
      <c r="B1098" s="339"/>
      <c r="C1098" s="339"/>
      <c r="D1098" s="339"/>
      <c r="E1098" s="339"/>
      <c r="F1098" s="339"/>
      <c r="G1098" s="339"/>
      <c r="H1098" s="339"/>
      <c r="I1098" s="339"/>
      <c r="J1098" s="339"/>
      <c r="K1098" s="339"/>
      <c r="L1098" s="339"/>
      <c r="M1098" s="339"/>
      <c r="N1098" s="339"/>
      <c r="O1098" s="339"/>
      <c r="P1098" s="339"/>
      <c r="Q1098" s="339"/>
      <c r="R1098" s="339"/>
      <c r="S1098" s="64"/>
    </row>
    <row r="1099" spans="1:19" x14ac:dyDescent="0.25">
      <c r="A1099" s="399" t="s">
        <v>188</v>
      </c>
      <c r="B1099" s="339"/>
      <c r="C1099" s="339"/>
      <c r="D1099" s="339"/>
      <c r="E1099" s="339"/>
      <c r="F1099" s="339"/>
      <c r="G1099" s="339"/>
      <c r="H1099" s="339"/>
      <c r="I1099" s="339"/>
      <c r="J1099" s="339"/>
      <c r="K1099" s="339"/>
      <c r="L1099" s="339"/>
      <c r="M1099" s="339"/>
      <c r="N1099" s="339"/>
      <c r="O1099" s="339"/>
      <c r="P1099" s="339"/>
      <c r="Q1099" s="339"/>
      <c r="R1099" s="339"/>
      <c r="S1099" s="64"/>
    </row>
    <row r="1100" spans="1:19" x14ac:dyDescent="0.25">
      <c r="A1100" s="399" t="s">
        <v>189</v>
      </c>
      <c r="B1100" s="339"/>
      <c r="C1100" s="339"/>
      <c r="D1100" s="339"/>
      <c r="E1100" s="339"/>
      <c r="F1100" s="339"/>
      <c r="G1100" s="339"/>
      <c r="H1100" s="339"/>
      <c r="I1100" s="339"/>
      <c r="J1100" s="339"/>
      <c r="K1100" s="339"/>
      <c r="L1100" s="339"/>
      <c r="M1100" s="339"/>
      <c r="N1100" s="339"/>
      <c r="O1100" s="339"/>
      <c r="P1100" s="339"/>
      <c r="Q1100" s="339"/>
      <c r="R1100" s="339"/>
      <c r="S1100" s="64"/>
    </row>
    <row r="1101" spans="1:19" x14ac:dyDescent="0.25">
      <c r="A1101" s="399" t="s">
        <v>1038</v>
      </c>
      <c r="B1101" s="339"/>
      <c r="C1101" s="339"/>
      <c r="D1101" s="339"/>
      <c r="E1101" s="339"/>
      <c r="F1101" s="339"/>
      <c r="G1101" s="339"/>
      <c r="H1101" s="339"/>
      <c r="I1101" s="339"/>
      <c r="J1101" s="339"/>
      <c r="K1101" s="339"/>
      <c r="L1101" s="339"/>
      <c r="M1101" s="339"/>
      <c r="N1101" s="339"/>
      <c r="O1101" s="339"/>
      <c r="P1101" s="339"/>
      <c r="Q1101" s="339"/>
      <c r="R1101" s="339"/>
      <c r="S1101" s="64"/>
    </row>
    <row r="1102" spans="1:19" x14ac:dyDescent="0.25">
      <c r="A1102" s="384" t="s">
        <v>226</v>
      </c>
      <c r="B1102" s="339"/>
      <c r="C1102" s="339"/>
      <c r="D1102" s="339"/>
      <c r="E1102" s="339"/>
      <c r="F1102" s="339"/>
      <c r="G1102" s="372"/>
      <c r="H1102" s="339"/>
      <c r="I1102" s="339"/>
      <c r="J1102" s="339"/>
      <c r="K1102" s="339"/>
      <c r="L1102" s="339"/>
      <c r="M1102" s="339"/>
      <c r="N1102" s="339"/>
      <c r="O1102" s="339"/>
      <c r="P1102" s="339"/>
      <c r="Q1102" s="339"/>
      <c r="R1102" s="339"/>
      <c r="S1102" s="64"/>
    </row>
    <row r="1103" spans="1:19" x14ac:dyDescent="0.25">
      <c r="A1103" s="384" t="s">
        <v>227</v>
      </c>
      <c r="B1103" s="339"/>
      <c r="C1103" s="339"/>
      <c r="D1103" s="339"/>
      <c r="E1103" s="339"/>
      <c r="F1103" s="339"/>
      <c r="G1103" s="372"/>
      <c r="H1103" s="339"/>
      <c r="I1103" s="339"/>
      <c r="J1103" s="339"/>
      <c r="K1103" s="339"/>
      <c r="L1103" s="339"/>
      <c r="M1103" s="339"/>
      <c r="N1103" s="339"/>
      <c r="O1103" s="339"/>
      <c r="P1103" s="339"/>
      <c r="Q1103" s="339"/>
      <c r="R1103" s="339"/>
      <c r="S1103" s="64"/>
    </row>
    <row r="1104" spans="1:19" x14ac:dyDescent="0.25">
      <c r="A1104" s="369" t="s">
        <v>190</v>
      </c>
      <c r="B1104" s="370"/>
      <c r="C1104" s="372"/>
      <c r="D1104" s="371"/>
      <c r="E1104" s="339"/>
      <c r="F1104" s="339"/>
      <c r="G1104" s="372"/>
      <c r="H1104" s="339"/>
      <c r="I1104" s="339"/>
      <c r="J1104" s="339"/>
      <c r="K1104" s="339"/>
      <c r="L1104" s="339"/>
      <c r="M1104" s="339"/>
      <c r="N1104" s="339"/>
      <c r="O1104" s="339"/>
      <c r="P1104" s="339"/>
      <c r="Q1104" s="339"/>
      <c r="R1104" s="339"/>
      <c r="S1104" s="64"/>
    </row>
    <row r="1105" spans="1:19" x14ac:dyDescent="0.25">
      <c r="A1105" s="369" t="s">
        <v>191</v>
      </c>
      <c r="B1105" s="339"/>
      <c r="C1105" s="339"/>
      <c r="D1105" s="339"/>
      <c r="E1105" s="339"/>
      <c r="F1105" s="339"/>
      <c r="G1105" s="372"/>
      <c r="H1105" s="339"/>
      <c r="I1105" s="339"/>
      <c r="J1105" s="339"/>
      <c r="K1105" s="339"/>
      <c r="L1105" s="339"/>
      <c r="M1105" s="339"/>
      <c r="N1105" s="339"/>
      <c r="O1105" s="339"/>
      <c r="P1105" s="339"/>
      <c r="Q1105" s="339"/>
      <c r="R1105" s="339"/>
      <c r="S1105" s="64"/>
    </row>
    <row r="1106" spans="1:19" x14ac:dyDescent="0.25">
      <c r="A1106" s="384" t="s">
        <v>384</v>
      </c>
      <c r="B1106" s="339"/>
      <c r="C1106" s="339"/>
      <c r="D1106" s="339"/>
      <c r="E1106" s="339"/>
      <c r="F1106" s="339"/>
      <c r="G1106" s="372"/>
      <c r="H1106" s="339"/>
      <c r="I1106" s="339"/>
      <c r="J1106" s="339"/>
      <c r="K1106" s="339"/>
      <c r="L1106" s="339"/>
      <c r="M1106" s="339"/>
      <c r="N1106" s="339"/>
      <c r="O1106" s="339"/>
      <c r="P1106" s="339"/>
      <c r="Q1106" s="339"/>
      <c r="R1106" s="339"/>
      <c r="S1106" s="64"/>
    </row>
    <row r="1107" spans="1:19" x14ac:dyDescent="0.25">
      <c r="A1107" s="384" t="s">
        <v>385</v>
      </c>
      <c r="B1107" s="339"/>
      <c r="C1107" s="339"/>
      <c r="D1107" s="339"/>
      <c r="E1107" s="339"/>
      <c r="F1107" s="339"/>
      <c r="G1107" s="372"/>
      <c r="H1107" s="339"/>
      <c r="I1107" s="339"/>
      <c r="J1107" s="339"/>
      <c r="K1107" s="339"/>
      <c r="L1107" s="339"/>
      <c r="M1107" s="339"/>
      <c r="N1107" s="339"/>
      <c r="O1107" s="339"/>
      <c r="P1107" s="339"/>
      <c r="Q1107" s="339"/>
      <c r="R1107" s="339"/>
      <c r="S1107" s="64"/>
    </row>
    <row r="1108" spans="1:19" x14ac:dyDescent="0.25">
      <c r="A1108" s="384" t="s">
        <v>386</v>
      </c>
      <c r="B1108" s="339"/>
      <c r="C1108" s="339"/>
      <c r="D1108" s="339"/>
      <c r="E1108" s="339"/>
      <c r="F1108" s="339"/>
      <c r="G1108" s="372"/>
      <c r="H1108" s="339"/>
      <c r="I1108" s="339"/>
      <c r="J1108" s="339"/>
      <c r="K1108" s="339"/>
      <c r="L1108" s="339"/>
      <c r="M1108" s="339"/>
      <c r="N1108" s="339"/>
      <c r="O1108" s="339"/>
      <c r="P1108" s="339"/>
      <c r="Q1108" s="339"/>
      <c r="R1108" s="339"/>
      <c r="S1108" s="64"/>
    </row>
    <row r="1109" spans="1:19" x14ac:dyDescent="0.25">
      <c r="A1109" s="384" t="s">
        <v>387</v>
      </c>
      <c r="B1109" s="339"/>
      <c r="C1109" s="339"/>
      <c r="D1109" s="339"/>
      <c r="E1109" s="339"/>
      <c r="F1109" s="339"/>
      <c r="G1109" s="400"/>
      <c r="H1109" s="339"/>
      <c r="I1109" s="339"/>
      <c r="J1109" s="339"/>
      <c r="K1109" s="339"/>
      <c r="L1109" s="339"/>
      <c r="M1109" s="339"/>
      <c r="N1109" s="339"/>
      <c r="O1109" s="339"/>
      <c r="P1109" s="339"/>
      <c r="Q1109" s="339"/>
      <c r="R1109" s="339"/>
      <c r="S1109" s="64"/>
    </row>
    <row r="1110" spans="1:19" ht="13.2" customHeight="1" x14ac:dyDescent="0.25">
      <c r="A1110" s="389" t="s">
        <v>388</v>
      </c>
      <c r="B1110" s="618"/>
      <c r="C1110" s="618"/>
      <c r="D1110" s="618"/>
      <c r="E1110" s="618"/>
      <c r="F1110" s="618"/>
      <c r="G1110" s="618"/>
      <c r="H1110" s="618"/>
      <c r="I1110" s="618"/>
      <c r="J1110" s="618"/>
      <c r="K1110" s="618"/>
      <c r="L1110" s="618"/>
      <c r="M1110" s="618"/>
      <c r="N1110" s="618"/>
      <c r="O1110" s="618"/>
      <c r="P1110" s="339"/>
      <c r="Q1110" s="339"/>
      <c r="R1110" s="339"/>
      <c r="S1110" s="64"/>
    </row>
    <row r="1111" spans="1:19" ht="13.2" customHeight="1" x14ac:dyDescent="0.25">
      <c r="A1111" s="389" t="s">
        <v>389</v>
      </c>
      <c r="B1111" s="618"/>
      <c r="C1111" s="618"/>
      <c r="D1111" s="618"/>
      <c r="E1111" s="618"/>
      <c r="F1111" s="618"/>
      <c r="G1111" s="618"/>
      <c r="H1111" s="618"/>
      <c r="I1111" s="618"/>
      <c r="J1111" s="618"/>
      <c r="K1111" s="618"/>
      <c r="L1111" s="618"/>
      <c r="M1111" s="618"/>
      <c r="N1111" s="618"/>
      <c r="O1111" s="618"/>
      <c r="P1111" s="339"/>
      <c r="Q1111" s="339"/>
      <c r="R1111" s="339"/>
      <c r="S1111" s="64"/>
    </row>
    <row r="1112" spans="1:19" ht="13.2" customHeight="1" x14ac:dyDescent="0.25">
      <c r="A1112" s="389" t="s">
        <v>569</v>
      </c>
      <c r="B1112" s="618"/>
      <c r="C1112" s="618"/>
      <c r="D1112" s="618"/>
      <c r="E1112" s="618"/>
      <c r="F1112" s="618"/>
      <c r="G1112" s="618"/>
      <c r="H1112" s="618"/>
      <c r="I1112" s="618"/>
      <c r="J1112" s="618"/>
      <c r="K1112" s="618"/>
      <c r="L1112" s="618"/>
      <c r="M1112" s="618"/>
      <c r="N1112" s="618"/>
      <c r="O1112" s="618"/>
      <c r="P1112" s="339"/>
      <c r="Q1112" s="339"/>
      <c r="R1112" s="339"/>
      <c r="S1112" s="64"/>
    </row>
    <row r="1113" spans="1:19" ht="13.2" customHeight="1" x14ac:dyDescent="0.25">
      <c r="A1113" s="389" t="s">
        <v>708</v>
      </c>
      <c r="B1113" s="618"/>
      <c r="C1113" s="618"/>
      <c r="D1113" s="618"/>
      <c r="E1113" s="618"/>
      <c r="F1113" s="618"/>
      <c r="G1113" s="618"/>
      <c r="H1113" s="618"/>
      <c r="I1113" s="618"/>
      <c r="J1113" s="618"/>
      <c r="K1113" s="618"/>
      <c r="L1113" s="618"/>
      <c r="M1113" s="618"/>
      <c r="N1113" s="618"/>
      <c r="O1113" s="618"/>
      <c r="P1113" s="339"/>
      <c r="Q1113" s="339"/>
      <c r="R1113" s="339"/>
      <c r="S1113" s="64"/>
    </row>
    <row r="1114" spans="1:19" ht="13.2" customHeight="1" x14ac:dyDescent="0.25">
      <c r="A1114" s="389" t="s">
        <v>1037</v>
      </c>
      <c r="B1114" s="618"/>
      <c r="C1114" s="618"/>
      <c r="D1114" s="618"/>
      <c r="E1114" s="618"/>
      <c r="F1114" s="618"/>
      <c r="G1114" s="618"/>
      <c r="H1114" s="618"/>
      <c r="I1114" s="618"/>
      <c r="J1114" s="618"/>
      <c r="K1114" s="618"/>
      <c r="L1114" s="618"/>
      <c r="M1114" s="618"/>
      <c r="N1114" s="618"/>
      <c r="O1114" s="618"/>
      <c r="P1114" s="339"/>
      <c r="Q1114" s="339"/>
      <c r="R1114" s="339"/>
      <c r="S1114" s="64"/>
    </row>
    <row r="1115" spans="1:19" ht="13.2" customHeight="1" x14ac:dyDescent="0.25">
      <c r="A1115" s="389" t="s">
        <v>1086</v>
      </c>
      <c r="B1115" s="618"/>
      <c r="C1115" s="618"/>
      <c r="D1115" s="618"/>
      <c r="E1115" s="618"/>
      <c r="F1115" s="618"/>
      <c r="G1115" s="618"/>
      <c r="H1115" s="618"/>
      <c r="I1115" s="618"/>
      <c r="J1115" s="618"/>
      <c r="K1115" s="618"/>
      <c r="L1115" s="618"/>
      <c r="M1115" s="618"/>
      <c r="N1115" s="618"/>
      <c r="O1115" s="618"/>
      <c r="P1115" s="339"/>
      <c r="Q1115" s="339"/>
      <c r="R1115" s="339"/>
      <c r="S1115" s="64"/>
    </row>
    <row r="1116" spans="1:19" ht="13.2" customHeight="1" x14ac:dyDescent="0.25">
      <c r="A1116" s="391" t="s">
        <v>1181</v>
      </c>
      <c r="B1116" s="618"/>
      <c r="C1116" s="618"/>
      <c r="D1116" s="618"/>
      <c r="E1116" s="618"/>
      <c r="F1116" s="618"/>
      <c r="G1116" s="618"/>
      <c r="H1116" s="618"/>
      <c r="I1116" s="618"/>
      <c r="J1116" s="618"/>
      <c r="K1116" s="618"/>
      <c r="L1116" s="618"/>
      <c r="M1116" s="618"/>
      <c r="N1116" s="618"/>
      <c r="O1116" s="618"/>
      <c r="P1116" s="339"/>
      <c r="Q1116" s="339"/>
      <c r="R1116" s="339"/>
      <c r="S1116" s="64"/>
    </row>
    <row r="1117" spans="1:19" s="411" customFormat="1" ht="13.8" x14ac:dyDescent="0.3">
      <c r="A1117" s="401" t="s">
        <v>1231</v>
      </c>
      <c r="B1117" s="619"/>
      <c r="C1117" s="619"/>
      <c r="D1117" s="619"/>
      <c r="E1117" s="619"/>
      <c r="F1117" s="619"/>
      <c r="G1117" s="619"/>
      <c r="H1117" s="619"/>
      <c r="I1117" s="619"/>
      <c r="J1117" s="619"/>
      <c r="K1117" s="619"/>
      <c r="L1117" s="619"/>
      <c r="M1117" s="619"/>
      <c r="N1117" s="619"/>
      <c r="O1117" s="619"/>
      <c r="P1117" s="619"/>
      <c r="Q1117" s="409"/>
      <c r="R1117" s="409"/>
      <c r="S1117" s="410"/>
    </row>
    <row r="1118" spans="1:19" x14ac:dyDescent="0.25">
      <c r="A1118" s="315"/>
      <c r="C1118" s="348"/>
    </row>
    <row r="1119" spans="1:19" x14ac:dyDescent="0.25">
      <c r="A1119" s="352" t="s">
        <v>14</v>
      </c>
      <c r="B1119" s="353" t="s">
        <v>641</v>
      </c>
      <c r="C1119" s="353" t="s">
        <v>15</v>
      </c>
      <c r="D1119" s="339"/>
      <c r="E1119" s="339"/>
      <c r="F1119" s="339"/>
      <c r="G1119" s="339"/>
      <c r="H1119" s="339"/>
      <c r="I1119" s="339"/>
      <c r="J1119" s="339"/>
      <c r="K1119" s="339"/>
      <c r="L1119" s="339"/>
      <c r="M1119" s="339"/>
      <c r="N1119" s="339"/>
      <c r="O1119" s="339"/>
      <c r="P1119" s="339"/>
    </row>
    <row r="1120" spans="1:19" x14ac:dyDescent="0.25">
      <c r="A1120" s="357" t="s">
        <v>16</v>
      </c>
      <c r="B1120" s="358">
        <v>2009</v>
      </c>
      <c r="C1120" s="359">
        <v>2010</v>
      </c>
      <c r="D1120" s="359">
        <v>2011</v>
      </c>
      <c r="E1120" s="359">
        <v>2012</v>
      </c>
      <c r="F1120" s="359">
        <v>2013</v>
      </c>
      <c r="G1120" s="359">
        <v>2014</v>
      </c>
      <c r="H1120" s="359">
        <v>2015</v>
      </c>
      <c r="I1120" s="359">
        <v>2016</v>
      </c>
      <c r="J1120" s="393">
        <v>2017</v>
      </c>
      <c r="K1120" s="393">
        <v>2018</v>
      </c>
      <c r="L1120" s="393">
        <v>2019</v>
      </c>
      <c r="M1120" s="393">
        <v>2020</v>
      </c>
      <c r="N1120" s="359">
        <v>2021</v>
      </c>
      <c r="O1120" s="359">
        <v>2022</v>
      </c>
      <c r="P1120" s="359">
        <v>2023</v>
      </c>
      <c r="Q1120" s="359">
        <v>2024</v>
      </c>
      <c r="R1120" s="359">
        <v>2025</v>
      </c>
      <c r="S1120" s="359">
        <v>2026</v>
      </c>
    </row>
    <row r="1121" spans="1:19" x14ac:dyDescent="0.25">
      <c r="A1121" s="360" t="s">
        <v>17</v>
      </c>
      <c r="B1121" s="376">
        <v>1080</v>
      </c>
      <c r="C1121" s="376">
        <v>901</v>
      </c>
      <c r="D1121" s="376">
        <v>901</v>
      </c>
      <c r="E1121" s="376">
        <v>901</v>
      </c>
      <c r="F1121" s="376">
        <v>901</v>
      </c>
      <c r="G1121" s="376">
        <v>901</v>
      </c>
      <c r="H1121" s="376">
        <v>901</v>
      </c>
      <c r="I1121" s="376">
        <v>901</v>
      </c>
      <c r="J1121" s="376">
        <v>901</v>
      </c>
      <c r="K1121" s="376">
        <v>901</v>
      </c>
      <c r="L1121" s="376">
        <v>901</v>
      </c>
      <c r="M1121" s="376">
        <v>901</v>
      </c>
      <c r="N1121" s="361">
        <v>901</v>
      </c>
      <c r="O1121" s="361">
        <v>901</v>
      </c>
      <c r="P1121" s="361">
        <v>901</v>
      </c>
      <c r="Q1121" s="361">
        <v>901</v>
      </c>
      <c r="R1121" s="361">
        <v>901</v>
      </c>
      <c r="S1121" s="361">
        <v>901</v>
      </c>
    </row>
    <row r="1122" spans="1:19" x14ac:dyDescent="0.25">
      <c r="A1122" s="360" t="s">
        <v>18</v>
      </c>
      <c r="B1122" s="376">
        <v>1775.91</v>
      </c>
      <c r="C1122" s="376">
        <v>1651</v>
      </c>
      <c r="D1122" s="376">
        <v>851</v>
      </c>
      <c r="E1122" s="376">
        <v>1288.26477</v>
      </c>
      <c r="F1122" s="376">
        <v>425.70000000000005</v>
      </c>
      <c r="G1122" s="376">
        <v>1298.56477</v>
      </c>
      <c r="H1122" s="376">
        <v>318.5</v>
      </c>
      <c r="I1122" s="376">
        <v>1359.46477</v>
      </c>
      <c r="J1122" s="376">
        <v>999.7</v>
      </c>
      <c r="K1122" s="376">
        <v>1339.56477</v>
      </c>
      <c r="L1122" s="376">
        <v>1191.2</v>
      </c>
      <c r="M1122" s="376">
        <v>1451</v>
      </c>
      <c r="N1122" s="376">
        <v>1380.1631280000001</v>
      </c>
      <c r="O1122" s="376">
        <f>O1121+600-50</f>
        <v>1451</v>
      </c>
      <c r="P1122" s="376">
        <f>P1121+600-50</f>
        <v>1451</v>
      </c>
      <c r="Q1122" s="376">
        <f>Q1121+600-50</f>
        <v>1451</v>
      </c>
      <c r="R1122" s="376">
        <f>R1121+600-50</f>
        <v>1451</v>
      </c>
      <c r="S1122" s="376">
        <f>S1121+600-50</f>
        <v>1451</v>
      </c>
    </row>
    <row r="1123" spans="1:19" x14ac:dyDescent="0.25">
      <c r="A1123" s="360" t="s">
        <v>19</v>
      </c>
      <c r="B1123" s="376"/>
      <c r="C1123" s="376"/>
      <c r="D1123" s="376"/>
      <c r="E1123" s="376"/>
      <c r="F1123" s="376"/>
      <c r="G1123" s="376"/>
      <c r="H1123" s="376"/>
      <c r="I1123" s="376"/>
      <c r="J1123" s="376"/>
      <c r="K1123" s="376"/>
      <c r="L1123" s="376"/>
      <c r="M1123" s="376"/>
      <c r="N1123" s="361"/>
      <c r="O1123" s="361"/>
      <c r="P1123" s="361"/>
      <c r="Q1123" s="361"/>
      <c r="R1123" s="361"/>
      <c r="S1123" s="361"/>
    </row>
    <row r="1124" spans="1:19" x14ac:dyDescent="0.25">
      <c r="A1124" s="360" t="s">
        <v>20</v>
      </c>
      <c r="B1124" s="376">
        <v>900.11276999999995</v>
      </c>
      <c r="C1124" s="376">
        <v>1213.73523</v>
      </c>
      <c r="D1124" s="376">
        <v>1276.3</v>
      </c>
      <c r="E1124" s="376">
        <v>840.7</v>
      </c>
      <c r="F1124" s="376">
        <v>958.2</v>
      </c>
      <c r="G1124" s="376">
        <v>790.1</v>
      </c>
      <c r="H1124" s="376">
        <v>569.79999999999995</v>
      </c>
      <c r="I1124" s="376">
        <v>870.9</v>
      </c>
      <c r="J1124" s="376">
        <v>659.5</v>
      </c>
      <c r="K1124" s="376">
        <v>698</v>
      </c>
      <c r="L1124" s="376">
        <v>662.0368719999999</v>
      </c>
      <c r="M1124" s="376">
        <v>444</v>
      </c>
      <c r="N1124" s="361">
        <v>659</v>
      </c>
      <c r="O1124" s="361">
        <v>516.5</v>
      </c>
      <c r="P1124" s="361">
        <v>332.1</v>
      </c>
      <c r="Q1124" s="361">
        <v>385.7</v>
      </c>
      <c r="R1124" s="361" t="s">
        <v>1135</v>
      </c>
      <c r="S1124" s="361" t="s">
        <v>1135</v>
      </c>
    </row>
    <row r="1125" spans="1:19" x14ac:dyDescent="0.25">
      <c r="A1125" s="360" t="s">
        <v>21</v>
      </c>
      <c r="B1125" s="376">
        <v>875.79723000000013</v>
      </c>
      <c r="C1125" s="376">
        <v>437.26477</v>
      </c>
      <c r="D1125" s="376">
        <v>425.3</v>
      </c>
      <c r="E1125" s="376">
        <v>447.56476999999995</v>
      </c>
      <c r="F1125" s="376">
        <v>532.5</v>
      </c>
      <c r="G1125" s="376">
        <v>508.46476999999993</v>
      </c>
      <c r="H1125" s="376">
        <v>148.70000000000005</v>
      </c>
      <c r="I1125" s="376">
        <v>488.56477000000007</v>
      </c>
      <c r="J1125" s="376">
        <v>340.20000000000005</v>
      </c>
      <c r="K1125" s="376">
        <v>641.56476999999995</v>
      </c>
      <c r="L1125" s="376">
        <v>529.16312800000014</v>
      </c>
      <c r="M1125" s="376">
        <f>M1122-M1124</f>
        <v>1007</v>
      </c>
      <c r="N1125" s="361">
        <f>N1122-N1124</f>
        <v>721.16312800000014</v>
      </c>
      <c r="O1125" s="361">
        <f>O1122-O1124</f>
        <v>934.5</v>
      </c>
      <c r="P1125" s="361">
        <f>P1122-P1124</f>
        <v>1118.9000000000001</v>
      </c>
      <c r="Q1125" s="361">
        <f>Q1122-Q1124</f>
        <v>1065.3</v>
      </c>
      <c r="R1125" s="361" t="s">
        <v>1135</v>
      </c>
      <c r="S1125" s="361" t="s">
        <v>1135</v>
      </c>
    </row>
    <row r="1126" spans="1:19" x14ac:dyDescent="0.25">
      <c r="A1126" s="364" t="s">
        <v>22</v>
      </c>
      <c r="B1126" s="377">
        <v>2011</v>
      </c>
      <c r="C1126" s="377">
        <v>2012</v>
      </c>
      <c r="D1126" s="377">
        <v>2013</v>
      </c>
      <c r="E1126" s="377">
        <v>2014</v>
      </c>
      <c r="F1126" s="377">
        <v>2015</v>
      </c>
      <c r="G1126" s="377">
        <v>2016</v>
      </c>
      <c r="H1126" s="377">
        <v>2017</v>
      </c>
      <c r="I1126" s="377">
        <v>2018</v>
      </c>
      <c r="J1126" s="377">
        <v>2019</v>
      </c>
      <c r="K1126" s="377">
        <v>2020</v>
      </c>
      <c r="L1126" s="377">
        <v>2021</v>
      </c>
      <c r="M1126" s="377">
        <v>2022</v>
      </c>
      <c r="N1126" s="377">
        <v>2023</v>
      </c>
      <c r="O1126" s="377">
        <v>2024</v>
      </c>
      <c r="P1126" s="377">
        <v>2025</v>
      </c>
      <c r="Q1126" s="377">
        <v>2026</v>
      </c>
      <c r="R1126" s="377">
        <v>2027</v>
      </c>
      <c r="S1126" s="377">
        <v>2028</v>
      </c>
    </row>
    <row r="1127" spans="1:19" x14ac:dyDescent="0.25">
      <c r="A1127" s="366" t="s">
        <v>179</v>
      </c>
      <c r="B1127" s="368"/>
      <c r="C1127" s="368"/>
      <c r="D1127" s="368"/>
      <c r="E1127" s="368"/>
      <c r="F1127" s="368"/>
      <c r="G1127" s="368"/>
      <c r="H1127" s="368"/>
      <c r="I1127" s="368"/>
      <c r="J1127" s="368"/>
      <c r="K1127" s="368"/>
      <c r="L1127" s="368"/>
      <c r="M1127" s="368"/>
      <c r="N1127" s="368"/>
      <c r="O1127" s="368"/>
      <c r="P1127" s="368"/>
      <c r="Q1127" s="368"/>
      <c r="R1127" s="368"/>
      <c r="S1127" s="63"/>
    </row>
    <row r="1128" spans="1:19" x14ac:dyDescent="0.25">
      <c r="A1128" s="366" t="s">
        <v>416</v>
      </c>
      <c r="B1128" s="368"/>
      <c r="C1128" s="368"/>
      <c r="D1128" s="368"/>
      <c r="E1128" s="368"/>
      <c r="F1128" s="368"/>
      <c r="G1128" s="368"/>
      <c r="H1128" s="368"/>
      <c r="I1128" s="368"/>
      <c r="J1128" s="368"/>
      <c r="K1128" s="368"/>
      <c r="L1128" s="368"/>
      <c r="M1128" s="368"/>
      <c r="N1128" s="368"/>
      <c r="O1128" s="368"/>
      <c r="P1128" s="368"/>
      <c r="Q1128" s="368"/>
      <c r="R1128" s="368"/>
      <c r="S1128" s="63"/>
    </row>
    <row r="1129" spans="1:19" x14ac:dyDescent="0.25">
      <c r="A1129" s="369" t="s">
        <v>417</v>
      </c>
      <c r="B1129" s="339"/>
      <c r="C1129" s="339"/>
      <c r="D1129" s="339"/>
      <c r="E1129" s="339"/>
      <c r="F1129" s="339"/>
      <c r="G1129" s="339"/>
      <c r="H1129" s="339"/>
      <c r="I1129" s="339"/>
      <c r="J1129" s="339"/>
      <c r="K1129" s="339"/>
      <c r="L1129" s="339"/>
      <c r="M1129" s="339"/>
      <c r="N1129" s="339"/>
      <c r="O1129" s="339"/>
      <c r="P1129" s="339"/>
      <c r="Q1129" s="339"/>
      <c r="R1129" s="339"/>
      <c r="S1129" s="64"/>
    </row>
    <row r="1130" spans="1:19" x14ac:dyDescent="0.25">
      <c r="A1130" s="369" t="s">
        <v>418</v>
      </c>
      <c r="B1130" s="339"/>
      <c r="C1130" s="339"/>
      <c r="D1130" s="339"/>
      <c r="E1130" s="339"/>
      <c r="F1130" s="339"/>
      <c r="G1130" s="339"/>
      <c r="H1130" s="339"/>
      <c r="I1130" s="339"/>
      <c r="J1130" s="339"/>
      <c r="K1130" s="339"/>
      <c r="L1130" s="339"/>
      <c r="M1130" s="339"/>
      <c r="N1130" s="339"/>
      <c r="O1130" s="339"/>
      <c r="P1130" s="339"/>
      <c r="Q1130" s="339"/>
      <c r="R1130" s="339"/>
      <c r="S1130" s="64"/>
    </row>
    <row r="1131" spans="1:19" x14ac:dyDescent="0.25">
      <c r="A1131" s="369" t="s">
        <v>419</v>
      </c>
      <c r="B1131" s="339"/>
      <c r="C1131" s="339"/>
      <c r="D1131" s="339"/>
      <c r="E1131" s="339"/>
      <c r="F1131" s="339"/>
      <c r="G1131" s="339"/>
      <c r="H1131" s="339"/>
      <c r="I1131" s="339"/>
      <c r="J1131" s="339"/>
      <c r="K1131" s="339"/>
      <c r="L1131" s="339"/>
      <c r="M1131" s="339"/>
      <c r="N1131" s="339"/>
      <c r="O1131" s="339"/>
      <c r="P1131" s="339"/>
      <c r="Q1131" s="339"/>
      <c r="R1131" s="339"/>
      <c r="S1131" s="64"/>
    </row>
    <row r="1132" spans="1:19" x14ac:dyDescent="0.25">
      <c r="A1132" s="369" t="s">
        <v>420</v>
      </c>
      <c r="B1132" s="370"/>
      <c r="C1132" s="372"/>
      <c r="D1132" s="371"/>
      <c r="E1132" s="339"/>
      <c r="F1132" s="339"/>
      <c r="G1132" s="372"/>
      <c r="H1132" s="339"/>
      <c r="I1132" s="339"/>
      <c r="J1132" s="339"/>
      <c r="K1132" s="339"/>
      <c r="L1132" s="339"/>
      <c r="M1132" s="339"/>
      <c r="N1132" s="339"/>
      <c r="O1132" s="339"/>
      <c r="P1132" s="339"/>
      <c r="Q1132" s="339"/>
      <c r="R1132" s="339"/>
      <c r="S1132" s="64"/>
    </row>
    <row r="1133" spans="1:19" x14ac:dyDescent="0.25">
      <c r="A1133" s="369" t="s">
        <v>421</v>
      </c>
      <c r="B1133" s="339"/>
      <c r="C1133" s="339"/>
      <c r="D1133" s="339"/>
      <c r="E1133" s="339"/>
      <c r="F1133" s="339"/>
      <c r="G1133" s="372"/>
      <c r="H1133" s="339"/>
      <c r="I1133" s="339"/>
      <c r="J1133" s="339"/>
      <c r="K1133" s="339"/>
      <c r="L1133" s="339"/>
      <c r="M1133" s="339"/>
      <c r="N1133" s="339"/>
      <c r="O1133" s="339"/>
      <c r="P1133" s="339"/>
      <c r="Q1133" s="339"/>
      <c r="R1133" s="339"/>
      <c r="S1133" s="64"/>
    </row>
    <row r="1134" spans="1:19" x14ac:dyDescent="0.25">
      <c r="A1134" s="369" t="s">
        <v>422</v>
      </c>
      <c r="B1134" s="339"/>
      <c r="C1134" s="339"/>
      <c r="D1134" s="339"/>
      <c r="E1134" s="339"/>
      <c r="F1134" s="339"/>
      <c r="G1134" s="372"/>
      <c r="H1134" s="339"/>
      <c r="I1134" s="339"/>
      <c r="J1134" s="339"/>
      <c r="K1134" s="339"/>
      <c r="L1134" s="339"/>
      <c r="M1134" s="339"/>
      <c r="N1134" s="339"/>
      <c r="O1134" s="339"/>
      <c r="P1134" s="339"/>
      <c r="Q1134" s="339"/>
      <c r="R1134" s="339"/>
      <c r="S1134" s="64"/>
    </row>
    <row r="1135" spans="1:19" x14ac:dyDescent="0.25">
      <c r="A1135" s="369" t="s">
        <v>423</v>
      </c>
      <c r="B1135" s="339"/>
      <c r="C1135" s="339"/>
      <c r="D1135" s="339"/>
      <c r="E1135" s="339"/>
      <c r="F1135" s="339"/>
      <c r="G1135" s="372"/>
      <c r="H1135" s="339"/>
      <c r="I1135" s="339"/>
      <c r="J1135" s="339"/>
      <c r="K1135" s="339"/>
      <c r="L1135" s="339"/>
      <c r="M1135" s="339"/>
      <c r="N1135" s="339"/>
      <c r="O1135" s="339"/>
      <c r="P1135" s="339"/>
      <c r="Q1135" s="339"/>
      <c r="R1135" s="339"/>
      <c r="S1135" s="64"/>
    </row>
    <row r="1136" spans="1:19" x14ac:dyDescent="0.25">
      <c r="A1136" s="399" t="s">
        <v>424</v>
      </c>
      <c r="B1136" s="339"/>
      <c r="C1136" s="339"/>
      <c r="D1136" s="339"/>
      <c r="E1136" s="339"/>
      <c r="F1136" s="339"/>
      <c r="G1136" s="400"/>
      <c r="H1136" s="339"/>
      <c r="I1136" s="339"/>
      <c r="J1136" s="339"/>
      <c r="K1136" s="339"/>
      <c r="L1136" s="339"/>
      <c r="M1136" s="339"/>
      <c r="N1136" s="339"/>
      <c r="O1136" s="339"/>
      <c r="P1136" s="339"/>
      <c r="Q1136" s="339"/>
      <c r="R1136" s="339"/>
      <c r="S1136" s="64"/>
    </row>
    <row r="1137" spans="1:19" x14ac:dyDescent="0.25">
      <c r="A1137" s="384" t="s">
        <v>228</v>
      </c>
      <c r="B1137" s="339"/>
      <c r="C1137" s="339"/>
      <c r="D1137" s="339"/>
      <c r="E1137" s="339"/>
      <c r="F1137" s="339"/>
      <c r="G1137" s="339"/>
      <c r="H1137" s="339"/>
      <c r="I1137" s="339"/>
      <c r="J1137" s="339"/>
      <c r="K1137" s="339"/>
      <c r="L1137" s="339"/>
      <c r="M1137" s="339"/>
      <c r="N1137" s="339"/>
      <c r="O1137" s="339"/>
      <c r="P1137" s="339"/>
      <c r="Q1137" s="339"/>
      <c r="R1137" s="339"/>
      <c r="S1137" s="64"/>
    </row>
    <row r="1138" spans="1:19" x14ac:dyDescent="0.25">
      <c r="A1138" s="384" t="s">
        <v>229</v>
      </c>
      <c r="B1138" s="339"/>
      <c r="C1138" s="339"/>
      <c r="D1138" s="339"/>
      <c r="E1138" s="339"/>
      <c r="F1138" s="339"/>
      <c r="G1138" s="339"/>
      <c r="H1138" s="339"/>
      <c r="I1138" s="339"/>
      <c r="J1138" s="339"/>
      <c r="K1138" s="339"/>
      <c r="L1138" s="339"/>
      <c r="M1138" s="339"/>
      <c r="N1138" s="339"/>
      <c r="O1138" s="339"/>
      <c r="P1138" s="339"/>
      <c r="Q1138" s="339"/>
      <c r="R1138" s="339"/>
      <c r="S1138" s="64"/>
    </row>
    <row r="1139" spans="1:19" x14ac:dyDescent="0.25">
      <c r="A1139" s="384" t="s">
        <v>425</v>
      </c>
      <c r="B1139" s="339"/>
      <c r="C1139" s="339"/>
      <c r="D1139" s="339"/>
      <c r="E1139" s="339"/>
      <c r="F1139" s="339"/>
      <c r="G1139" s="339"/>
      <c r="H1139" s="339"/>
      <c r="I1139" s="339"/>
      <c r="J1139" s="339"/>
      <c r="K1139" s="339"/>
      <c r="L1139" s="339"/>
      <c r="M1139" s="339"/>
      <c r="N1139" s="339"/>
      <c r="O1139" s="339"/>
      <c r="P1139" s="339"/>
      <c r="Q1139" s="339"/>
      <c r="R1139" s="339"/>
      <c r="S1139" s="64"/>
    </row>
    <row r="1140" spans="1:19" x14ac:dyDescent="0.25">
      <c r="A1140" s="384" t="s">
        <v>640</v>
      </c>
      <c r="B1140" s="339"/>
      <c r="C1140" s="339"/>
      <c r="D1140" s="339"/>
      <c r="E1140" s="339"/>
      <c r="F1140" s="339"/>
      <c r="G1140" s="339"/>
      <c r="H1140" s="339"/>
      <c r="I1140" s="339"/>
      <c r="J1140" s="339"/>
      <c r="K1140" s="339"/>
      <c r="L1140" s="339"/>
      <c r="M1140" s="339"/>
      <c r="N1140" s="339"/>
      <c r="O1140" s="339"/>
      <c r="P1140" s="339"/>
      <c r="Q1140" s="339"/>
      <c r="R1140" s="339"/>
      <c r="S1140" s="64"/>
    </row>
    <row r="1141" spans="1:19" x14ac:dyDescent="0.25">
      <c r="A1141" s="384" t="s">
        <v>807</v>
      </c>
      <c r="B1141" s="339"/>
      <c r="C1141" s="339"/>
      <c r="D1141" s="339"/>
      <c r="E1141" s="339"/>
      <c r="F1141" s="339"/>
      <c r="G1141" s="339"/>
      <c r="H1141" s="339"/>
      <c r="I1141" s="339"/>
      <c r="J1141" s="339"/>
      <c r="K1141" s="339"/>
      <c r="L1141" s="339"/>
      <c r="M1141" s="339"/>
      <c r="N1141" s="339"/>
      <c r="O1141" s="339"/>
      <c r="P1141" s="339"/>
      <c r="Q1141" s="339"/>
      <c r="R1141" s="339"/>
      <c r="S1141" s="64"/>
    </row>
    <row r="1142" spans="1:19" x14ac:dyDescent="0.25">
      <c r="A1142" s="384" t="s">
        <v>1039</v>
      </c>
      <c r="B1142" s="339"/>
      <c r="C1142" s="339"/>
      <c r="D1142" s="339"/>
      <c r="E1142" s="339"/>
      <c r="F1142" s="339"/>
      <c r="G1142" s="339"/>
      <c r="H1142" s="339"/>
      <c r="I1142" s="339"/>
      <c r="J1142" s="339"/>
      <c r="K1142" s="339"/>
      <c r="L1142" s="339"/>
      <c r="M1142" s="339"/>
      <c r="N1142" s="339"/>
      <c r="O1142" s="339"/>
      <c r="P1142" s="339"/>
      <c r="Q1142" s="339"/>
      <c r="R1142" s="339"/>
      <c r="S1142" s="64"/>
    </row>
    <row r="1143" spans="1:19" x14ac:dyDescent="0.25">
      <c r="A1143" s="384" t="s">
        <v>1087</v>
      </c>
      <c r="B1143" s="339"/>
      <c r="C1143" s="339"/>
      <c r="D1143" s="339"/>
      <c r="E1143" s="339"/>
      <c r="F1143" s="339"/>
      <c r="G1143" s="339"/>
      <c r="H1143" s="339"/>
      <c r="I1143" s="339"/>
      <c r="J1143" s="339"/>
      <c r="K1143" s="339"/>
      <c r="L1143" s="339"/>
      <c r="M1143" s="339"/>
      <c r="N1143" s="339"/>
      <c r="O1143" s="339"/>
      <c r="P1143" s="339"/>
      <c r="Q1143" s="339"/>
      <c r="R1143" s="339"/>
      <c r="S1143" s="64"/>
    </row>
    <row r="1144" spans="1:19" x14ac:dyDescent="0.25">
      <c r="A1144" s="661" t="s">
        <v>1247</v>
      </c>
      <c r="B1144" s="373"/>
      <c r="C1144" s="373"/>
      <c r="D1144" s="373"/>
      <c r="E1144" s="373"/>
      <c r="F1144" s="373"/>
      <c r="G1144" s="373"/>
      <c r="H1144" s="373"/>
      <c r="I1144" s="373"/>
      <c r="J1144" s="373"/>
      <c r="K1144" s="373"/>
      <c r="L1144" s="373"/>
      <c r="M1144" s="373"/>
      <c r="N1144" s="373"/>
      <c r="O1144" s="373"/>
      <c r="P1144" s="373"/>
      <c r="Q1144" s="373"/>
      <c r="R1144" s="373"/>
      <c r="S1144" s="48"/>
    </row>
    <row r="1145" spans="1:19" x14ac:dyDescent="0.25">
      <c r="A1145" s="315"/>
      <c r="C1145" s="348"/>
    </row>
    <row r="1146" spans="1:19" x14ac:dyDescent="0.25">
      <c r="A1146" s="352" t="s">
        <v>14</v>
      </c>
      <c r="B1146" s="353" t="s">
        <v>642</v>
      </c>
      <c r="C1146" s="405" t="s">
        <v>15</v>
      </c>
      <c r="D1146" s="339"/>
      <c r="E1146" s="339"/>
      <c r="F1146" s="339"/>
      <c r="G1146" s="339"/>
      <c r="H1146" s="339"/>
      <c r="I1146" s="339"/>
      <c r="J1146" s="339"/>
      <c r="K1146" s="339"/>
      <c r="L1146" s="339"/>
      <c r="M1146" s="339"/>
    </row>
    <row r="1147" spans="1:19" s="50" customFormat="1" ht="14.4" x14ac:dyDescent="0.3">
      <c r="A1147" s="360" t="s">
        <v>16</v>
      </c>
      <c r="B1147" s="359">
        <v>2009</v>
      </c>
      <c r="C1147" s="359">
        <v>2010</v>
      </c>
      <c r="D1147" s="359">
        <v>2011</v>
      </c>
      <c r="E1147" s="359">
        <v>2012</v>
      </c>
      <c r="F1147" s="359">
        <v>2013</v>
      </c>
      <c r="G1147" s="359">
        <v>2014</v>
      </c>
      <c r="H1147" s="359">
        <v>2015</v>
      </c>
      <c r="I1147" s="359">
        <v>2016</v>
      </c>
      <c r="J1147" s="359">
        <v>2017</v>
      </c>
      <c r="K1147" s="359">
        <v>2018</v>
      </c>
      <c r="L1147" s="359">
        <v>2019</v>
      </c>
      <c r="M1147" s="359">
        <v>2020</v>
      </c>
      <c r="N1147" s="359">
        <v>2021</v>
      </c>
      <c r="O1147" s="359">
        <v>2022</v>
      </c>
      <c r="P1147" s="359">
        <v>2023</v>
      </c>
      <c r="Q1147" s="359">
        <v>2024</v>
      </c>
      <c r="R1147" s="359">
        <v>2025</v>
      </c>
    </row>
    <row r="1148" spans="1:19" s="50" customFormat="1" ht="14.4" x14ac:dyDescent="0.3">
      <c r="A1148" s="360" t="s">
        <v>17</v>
      </c>
      <c r="B1148" s="406">
        <v>1871.44</v>
      </c>
      <c r="C1148" s="406">
        <v>1148.05</v>
      </c>
      <c r="D1148" s="406">
        <v>1097.03</v>
      </c>
      <c r="E1148" s="406">
        <v>1097.03</v>
      </c>
      <c r="F1148" s="406">
        <v>1139.55</v>
      </c>
      <c r="G1148" s="406">
        <v>1139.55</v>
      </c>
      <c r="H1148" s="406">
        <v>1345.44</v>
      </c>
      <c r="I1148" s="406">
        <v>1608.21</v>
      </c>
      <c r="J1148" s="406">
        <v>1930.88</v>
      </c>
      <c r="K1148" s="406">
        <v>2279</v>
      </c>
      <c r="L1148" s="406">
        <v>2544</v>
      </c>
      <c r="M1148" s="406">
        <v>2819</v>
      </c>
      <c r="N1148" s="376">
        <v>2819</v>
      </c>
      <c r="O1148" s="376">
        <v>2819</v>
      </c>
      <c r="P1148" s="376">
        <v>3114</v>
      </c>
      <c r="Q1148" s="376">
        <v>3114</v>
      </c>
      <c r="R1148" s="376">
        <v>3114</v>
      </c>
    </row>
    <row r="1149" spans="1:19" s="50" customFormat="1" ht="14.4" x14ac:dyDescent="0.3">
      <c r="A1149" s="360" t="s">
        <v>18</v>
      </c>
      <c r="B1149" s="406">
        <v>1871.44</v>
      </c>
      <c r="C1149" s="406">
        <v>1148.05</v>
      </c>
      <c r="D1149" s="406">
        <v>1097.03</v>
      </c>
      <c r="E1149" s="406">
        <v>1097.03</v>
      </c>
      <c r="F1149" s="406">
        <v>1139.55</v>
      </c>
      <c r="G1149" s="406">
        <v>1139.55</v>
      </c>
      <c r="H1149" s="406">
        <v>1390.44</v>
      </c>
      <c r="I1149" s="406">
        <v>1583.21</v>
      </c>
      <c r="J1149" s="406">
        <v>1910.88</v>
      </c>
      <c r="K1149" s="406">
        <v>2279</v>
      </c>
      <c r="L1149" s="406">
        <v>2544</v>
      </c>
      <c r="M1149" s="406">
        <v>2839.27</v>
      </c>
      <c r="N1149" s="376">
        <f>N1148+M1152</f>
        <v>2876.6439600000003</v>
      </c>
      <c r="O1149" s="376">
        <f>O1148+N1152</f>
        <v>2915.6539600000006</v>
      </c>
      <c r="P1149" s="376">
        <f>P1148+O1152</f>
        <v>3158.3939600000003</v>
      </c>
      <c r="Q1149" s="376">
        <v>3184.4</v>
      </c>
      <c r="R1149" s="376">
        <v>3269.7</v>
      </c>
    </row>
    <row r="1150" spans="1:19" s="50" customFormat="1" ht="14.4" x14ac:dyDescent="0.3">
      <c r="A1150" s="360" t="s">
        <v>19</v>
      </c>
      <c r="B1150" s="376"/>
      <c r="C1150" s="376"/>
      <c r="D1150" s="376"/>
      <c r="E1150" s="376"/>
      <c r="F1150" s="376"/>
      <c r="G1150" s="376"/>
      <c r="H1150" s="376"/>
      <c r="I1150" s="376"/>
      <c r="J1150" s="376"/>
      <c r="K1150" s="376"/>
      <c r="L1150" s="376"/>
      <c r="M1150" s="376"/>
      <c r="N1150" s="376"/>
      <c r="O1150" s="376"/>
      <c r="P1150" s="376"/>
      <c r="Q1150" s="376"/>
      <c r="R1150" s="376"/>
    </row>
    <row r="1151" spans="1:19" s="50" customFormat="1" ht="14.4" x14ac:dyDescent="0.3">
      <c r="A1151" s="360" t="s">
        <v>20</v>
      </c>
      <c r="B1151" s="406">
        <v>1858.2</v>
      </c>
      <c r="C1151" s="376">
        <v>1139.2777599999999</v>
      </c>
      <c r="D1151" s="376">
        <v>1088.8235599999998</v>
      </c>
      <c r="E1151" s="376">
        <v>1092.5993599999999</v>
      </c>
      <c r="F1151" s="376">
        <v>1128.97</v>
      </c>
      <c r="G1151" s="376">
        <v>1134.47</v>
      </c>
      <c r="H1151" s="376">
        <v>1385.92</v>
      </c>
      <c r="I1151" s="376">
        <v>1578.37</v>
      </c>
      <c r="J1151" s="376">
        <v>1910.65104</v>
      </c>
      <c r="K1151" s="376">
        <v>2269.7609000000002</v>
      </c>
      <c r="L1151" s="376">
        <v>2523.73</v>
      </c>
      <c r="M1151" s="376">
        <v>2781.6260399999996</v>
      </c>
      <c r="N1151" s="376">
        <v>2779.99</v>
      </c>
      <c r="O1151" s="376">
        <v>2871.26</v>
      </c>
      <c r="P1151" s="376">
        <v>3087.99</v>
      </c>
      <c r="Q1151" s="376">
        <v>2988.88</v>
      </c>
      <c r="R1151" s="376" t="s">
        <v>1135</v>
      </c>
    </row>
    <row r="1152" spans="1:19" s="50" customFormat="1" ht="14.4" x14ac:dyDescent="0.3">
      <c r="A1152" s="360" t="s">
        <v>21</v>
      </c>
      <c r="B1152" s="376">
        <v>13.240000000000009</v>
      </c>
      <c r="C1152" s="376">
        <v>8.7722400000000107</v>
      </c>
      <c r="D1152" s="376">
        <v>8.2064400000001569</v>
      </c>
      <c r="E1152" s="376">
        <v>4.4306400000000394</v>
      </c>
      <c r="F1152" s="376">
        <v>10.579999999999927</v>
      </c>
      <c r="G1152" s="376">
        <v>5.0799999999999272</v>
      </c>
      <c r="H1152" s="376">
        <v>4.5199999999999818</v>
      </c>
      <c r="I1152" s="376">
        <v>4.8400000000001455</v>
      </c>
      <c r="J1152" s="376">
        <v>0.22896000000014283</v>
      </c>
      <c r="K1152" s="376">
        <v>9.2390999999997803</v>
      </c>
      <c r="L1152" s="376">
        <v>20.269999999999982</v>
      </c>
      <c r="M1152" s="376">
        <v>57.643960000000334</v>
      </c>
      <c r="N1152" s="376">
        <f>N1149-N1151</f>
        <v>96.653960000000552</v>
      </c>
      <c r="O1152" s="376">
        <f>O1149-O1151</f>
        <v>44.393960000000334</v>
      </c>
      <c r="P1152" s="376">
        <f>P1149-P1151</f>
        <v>70.403960000000552</v>
      </c>
      <c r="Q1152" s="376">
        <v>195.51999999999998</v>
      </c>
      <c r="R1152" s="376" t="s">
        <v>1135</v>
      </c>
    </row>
    <row r="1153" spans="1:18" s="50" customFormat="1" ht="14.4" x14ac:dyDescent="0.3">
      <c r="A1153" s="364" t="s">
        <v>22</v>
      </c>
      <c r="B1153" s="377"/>
      <c r="C1153" s="377"/>
      <c r="D1153" s="377"/>
      <c r="E1153" s="377"/>
      <c r="F1153" s="377"/>
      <c r="G1153" s="377"/>
      <c r="H1153" s="377"/>
      <c r="I1153" s="377"/>
      <c r="J1153" s="377"/>
      <c r="K1153" s="377"/>
      <c r="L1153" s="377">
        <v>2020</v>
      </c>
      <c r="M1153" s="377">
        <v>2021</v>
      </c>
      <c r="N1153" s="377">
        <v>2022</v>
      </c>
      <c r="O1153" s="377">
        <v>2023</v>
      </c>
      <c r="P1153" s="377">
        <v>2024</v>
      </c>
      <c r="Q1153" s="377">
        <v>2025</v>
      </c>
      <c r="R1153" s="376"/>
    </row>
    <row r="1154" spans="1:18" s="50" customFormat="1" ht="14.4" x14ac:dyDescent="0.3">
      <c r="A1154" s="379" t="s">
        <v>179</v>
      </c>
      <c r="B1154" s="380"/>
      <c r="C1154" s="380"/>
      <c r="D1154" s="380"/>
      <c r="E1154" s="380"/>
      <c r="F1154" s="380"/>
      <c r="G1154" s="380"/>
      <c r="H1154" s="380"/>
      <c r="I1154" s="380"/>
      <c r="J1154" s="380"/>
      <c r="K1154" s="380"/>
      <c r="L1154" s="380"/>
      <c r="M1154" s="380"/>
      <c r="N1154" s="380"/>
      <c r="O1154" s="380"/>
      <c r="P1154" s="380"/>
      <c r="Q1154" s="380"/>
      <c r="R1154" s="407"/>
    </row>
    <row r="1155" spans="1:18" s="50" customFormat="1" ht="14.4" x14ac:dyDescent="0.3">
      <c r="A1155" s="366" t="s">
        <v>192</v>
      </c>
      <c r="B1155" s="368"/>
      <c r="C1155" s="368"/>
      <c r="D1155" s="368"/>
      <c r="E1155" s="368"/>
      <c r="F1155" s="368"/>
      <c r="G1155" s="368"/>
      <c r="H1155" s="368"/>
      <c r="I1155" s="368"/>
      <c r="J1155" s="368"/>
      <c r="K1155" s="368"/>
      <c r="L1155" s="368"/>
      <c r="M1155" s="368"/>
      <c r="N1155" s="368"/>
      <c r="O1155" s="368"/>
      <c r="P1155" s="368"/>
      <c r="Q1155" s="368"/>
      <c r="R1155" s="55"/>
    </row>
    <row r="1156" spans="1:18" s="50" customFormat="1" ht="14.4" x14ac:dyDescent="0.3">
      <c r="A1156" s="369" t="s">
        <v>193</v>
      </c>
      <c r="B1156" s="339"/>
      <c r="C1156" s="339"/>
      <c r="D1156" s="339"/>
      <c r="E1156" s="339"/>
      <c r="F1156" s="339"/>
      <c r="G1156" s="339"/>
      <c r="H1156" s="339"/>
      <c r="I1156" s="339"/>
      <c r="J1156" s="339"/>
      <c r="K1156" s="339"/>
      <c r="L1156" s="339"/>
      <c r="M1156" s="339"/>
      <c r="N1156" s="339"/>
      <c r="O1156" s="339"/>
      <c r="P1156" s="339"/>
      <c r="Q1156" s="339"/>
      <c r="R1156" s="57"/>
    </row>
    <row r="1157" spans="1:18" s="50" customFormat="1" ht="14.4" x14ac:dyDescent="0.3">
      <c r="A1157" s="369" t="s">
        <v>194</v>
      </c>
      <c r="B1157" s="339"/>
      <c r="C1157" s="339"/>
      <c r="D1157" s="339"/>
      <c r="E1157" s="339"/>
      <c r="F1157" s="339"/>
      <c r="G1157" s="339"/>
      <c r="H1157" s="339"/>
      <c r="I1157" s="339"/>
      <c r="J1157" s="339"/>
      <c r="K1157" s="339"/>
      <c r="L1157" s="339"/>
      <c r="M1157" s="339"/>
      <c r="N1157" s="339"/>
      <c r="O1157" s="339"/>
      <c r="P1157" s="339"/>
      <c r="Q1157" s="339"/>
      <c r="R1157" s="57"/>
    </row>
    <row r="1158" spans="1:18" s="50" customFormat="1" ht="14.4" x14ac:dyDescent="0.3">
      <c r="A1158" s="369" t="s">
        <v>195</v>
      </c>
      <c r="B1158" s="339"/>
      <c r="C1158" s="339"/>
      <c r="D1158" s="339"/>
      <c r="E1158" s="339"/>
      <c r="F1158" s="339"/>
      <c r="G1158" s="339"/>
      <c r="H1158" s="339"/>
      <c r="I1158" s="339"/>
      <c r="J1158" s="339"/>
      <c r="K1158" s="339"/>
      <c r="L1158" s="339"/>
      <c r="M1158" s="339"/>
      <c r="N1158" s="339"/>
      <c r="O1158" s="339"/>
      <c r="P1158" s="339"/>
      <c r="Q1158" s="339"/>
      <c r="R1158" s="57"/>
    </row>
    <row r="1159" spans="1:18" s="50" customFormat="1" ht="14.4" x14ac:dyDescent="0.3">
      <c r="A1159" s="384" t="s">
        <v>230</v>
      </c>
      <c r="B1159" s="370"/>
      <c r="C1159" s="372"/>
      <c r="D1159" s="371"/>
      <c r="E1159" s="339"/>
      <c r="F1159" s="339"/>
      <c r="G1159" s="372"/>
      <c r="H1159" s="339"/>
      <c r="I1159" s="339"/>
      <c r="J1159" s="339"/>
      <c r="K1159" s="339"/>
      <c r="L1159" s="339"/>
      <c r="M1159" s="339"/>
      <c r="N1159" s="339"/>
      <c r="O1159" s="339"/>
      <c r="P1159" s="339"/>
      <c r="Q1159" s="339"/>
      <c r="R1159" s="57"/>
    </row>
    <row r="1160" spans="1:18" s="50" customFormat="1" ht="14.4" x14ac:dyDescent="0.3">
      <c r="A1160" s="384" t="s">
        <v>272</v>
      </c>
      <c r="B1160" s="370"/>
      <c r="C1160" s="372"/>
      <c r="D1160" s="371"/>
      <c r="E1160" s="339"/>
      <c r="F1160" s="339"/>
      <c r="G1160" s="372"/>
      <c r="H1160" s="339"/>
      <c r="I1160" s="339"/>
      <c r="J1160" s="339"/>
      <c r="K1160" s="339"/>
      <c r="L1160" s="339"/>
      <c r="M1160" s="339"/>
      <c r="N1160" s="339"/>
      <c r="O1160" s="339"/>
      <c r="P1160" s="339"/>
      <c r="Q1160" s="339"/>
      <c r="R1160" s="57"/>
    </row>
    <row r="1161" spans="1:18" s="50" customFormat="1" ht="14.4" x14ac:dyDescent="0.3">
      <c r="A1161" s="384" t="s">
        <v>461</v>
      </c>
      <c r="B1161" s="370"/>
      <c r="C1161" s="372"/>
      <c r="D1161" s="371"/>
      <c r="E1161" s="339"/>
      <c r="F1161" s="339"/>
      <c r="G1161" s="372"/>
      <c r="H1161" s="339"/>
      <c r="I1161" s="339"/>
      <c r="J1161" s="339"/>
      <c r="K1161" s="339"/>
      <c r="L1161" s="339"/>
      <c r="M1161" s="339"/>
      <c r="N1161" s="339"/>
      <c r="O1161" s="339"/>
      <c r="P1161" s="339"/>
      <c r="Q1161" s="339"/>
      <c r="R1161" s="57"/>
    </row>
    <row r="1162" spans="1:18" s="50" customFormat="1" ht="14.4" x14ac:dyDescent="0.3">
      <c r="A1162" s="384" t="s">
        <v>643</v>
      </c>
      <c r="B1162" s="370"/>
      <c r="C1162" s="372"/>
      <c r="D1162" s="371"/>
      <c r="E1162" s="339"/>
      <c r="F1162" s="339"/>
      <c r="G1162" s="372"/>
      <c r="H1162" s="339"/>
      <c r="I1162" s="339"/>
      <c r="J1162" s="339"/>
      <c r="K1162" s="339"/>
      <c r="L1162" s="339"/>
      <c r="M1162" s="339"/>
      <c r="N1162" s="339"/>
      <c r="O1162" s="339"/>
      <c r="P1162" s="339"/>
      <c r="Q1162" s="339"/>
      <c r="R1162" s="57"/>
    </row>
    <row r="1163" spans="1:18" s="50" customFormat="1" ht="14.4" x14ac:dyDescent="0.3">
      <c r="A1163" s="384" t="s">
        <v>231</v>
      </c>
      <c r="B1163" s="370"/>
      <c r="C1163" s="372"/>
      <c r="D1163" s="371"/>
      <c r="E1163" s="339"/>
      <c r="F1163" s="339"/>
      <c r="G1163" s="372"/>
      <c r="H1163" s="339"/>
      <c r="I1163" s="339"/>
      <c r="J1163" s="339"/>
      <c r="K1163" s="339"/>
      <c r="L1163" s="339"/>
      <c r="M1163" s="339"/>
      <c r="N1163" s="339"/>
      <c r="O1163" s="339"/>
      <c r="P1163" s="339"/>
      <c r="Q1163" s="339"/>
      <c r="R1163" s="57"/>
    </row>
    <row r="1164" spans="1:18" s="50" customFormat="1" ht="14.4" x14ac:dyDescent="0.3">
      <c r="A1164" s="384" t="s">
        <v>273</v>
      </c>
      <c r="B1164" s="370"/>
      <c r="C1164" s="372"/>
      <c r="D1164" s="371"/>
      <c r="E1164" s="339"/>
      <c r="F1164" s="339"/>
      <c r="G1164" s="372"/>
      <c r="H1164" s="339"/>
      <c r="I1164" s="339"/>
      <c r="J1164" s="339"/>
      <c r="K1164" s="339"/>
      <c r="L1164" s="339"/>
      <c r="M1164" s="339"/>
      <c r="N1164" s="339"/>
      <c r="O1164" s="339"/>
      <c r="P1164" s="339"/>
      <c r="Q1164" s="339"/>
      <c r="R1164" s="57"/>
    </row>
    <row r="1165" spans="1:18" s="50" customFormat="1" ht="14.4" x14ac:dyDescent="0.3">
      <c r="A1165" s="384" t="s">
        <v>462</v>
      </c>
      <c r="B1165" s="370"/>
      <c r="C1165" s="372"/>
      <c r="D1165" s="371"/>
      <c r="E1165" s="339"/>
      <c r="F1165" s="339"/>
      <c r="G1165" s="372"/>
      <c r="H1165" s="339"/>
      <c r="I1165" s="339"/>
      <c r="J1165" s="339"/>
      <c r="K1165" s="339"/>
      <c r="L1165" s="339"/>
      <c r="M1165" s="339"/>
      <c r="N1165" s="339"/>
      <c r="O1165" s="339"/>
      <c r="P1165" s="339"/>
      <c r="Q1165" s="339"/>
      <c r="R1165" s="57"/>
    </row>
    <row r="1166" spans="1:18" s="50" customFormat="1" ht="14.4" x14ac:dyDescent="0.3">
      <c r="A1166" s="384" t="s">
        <v>644</v>
      </c>
      <c r="B1166" s="370"/>
      <c r="C1166" s="372"/>
      <c r="D1166" s="371"/>
      <c r="E1166" s="339"/>
      <c r="F1166" s="339"/>
      <c r="G1166" s="372"/>
      <c r="H1166" s="339"/>
      <c r="I1166" s="339"/>
      <c r="J1166" s="339"/>
      <c r="K1166" s="339"/>
      <c r="L1166" s="339"/>
      <c r="M1166" s="339"/>
      <c r="N1166" s="339"/>
      <c r="O1166" s="339"/>
      <c r="P1166" s="339"/>
      <c r="Q1166" s="339"/>
      <c r="R1166" s="57"/>
    </row>
    <row r="1167" spans="1:18" s="50" customFormat="1" ht="14.4" x14ac:dyDescent="0.3">
      <c r="A1167" s="384" t="s">
        <v>808</v>
      </c>
      <c r="B1167" s="370"/>
      <c r="C1167" s="372"/>
      <c r="D1167" s="371"/>
      <c r="E1167" s="339"/>
      <c r="F1167" s="339"/>
      <c r="G1167" s="372"/>
      <c r="H1167" s="339"/>
      <c r="I1167" s="339"/>
      <c r="J1167" s="339"/>
      <c r="K1167" s="339"/>
      <c r="L1167" s="339"/>
      <c r="M1167" s="339"/>
      <c r="N1167" s="339"/>
      <c r="O1167" s="339"/>
      <c r="P1167" s="339"/>
      <c r="Q1167" s="339"/>
      <c r="R1167" s="57"/>
    </row>
    <row r="1168" spans="1:18" s="50" customFormat="1" ht="14.4" x14ac:dyDescent="0.3">
      <c r="A1168" s="384" t="s">
        <v>1088</v>
      </c>
      <c r="B1168" s="339"/>
      <c r="C1168" s="339"/>
      <c r="D1168" s="339"/>
      <c r="E1168" s="339"/>
      <c r="F1168" s="339"/>
      <c r="G1168" s="372"/>
      <c r="H1168" s="339"/>
      <c r="I1168" s="339"/>
      <c r="J1168" s="339"/>
      <c r="K1168" s="339"/>
      <c r="L1168" s="339"/>
      <c r="M1168" s="339"/>
      <c r="N1168" s="339"/>
      <c r="O1168" s="339"/>
      <c r="P1168" s="339"/>
      <c r="Q1168" s="339"/>
      <c r="R1168" s="57"/>
    </row>
    <row r="1169" spans="1:18" s="411" customFormat="1" ht="13.8" x14ac:dyDescent="0.3">
      <c r="A1169" s="404" t="s">
        <v>1136</v>
      </c>
      <c r="B1169" s="373"/>
      <c r="C1169" s="373"/>
      <c r="D1169" s="373"/>
      <c r="E1169" s="373"/>
      <c r="F1169" s="373"/>
      <c r="G1169" s="408"/>
      <c r="H1169" s="373"/>
      <c r="I1169" s="373"/>
      <c r="J1169" s="373"/>
      <c r="K1169" s="373"/>
      <c r="L1169" s="373"/>
      <c r="M1169" s="373"/>
      <c r="N1169" s="373"/>
      <c r="O1169" s="373"/>
      <c r="P1169" s="373"/>
      <c r="Q1169" s="409"/>
      <c r="R1169" s="410"/>
    </row>
    <row r="1170" spans="1:18" x14ac:dyDescent="0.25">
      <c r="A1170" s="315"/>
      <c r="C1170" s="348"/>
    </row>
    <row r="1171" spans="1:18" x14ac:dyDescent="0.25">
      <c r="A1171" s="412" t="s">
        <v>14</v>
      </c>
      <c r="B1171" s="353" t="s">
        <v>645</v>
      </c>
      <c r="C1171" s="405" t="s">
        <v>15</v>
      </c>
      <c r="D1171" s="339"/>
      <c r="E1171" s="339"/>
      <c r="F1171" s="339"/>
      <c r="G1171" s="339"/>
      <c r="H1171" s="339"/>
      <c r="I1171" s="339"/>
      <c r="J1171" s="339"/>
      <c r="K1171" s="339"/>
      <c r="L1171" s="339"/>
      <c r="M1171" s="339"/>
    </row>
    <row r="1172" spans="1:18" x14ac:dyDescent="0.25">
      <c r="A1172" s="413" t="s">
        <v>16</v>
      </c>
      <c r="B1172" s="414">
        <v>2009</v>
      </c>
      <c r="C1172" s="415">
        <v>2010</v>
      </c>
      <c r="D1172" s="415">
        <v>2011</v>
      </c>
      <c r="E1172" s="415">
        <v>2012</v>
      </c>
      <c r="F1172" s="415">
        <v>2013</v>
      </c>
      <c r="G1172" s="415">
        <v>2014</v>
      </c>
      <c r="H1172" s="414">
        <v>2015</v>
      </c>
      <c r="I1172" s="414">
        <v>2016</v>
      </c>
      <c r="J1172" s="414">
        <v>2017</v>
      </c>
      <c r="K1172" s="414">
        <v>2018</v>
      </c>
      <c r="L1172" s="414">
        <v>2019</v>
      </c>
      <c r="M1172" s="414">
        <v>2020</v>
      </c>
      <c r="N1172" s="414">
        <v>2021</v>
      </c>
      <c r="O1172" s="414">
        <v>2022</v>
      </c>
      <c r="P1172" s="414">
        <v>2023</v>
      </c>
      <c r="Q1172" s="414">
        <v>2024</v>
      </c>
      <c r="R1172" s="414">
        <v>2025</v>
      </c>
    </row>
    <row r="1173" spans="1:18" x14ac:dyDescent="0.25">
      <c r="A1173" s="357" t="s">
        <v>17</v>
      </c>
      <c r="B1173" s="361">
        <v>329.79</v>
      </c>
      <c r="C1173" s="376">
        <v>311.02</v>
      </c>
      <c r="D1173" s="376">
        <v>301.64</v>
      </c>
      <c r="E1173" s="376">
        <v>301.64</v>
      </c>
      <c r="F1173" s="376">
        <v>301.64</v>
      </c>
      <c r="G1173" s="376">
        <v>301.64</v>
      </c>
      <c r="H1173" s="376">
        <v>345.74</v>
      </c>
      <c r="I1173" s="376">
        <v>345.74</v>
      </c>
      <c r="J1173" s="406">
        <v>345.74</v>
      </c>
      <c r="K1173" s="406">
        <v>407.48</v>
      </c>
      <c r="L1173" s="406">
        <v>407.48</v>
      </c>
      <c r="M1173" s="416">
        <v>407.48</v>
      </c>
      <c r="N1173" s="417">
        <v>407.48</v>
      </c>
      <c r="O1173" s="417">
        <v>664.52</v>
      </c>
      <c r="P1173" s="417">
        <v>664.52</v>
      </c>
      <c r="Q1173" s="417">
        <v>664.52</v>
      </c>
      <c r="R1173" s="417">
        <v>664.52</v>
      </c>
    </row>
    <row r="1174" spans="1:18" x14ac:dyDescent="0.25">
      <c r="A1174" s="360" t="s">
        <v>18</v>
      </c>
      <c r="B1174" s="361">
        <v>402.56000000000006</v>
      </c>
      <c r="C1174" s="376">
        <v>431.91</v>
      </c>
      <c r="D1174" s="376">
        <v>308.37</v>
      </c>
      <c r="E1174" s="376">
        <v>306.06</v>
      </c>
      <c r="F1174" s="376">
        <v>304.12</v>
      </c>
      <c r="G1174" s="376">
        <v>303.5</v>
      </c>
      <c r="H1174" s="376">
        <v>346.61</v>
      </c>
      <c r="I1174" s="376">
        <v>346.83000000000004</v>
      </c>
      <c r="J1174" s="406">
        <v>347.08035600000011</v>
      </c>
      <c r="K1174" s="406">
        <v>408.73035600000014</v>
      </c>
      <c r="L1174" s="406">
        <v>409.20815600000014</v>
      </c>
      <c r="M1174" s="416">
        <v>410.39696779704036</v>
      </c>
      <c r="N1174" s="417">
        <v>410.3</v>
      </c>
      <c r="O1174" s="417">
        <f>O1173+N1177</f>
        <v>665.25</v>
      </c>
      <c r="P1174" s="417">
        <f>P1173+O1177</f>
        <v>671.97</v>
      </c>
      <c r="Q1174" s="417">
        <v>711.8</v>
      </c>
      <c r="R1174" s="417">
        <v>683.66424833498388</v>
      </c>
    </row>
    <row r="1175" spans="1:18" x14ac:dyDescent="0.25">
      <c r="A1175" s="360" t="s">
        <v>19</v>
      </c>
      <c r="B1175" s="361"/>
      <c r="C1175" s="376"/>
      <c r="D1175" s="376"/>
      <c r="E1175" s="376"/>
      <c r="F1175" s="376"/>
      <c r="G1175" s="376"/>
      <c r="H1175" s="376"/>
      <c r="I1175" s="376"/>
      <c r="J1175" s="376"/>
      <c r="K1175" s="376"/>
      <c r="L1175" s="376"/>
      <c r="M1175" s="417"/>
      <c r="N1175" s="417"/>
      <c r="O1175" s="417"/>
      <c r="P1175" s="417"/>
      <c r="Q1175" s="417"/>
      <c r="R1175" s="417"/>
    </row>
    <row r="1176" spans="1:18" x14ac:dyDescent="0.25">
      <c r="A1176" s="360" t="s">
        <v>20</v>
      </c>
      <c r="B1176" s="361">
        <v>281.67</v>
      </c>
      <c r="C1176" s="376">
        <v>425.18</v>
      </c>
      <c r="D1176" s="376">
        <v>303.95</v>
      </c>
      <c r="E1176" s="376">
        <v>303.58</v>
      </c>
      <c r="F1176" s="376">
        <v>302.26</v>
      </c>
      <c r="G1176" s="376">
        <v>302.63</v>
      </c>
      <c r="H1176" s="376">
        <v>345.52</v>
      </c>
      <c r="I1176" s="376">
        <v>345.48964399999994</v>
      </c>
      <c r="J1176" s="376">
        <v>345.83</v>
      </c>
      <c r="K1176" s="376">
        <v>407.00220000000002</v>
      </c>
      <c r="L1176" s="376">
        <v>406.2911882029598</v>
      </c>
      <c r="M1176" s="417">
        <v>407.58140000000009</v>
      </c>
      <c r="N1176" s="417">
        <v>409.57</v>
      </c>
      <c r="O1176" s="417">
        <v>657.8</v>
      </c>
      <c r="P1176" s="417">
        <v>624.67999999999995</v>
      </c>
      <c r="Q1176" s="417">
        <v>692.65575166501606</v>
      </c>
      <c r="R1176" s="417" t="s">
        <v>1135</v>
      </c>
    </row>
    <row r="1177" spans="1:18" x14ac:dyDescent="0.25">
      <c r="A1177" s="360" t="s">
        <v>21</v>
      </c>
      <c r="B1177" s="361">
        <v>120.89000000000004</v>
      </c>
      <c r="C1177" s="376">
        <v>6.7300000000000182</v>
      </c>
      <c r="D1177" s="376">
        <v>4.4200000000000159</v>
      </c>
      <c r="E1177" s="376">
        <v>2.4800000000000182</v>
      </c>
      <c r="F1177" s="376">
        <v>1.8600000000000136</v>
      </c>
      <c r="G1177" s="376">
        <v>0.87000000000000455</v>
      </c>
      <c r="H1177" s="376">
        <v>1.0900000000000318</v>
      </c>
      <c r="I1177" s="376">
        <v>1.3403560000000994</v>
      </c>
      <c r="J1177" s="376">
        <v>1.2503560000001244</v>
      </c>
      <c r="K1177" s="376">
        <v>1.7281560000001264</v>
      </c>
      <c r="L1177" s="376">
        <v>2.9169677970403427</v>
      </c>
      <c r="M1177" s="417">
        <v>2.8155677970402735</v>
      </c>
      <c r="N1177" s="417">
        <f>N1174-N1176</f>
        <v>0.73000000000001819</v>
      </c>
      <c r="O1177" s="417">
        <f>O1174-O1176</f>
        <v>7.4500000000000455</v>
      </c>
      <c r="P1177" s="417">
        <v>47.28</v>
      </c>
      <c r="Q1177" s="417">
        <v>19.144248334983899</v>
      </c>
      <c r="R1177" s="417" t="s">
        <v>1135</v>
      </c>
    </row>
    <row r="1178" spans="1:18" x14ac:dyDescent="0.25">
      <c r="A1178" s="364" t="s">
        <v>22</v>
      </c>
      <c r="B1178" s="377"/>
      <c r="C1178" s="377"/>
      <c r="D1178" s="377"/>
      <c r="E1178" s="377"/>
      <c r="F1178" s="377"/>
      <c r="G1178" s="377"/>
      <c r="H1178" s="377"/>
      <c r="I1178" s="377"/>
      <c r="J1178" s="377"/>
      <c r="K1178" s="377">
        <v>2019</v>
      </c>
      <c r="L1178" s="377">
        <v>2020</v>
      </c>
      <c r="M1178" s="377">
        <v>2021</v>
      </c>
      <c r="N1178" s="377">
        <v>2022</v>
      </c>
      <c r="O1178" s="377">
        <v>2023</v>
      </c>
      <c r="P1178" s="377">
        <v>2024</v>
      </c>
      <c r="Q1178" s="417">
        <v>2025</v>
      </c>
      <c r="R1178" s="417">
        <v>2026</v>
      </c>
    </row>
    <row r="1179" spans="1:18" x14ac:dyDescent="0.25">
      <c r="A1179" s="379" t="s">
        <v>179</v>
      </c>
      <c r="B1179" s="380"/>
      <c r="C1179" s="380"/>
      <c r="D1179" s="380"/>
      <c r="E1179" s="380"/>
      <c r="F1179" s="380"/>
      <c r="G1179" s="380"/>
      <c r="H1179" s="380"/>
      <c r="I1179" s="380"/>
      <c r="J1179" s="380"/>
      <c r="K1179" s="380"/>
      <c r="L1179" s="380"/>
      <c r="M1179" s="380"/>
      <c r="N1179" s="380"/>
      <c r="O1179" s="380"/>
      <c r="P1179" s="380"/>
      <c r="Q1179" s="380"/>
      <c r="R1179" s="88"/>
    </row>
    <row r="1180" spans="1:18" x14ac:dyDescent="0.25">
      <c r="A1180" s="366" t="s">
        <v>210</v>
      </c>
      <c r="B1180" s="368"/>
      <c r="C1180" s="368"/>
      <c r="D1180" s="368"/>
      <c r="E1180" s="368"/>
      <c r="F1180" s="368"/>
      <c r="G1180" s="368"/>
      <c r="H1180" s="368"/>
      <c r="I1180" s="368"/>
      <c r="J1180" s="368"/>
      <c r="K1180" s="368"/>
      <c r="L1180" s="368"/>
      <c r="M1180" s="368"/>
      <c r="N1180" s="368"/>
      <c r="O1180" s="368"/>
      <c r="P1180" s="368"/>
      <c r="Q1180" s="368"/>
      <c r="R1180" s="63"/>
    </row>
    <row r="1181" spans="1:18" x14ac:dyDescent="0.25">
      <c r="A1181" s="384" t="s">
        <v>232</v>
      </c>
      <c r="B1181" s="339"/>
      <c r="C1181" s="339"/>
      <c r="D1181" s="339"/>
      <c r="E1181" s="339"/>
      <c r="F1181" s="339"/>
      <c r="G1181" s="339"/>
      <c r="H1181" s="339"/>
      <c r="I1181" s="339"/>
      <c r="J1181" s="339"/>
      <c r="K1181" s="339"/>
      <c r="L1181" s="339"/>
      <c r="M1181" s="339"/>
      <c r="N1181" s="339"/>
      <c r="O1181" s="339"/>
      <c r="P1181" s="339"/>
      <c r="Q1181" s="339"/>
      <c r="R1181" s="64"/>
    </row>
    <row r="1182" spans="1:18" x14ac:dyDescent="0.25">
      <c r="A1182" s="384" t="s">
        <v>274</v>
      </c>
      <c r="B1182" s="339"/>
      <c r="C1182" s="339"/>
      <c r="D1182" s="339"/>
      <c r="E1182" s="339"/>
      <c r="F1182" s="339"/>
      <c r="G1182" s="339"/>
      <c r="H1182" s="339"/>
      <c r="I1182" s="339"/>
      <c r="J1182" s="339"/>
      <c r="K1182" s="339"/>
      <c r="L1182" s="339"/>
      <c r="M1182" s="339"/>
      <c r="N1182" s="339"/>
      <c r="O1182" s="339"/>
      <c r="P1182" s="339"/>
      <c r="Q1182" s="339"/>
      <c r="R1182" s="64"/>
    </row>
    <row r="1183" spans="1:18" x14ac:dyDescent="0.25">
      <c r="A1183" s="384" t="s">
        <v>275</v>
      </c>
      <c r="B1183" s="339"/>
      <c r="C1183" s="339"/>
      <c r="D1183" s="339"/>
      <c r="E1183" s="339"/>
      <c r="F1183" s="339"/>
      <c r="G1183" s="339"/>
      <c r="H1183" s="339"/>
      <c r="I1183" s="339"/>
      <c r="J1183" s="339"/>
      <c r="K1183" s="339"/>
      <c r="L1183" s="339"/>
      <c r="M1183" s="339"/>
      <c r="N1183" s="339"/>
      <c r="O1183" s="339"/>
      <c r="P1183" s="339"/>
      <c r="Q1183" s="339"/>
      <c r="R1183" s="64"/>
    </row>
    <row r="1184" spans="1:18" x14ac:dyDescent="0.25">
      <c r="A1184" s="384" t="s">
        <v>276</v>
      </c>
      <c r="B1184" s="339"/>
      <c r="C1184" s="339"/>
      <c r="D1184" s="339"/>
      <c r="E1184" s="339"/>
      <c r="F1184" s="339"/>
      <c r="G1184" s="339"/>
      <c r="H1184" s="339"/>
      <c r="I1184" s="339"/>
      <c r="J1184" s="339"/>
      <c r="K1184" s="339"/>
      <c r="L1184" s="339"/>
      <c r="M1184" s="339"/>
      <c r="N1184" s="339"/>
      <c r="O1184" s="339"/>
      <c r="P1184" s="339"/>
      <c r="Q1184" s="339"/>
      <c r="R1184" s="64"/>
    </row>
    <row r="1185" spans="1:19" x14ac:dyDescent="0.25">
      <c r="A1185" s="384" t="s">
        <v>463</v>
      </c>
      <c r="B1185" s="339"/>
      <c r="C1185" s="339"/>
      <c r="D1185" s="339"/>
      <c r="E1185" s="339"/>
      <c r="F1185" s="339"/>
      <c r="G1185" s="339"/>
      <c r="H1185" s="339"/>
      <c r="I1185" s="339"/>
      <c r="J1185" s="339"/>
      <c r="K1185" s="339"/>
      <c r="L1185" s="339"/>
      <c r="M1185" s="339"/>
      <c r="N1185" s="339"/>
      <c r="O1185" s="339"/>
      <c r="P1185" s="339"/>
      <c r="Q1185" s="339"/>
      <c r="R1185" s="64"/>
    </row>
    <row r="1186" spans="1:19" x14ac:dyDescent="0.25">
      <c r="A1186" s="384" t="s">
        <v>464</v>
      </c>
      <c r="B1186" s="339"/>
      <c r="C1186" s="339"/>
      <c r="D1186" s="339"/>
      <c r="E1186" s="339"/>
      <c r="F1186" s="339"/>
      <c r="G1186" s="339"/>
      <c r="H1186" s="339"/>
      <c r="I1186" s="339"/>
      <c r="J1186" s="339"/>
      <c r="K1186" s="339"/>
      <c r="L1186" s="339"/>
      <c r="M1186" s="339"/>
      <c r="N1186" s="339"/>
      <c r="O1186" s="339"/>
      <c r="P1186" s="339"/>
      <c r="Q1186" s="339"/>
      <c r="R1186" s="64"/>
    </row>
    <row r="1187" spans="1:19" x14ac:dyDescent="0.25">
      <c r="A1187" s="384" t="s">
        <v>646</v>
      </c>
      <c r="B1187" s="339"/>
      <c r="C1187" s="339"/>
      <c r="D1187" s="339"/>
      <c r="E1187" s="339"/>
      <c r="F1187" s="339"/>
      <c r="G1187" s="339"/>
      <c r="H1187" s="339"/>
      <c r="I1187" s="339"/>
      <c r="J1187" s="339"/>
      <c r="K1187" s="339"/>
      <c r="L1187" s="339"/>
      <c r="M1187" s="339"/>
      <c r="N1187" s="339"/>
      <c r="O1187" s="339"/>
      <c r="P1187" s="339"/>
      <c r="Q1187" s="339"/>
      <c r="R1187" s="64"/>
    </row>
    <row r="1188" spans="1:19" x14ac:dyDescent="0.25">
      <c r="A1188" s="384" t="s">
        <v>809</v>
      </c>
      <c r="B1188" s="339"/>
      <c r="C1188" s="339"/>
      <c r="D1188" s="339"/>
      <c r="E1188" s="339"/>
      <c r="F1188" s="339"/>
      <c r="G1188" s="339"/>
      <c r="H1188" s="339"/>
      <c r="I1188" s="339"/>
      <c r="J1188" s="339"/>
      <c r="K1188" s="339"/>
      <c r="L1188" s="339"/>
      <c r="M1188" s="339"/>
      <c r="N1188" s="339"/>
      <c r="O1188" s="339"/>
      <c r="P1188" s="339"/>
      <c r="Q1188" s="339"/>
      <c r="R1188" s="64"/>
    </row>
    <row r="1189" spans="1:19" x14ac:dyDescent="0.25">
      <c r="A1189" s="384" t="s">
        <v>810</v>
      </c>
      <c r="B1189" s="339"/>
      <c r="C1189" s="339"/>
      <c r="D1189" s="339"/>
      <c r="E1189" s="339"/>
      <c r="F1189" s="339"/>
      <c r="G1189" s="339"/>
      <c r="H1189" s="339"/>
      <c r="I1189" s="339"/>
      <c r="J1189" s="339"/>
      <c r="K1189" s="339"/>
      <c r="L1189" s="339"/>
      <c r="M1189" s="339"/>
      <c r="N1189" s="339"/>
      <c r="O1189" s="339"/>
      <c r="P1189" s="339"/>
      <c r="Q1189" s="339"/>
      <c r="R1189" s="64"/>
    </row>
    <row r="1190" spans="1:19" x14ac:dyDescent="0.25">
      <c r="A1190" s="384" t="s">
        <v>1091</v>
      </c>
      <c r="B1190" s="339"/>
      <c r="C1190" s="339"/>
      <c r="D1190" s="339"/>
      <c r="E1190" s="339"/>
      <c r="F1190" s="339"/>
      <c r="G1190" s="339"/>
      <c r="H1190" s="339"/>
      <c r="I1190" s="339"/>
      <c r="J1190" s="339"/>
      <c r="K1190" s="339"/>
      <c r="L1190" s="339"/>
      <c r="M1190" s="339"/>
      <c r="N1190" s="339"/>
      <c r="O1190" s="339"/>
      <c r="P1190" s="339"/>
      <c r="Q1190" s="339"/>
      <c r="R1190" s="64"/>
    </row>
    <row r="1191" spans="1:19" s="411" customFormat="1" ht="13.8" x14ac:dyDescent="0.3">
      <c r="A1191" s="404" t="s">
        <v>1137</v>
      </c>
      <c r="B1191" s="373"/>
      <c r="C1191" s="373"/>
      <c r="D1191" s="373"/>
      <c r="E1191" s="373"/>
      <c r="F1191" s="373"/>
      <c r="G1191" s="373"/>
      <c r="H1191" s="373"/>
      <c r="I1191" s="373"/>
      <c r="J1191" s="373"/>
      <c r="K1191" s="373"/>
      <c r="L1191" s="373"/>
      <c r="M1191" s="373"/>
      <c r="N1191" s="373"/>
      <c r="O1191" s="373"/>
      <c r="P1191" s="373"/>
      <c r="Q1191" s="409"/>
      <c r="R1191" s="410"/>
    </row>
    <row r="1192" spans="1:19" x14ac:dyDescent="0.25">
      <c r="A1192" s="315"/>
      <c r="C1192" s="348"/>
    </row>
    <row r="1193" spans="1:19" x14ac:dyDescent="0.25">
      <c r="A1193" s="352" t="s">
        <v>14</v>
      </c>
      <c r="B1193" s="353" t="s">
        <v>66</v>
      </c>
      <c r="C1193" s="405" t="s">
        <v>15</v>
      </c>
      <c r="D1193" s="339"/>
      <c r="E1193" s="339"/>
      <c r="F1193" s="339"/>
      <c r="G1193" s="339"/>
      <c r="H1193" s="339"/>
      <c r="I1193" s="339"/>
      <c r="J1193" s="339"/>
      <c r="K1193" s="339"/>
      <c r="L1193" s="339"/>
      <c r="M1193" s="339"/>
      <c r="N1193" s="339"/>
      <c r="O1193" s="339"/>
      <c r="P1193" s="339"/>
    </row>
    <row r="1194" spans="1:19" x14ac:dyDescent="0.25">
      <c r="A1194" s="360" t="s">
        <v>16</v>
      </c>
      <c r="B1194" s="359">
        <v>2009</v>
      </c>
      <c r="C1194" s="359">
        <v>2010</v>
      </c>
      <c r="D1194" s="359">
        <v>2011</v>
      </c>
      <c r="E1194" s="359">
        <v>2012</v>
      </c>
      <c r="F1194" s="359">
        <v>2013</v>
      </c>
      <c r="G1194" s="359">
        <v>2014</v>
      </c>
      <c r="H1194" s="359">
        <v>2015</v>
      </c>
      <c r="I1194" s="359">
        <v>2016</v>
      </c>
      <c r="J1194" s="359">
        <v>2017</v>
      </c>
      <c r="K1194" s="359">
        <v>2018</v>
      </c>
      <c r="L1194" s="359">
        <v>2019</v>
      </c>
      <c r="M1194" s="359">
        <v>2020</v>
      </c>
      <c r="N1194" s="359">
        <v>2021</v>
      </c>
      <c r="O1194" s="359">
        <v>2022</v>
      </c>
      <c r="P1194" s="359">
        <v>2023</v>
      </c>
      <c r="Q1194" s="359">
        <v>2024</v>
      </c>
      <c r="R1194" s="359">
        <v>2025</v>
      </c>
      <c r="S1194" s="359">
        <v>2026</v>
      </c>
    </row>
    <row r="1195" spans="1:19" x14ac:dyDescent="0.25">
      <c r="A1195" s="360" t="s">
        <v>17</v>
      </c>
      <c r="B1195" s="376">
        <v>25000</v>
      </c>
      <c r="C1195" s="376">
        <v>25000</v>
      </c>
      <c r="D1195" s="376">
        <v>23611</v>
      </c>
      <c r="E1195" s="376">
        <v>23611</v>
      </c>
      <c r="F1195" s="376">
        <v>23611</v>
      </c>
      <c r="G1195" s="376">
        <v>23611</v>
      </c>
      <c r="H1195" s="376">
        <v>23611</v>
      </c>
      <c r="I1195" s="376">
        <v>17696</v>
      </c>
      <c r="J1195" s="406">
        <v>17696</v>
      </c>
      <c r="K1195" s="406">
        <v>17696</v>
      </c>
      <c r="L1195" s="406">
        <v>17696</v>
      </c>
      <c r="M1195" s="406">
        <v>13979.84</v>
      </c>
      <c r="N1195" s="406">
        <v>13756.162560000001</v>
      </c>
      <c r="O1195" s="406">
        <v>13868.00128</v>
      </c>
      <c r="P1195" s="406">
        <v>13868.00128</v>
      </c>
      <c r="Q1195" s="406">
        <v>13868.00128</v>
      </c>
      <c r="R1195" s="406">
        <v>13865</v>
      </c>
      <c r="S1195" s="406">
        <v>13865.86</v>
      </c>
    </row>
    <row r="1196" spans="1:19" x14ac:dyDescent="0.25">
      <c r="A1196" s="360" t="s">
        <v>18</v>
      </c>
      <c r="B1196" s="376">
        <v>30500</v>
      </c>
      <c r="C1196" s="376">
        <v>29700</v>
      </c>
      <c r="D1196" s="376">
        <v>26894.3</v>
      </c>
      <c r="E1196" s="376">
        <v>27624.3</v>
      </c>
      <c r="F1196" s="376">
        <v>27624.3</v>
      </c>
      <c r="G1196" s="376">
        <v>27624.3</v>
      </c>
      <c r="H1196" s="376">
        <v>27624.3</v>
      </c>
      <c r="I1196" s="376">
        <v>20167.650000000001</v>
      </c>
      <c r="J1196" s="406">
        <v>19280.400000000001</v>
      </c>
      <c r="K1196" s="406">
        <v>15415.88</v>
      </c>
      <c r="L1196" s="406">
        <v>19280.400000000001</v>
      </c>
      <c r="M1196" s="406">
        <v>13079.84</v>
      </c>
      <c r="N1196" s="406">
        <f>N1195+0.1*L1195-600-300</f>
        <v>14625.762560000001</v>
      </c>
      <c r="O1196" s="406">
        <f>O1195+0.1*M1195-600-300</f>
        <v>14365.985280000001</v>
      </c>
      <c r="P1196" s="406">
        <f>P1195+0.1*N1195-600-300</f>
        <v>14343.617536000002</v>
      </c>
      <c r="Q1196" s="406">
        <f>Q1195+0.1*O1195-600-300</f>
        <v>14354.801408000001</v>
      </c>
      <c r="R1196" s="406">
        <f>R1195+P1199-350</f>
        <v>14499.017536000001</v>
      </c>
      <c r="S1196" s="406">
        <f>S1195+Q1199-350</f>
        <v>16834.661408</v>
      </c>
    </row>
    <row r="1197" spans="1:19" x14ac:dyDescent="0.25">
      <c r="A1197" s="360" t="s">
        <v>19</v>
      </c>
      <c r="B1197" s="376"/>
      <c r="C1197" s="376"/>
      <c r="D1197" s="376"/>
      <c r="E1197" s="376"/>
      <c r="F1197" s="376"/>
      <c r="G1197" s="376"/>
      <c r="H1197" s="376"/>
      <c r="I1197" s="376"/>
      <c r="J1197" s="376"/>
      <c r="K1197" s="376"/>
      <c r="L1197" s="376"/>
      <c r="M1197" s="376"/>
      <c r="N1197" s="376"/>
      <c r="O1197" s="376"/>
      <c r="P1197" s="376"/>
      <c r="Q1197" s="376"/>
      <c r="R1197" s="376"/>
      <c r="S1197" s="376"/>
    </row>
    <row r="1198" spans="1:19" x14ac:dyDescent="0.25">
      <c r="A1198" s="360" t="s">
        <v>20</v>
      </c>
      <c r="B1198" s="376">
        <v>13127.78969</v>
      </c>
      <c r="C1198" s="376">
        <v>12919.833529999998</v>
      </c>
      <c r="D1198" s="376">
        <v>11930</v>
      </c>
      <c r="E1198" s="376">
        <v>15971.9</v>
      </c>
      <c r="F1198" s="376">
        <v>14342</v>
      </c>
      <c r="G1198" s="376">
        <v>12595.2</v>
      </c>
      <c r="H1198" s="376">
        <v>10179.799999999999</v>
      </c>
      <c r="I1198" s="376">
        <v>11238</v>
      </c>
      <c r="J1198" s="376">
        <v>9872.2000000000007</v>
      </c>
      <c r="K1198" s="376">
        <v>9849.5910000000003</v>
      </c>
      <c r="L1198" s="376">
        <v>9933.1844890000011</v>
      </c>
      <c r="M1198" s="376">
        <v>9294.3000000000011</v>
      </c>
      <c r="N1198" s="376">
        <v>11226.4</v>
      </c>
      <c r="O1198" s="376">
        <v>12374.5</v>
      </c>
      <c r="P1198" s="376">
        <v>13359.6</v>
      </c>
      <c r="Q1198" s="376">
        <v>11036</v>
      </c>
      <c r="R1198" s="376"/>
      <c r="S1198" s="376"/>
    </row>
    <row r="1199" spans="1:19" x14ac:dyDescent="0.25">
      <c r="A1199" s="360" t="s">
        <v>21</v>
      </c>
      <c r="B1199" s="376">
        <v>17372.210310000002</v>
      </c>
      <c r="C1199" s="376">
        <v>16780.166470000004</v>
      </c>
      <c r="D1199" s="376">
        <v>14964.3</v>
      </c>
      <c r="E1199" s="376">
        <v>11652.4</v>
      </c>
      <c r="F1199" s="376">
        <v>13282.3</v>
      </c>
      <c r="G1199" s="376">
        <v>15029.099999999999</v>
      </c>
      <c r="H1199" s="376">
        <v>17444.5</v>
      </c>
      <c r="I1199" s="376">
        <v>8929.6500000000015</v>
      </c>
      <c r="J1199" s="376">
        <v>9408.2000000000007</v>
      </c>
      <c r="K1199" s="376">
        <v>5566.2889999999989</v>
      </c>
      <c r="L1199" s="376">
        <v>9347.2155110000003</v>
      </c>
      <c r="M1199" s="376">
        <f>M1196-M1198</f>
        <v>3785.5399999999991</v>
      </c>
      <c r="N1199" s="376">
        <f>N1196-N1198</f>
        <v>3399.3625600000014</v>
      </c>
      <c r="O1199" s="376">
        <f>O1196-O1198</f>
        <v>1991.4852800000008</v>
      </c>
      <c r="P1199" s="376">
        <f>P1196-P1198</f>
        <v>984.0175360000012</v>
      </c>
      <c r="Q1199" s="376">
        <f>Q1196-Q1198</f>
        <v>3318.8014080000012</v>
      </c>
      <c r="R1199" s="376"/>
      <c r="S1199" s="376"/>
    </row>
    <row r="1200" spans="1:19" x14ac:dyDescent="0.25">
      <c r="A1200" s="364" t="s">
        <v>22</v>
      </c>
      <c r="B1200" s="377"/>
      <c r="C1200" s="377"/>
      <c r="D1200" s="377"/>
      <c r="E1200" s="377"/>
      <c r="F1200" s="377"/>
      <c r="G1200" s="377"/>
      <c r="H1200" s="377"/>
      <c r="I1200" s="377"/>
      <c r="J1200" s="377">
        <v>2019</v>
      </c>
      <c r="K1200" s="377">
        <v>2020</v>
      </c>
      <c r="L1200" s="377">
        <v>2021</v>
      </c>
      <c r="M1200" s="377">
        <v>2022</v>
      </c>
      <c r="N1200" s="377">
        <v>2023</v>
      </c>
      <c r="O1200" s="377">
        <v>2024</v>
      </c>
      <c r="P1200" s="377">
        <v>2025</v>
      </c>
      <c r="Q1200" s="377">
        <v>2026</v>
      </c>
      <c r="R1200" s="377">
        <v>2027</v>
      </c>
      <c r="S1200" s="377">
        <v>2028</v>
      </c>
    </row>
    <row r="1201" spans="1:19" x14ac:dyDescent="0.25">
      <c r="A1201" s="366" t="s">
        <v>179</v>
      </c>
      <c r="B1201" s="368"/>
      <c r="C1201" s="368"/>
      <c r="D1201" s="368"/>
      <c r="E1201" s="368"/>
      <c r="F1201" s="368"/>
      <c r="G1201" s="368"/>
      <c r="H1201" s="368"/>
      <c r="I1201" s="368"/>
      <c r="J1201" s="368"/>
      <c r="K1201" s="368"/>
      <c r="L1201" s="368"/>
      <c r="M1201" s="368"/>
      <c r="N1201" s="368"/>
      <c r="O1201" s="368"/>
      <c r="P1201" s="368"/>
      <c r="Q1201" s="368"/>
      <c r="R1201" s="368"/>
      <c r="S1201" s="63"/>
    </row>
    <row r="1202" spans="1:19" x14ac:dyDescent="0.25">
      <c r="A1202" s="366" t="s">
        <v>196</v>
      </c>
      <c r="B1202" s="368"/>
      <c r="C1202" s="368"/>
      <c r="D1202" s="368"/>
      <c r="E1202" s="368"/>
      <c r="F1202" s="368"/>
      <c r="G1202" s="368"/>
      <c r="H1202" s="368"/>
      <c r="I1202" s="368"/>
      <c r="J1202" s="368"/>
      <c r="K1202" s="368"/>
      <c r="L1202" s="368"/>
      <c r="M1202" s="368"/>
      <c r="N1202" s="368"/>
      <c r="O1202" s="368"/>
      <c r="P1202" s="368"/>
      <c r="Q1202" s="368"/>
      <c r="R1202" s="368"/>
      <c r="S1202" s="63"/>
    </row>
    <row r="1203" spans="1:19" x14ac:dyDescent="0.25">
      <c r="A1203" s="369" t="s">
        <v>197</v>
      </c>
      <c r="B1203" s="339"/>
      <c r="C1203" s="339"/>
      <c r="D1203" s="339"/>
      <c r="E1203" s="339"/>
      <c r="F1203" s="339"/>
      <c r="G1203" s="339"/>
      <c r="H1203" s="339"/>
      <c r="I1203" s="339"/>
      <c r="J1203" s="339"/>
      <c r="K1203" s="339"/>
      <c r="L1203" s="339"/>
      <c r="M1203" s="339"/>
      <c r="N1203" s="339"/>
      <c r="O1203" s="339"/>
      <c r="P1203" s="339"/>
      <c r="Q1203" s="339"/>
      <c r="R1203" s="339"/>
      <c r="S1203" s="64"/>
    </row>
    <row r="1204" spans="1:19" x14ac:dyDescent="0.25">
      <c r="A1204" s="369" t="s">
        <v>235</v>
      </c>
      <c r="B1204" s="339"/>
      <c r="C1204" s="339"/>
      <c r="D1204" s="339"/>
      <c r="E1204" s="339"/>
      <c r="F1204" s="339"/>
      <c r="G1204" s="339"/>
      <c r="H1204" s="339"/>
      <c r="I1204" s="339"/>
      <c r="J1204" s="339"/>
      <c r="K1204" s="339"/>
      <c r="L1204" s="339"/>
      <c r="M1204" s="339"/>
      <c r="N1204" s="339"/>
      <c r="O1204" s="339"/>
      <c r="P1204" s="339"/>
      <c r="Q1204" s="339"/>
      <c r="R1204" s="339"/>
      <c r="S1204" s="64"/>
    </row>
    <row r="1205" spans="1:19" x14ac:dyDescent="0.25">
      <c r="A1205" s="369" t="s">
        <v>236</v>
      </c>
      <c r="B1205" s="370"/>
      <c r="C1205" s="372"/>
      <c r="D1205" s="371"/>
      <c r="E1205" s="339"/>
      <c r="F1205" s="339"/>
      <c r="G1205" s="372"/>
      <c r="H1205" s="339"/>
      <c r="I1205" s="339"/>
      <c r="J1205" s="339"/>
      <c r="K1205" s="339"/>
      <c r="L1205" s="339"/>
      <c r="M1205" s="339"/>
      <c r="N1205" s="339"/>
      <c r="O1205" s="339"/>
      <c r="P1205" s="339"/>
      <c r="Q1205" s="339"/>
      <c r="R1205" s="339"/>
      <c r="S1205" s="64"/>
    </row>
    <row r="1206" spans="1:19" x14ac:dyDescent="0.25">
      <c r="A1206" s="369" t="s">
        <v>237</v>
      </c>
      <c r="B1206" s="339"/>
      <c r="C1206" s="339"/>
      <c r="D1206" s="339"/>
      <c r="E1206" s="339"/>
      <c r="F1206" s="339"/>
      <c r="G1206" s="400"/>
      <c r="H1206" s="339"/>
      <c r="I1206" s="339"/>
      <c r="J1206" s="339"/>
      <c r="K1206" s="339"/>
      <c r="L1206" s="339"/>
      <c r="M1206" s="339"/>
      <c r="N1206" s="339"/>
      <c r="O1206" s="339"/>
      <c r="P1206" s="339"/>
      <c r="Q1206" s="339"/>
      <c r="R1206" s="339"/>
      <c r="S1206" s="64"/>
    </row>
    <row r="1207" spans="1:19" x14ac:dyDescent="0.25">
      <c r="A1207" s="369" t="s">
        <v>278</v>
      </c>
      <c r="B1207" s="339"/>
      <c r="C1207" s="339"/>
      <c r="D1207" s="339"/>
      <c r="E1207" s="339"/>
      <c r="F1207" s="339"/>
      <c r="G1207" s="339"/>
      <c r="H1207" s="339"/>
      <c r="I1207" s="339"/>
      <c r="J1207" s="339"/>
      <c r="K1207" s="339"/>
      <c r="L1207" s="339"/>
      <c r="M1207" s="339"/>
      <c r="N1207" s="339"/>
      <c r="O1207" s="339"/>
      <c r="P1207" s="339"/>
      <c r="Q1207" s="339"/>
      <c r="R1207" s="339"/>
      <c r="S1207" s="64"/>
    </row>
    <row r="1208" spans="1:19" x14ac:dyDescent="0.25">
      <c r="A1208" s="369" t="s">
        <v>238</v>
      </c>
      <c r="B1208" s="339"/>
      <c r="C1208" s="339"/>
      <c r="D1208" s="339"/>
      <c r="E1208" s="339"/>
      <c r="F1208" s="339"/>
      <c r="G1208" s="400"/>
      <c r="H1208" s="339"/>
      <c r="I1208" s="339"/>
      <c r="J1208" s="339"/>
      <c r="K1208" s="339"/>
      <c r="L1208" s="339"/>
      <c r="M1208" s="339"/>
      <c r="N1208" s="339"/>
      <c r="O1208" s="339"/>
      <c r="P1208" s="339"/>
      <c r="Q1208" s="339"/>
      <c r="R1208" s="339"/>
      <c r="S1208" s="64"/>
    </row>
    <row r="1209" spans="1:19" x14ac:dyDescent="0.25">
      <c r="A1209" s="369" t="s">
        <v>233</v>
      </c>
      <c r="B1209" s="339"/>
      <c r="C1209" s="339"/>
      <c r="D1209" s="339"/>
      <c r="E1209" s="339"/>
      <c r="F1209" s="339"/>
      <c r="G1209" s="400"/>
      <c r="H1209" s="339"/>
      <c r="I1209" s="339"/>
      <c r="J1209" s="339"/>
      <c r="K1209" s="339"/>
      <c r="L1209" s="339"/>
      <c r="M1209" s="339"/>
      <c r="N1209" s="339"/>
      <c r="O1209" s="339"/>
      <c r="P1209" s="339"/>
      <c r="Q1209" s="339"/>
      <c r="R1209" s="339"/>
      <c r="S1209" s="64"/>
    </row>
    <row r="1210" spans="1:19" x14ac:dyDescent="0.25">
      <c r="A1210" s="384" t="s">
        <v>234</v>
      </c>
      <c r="B1210" s="339"/>
      <c r="C1210" s="339"/>
      <c r="D1210" s="339"/>
      <c r="E1210" s="339"/>
      <c r="F1210" s="339"/>
      <c r="G1210" s="339"/>
      <c r="H1210" s="339"/>
      <c r="I1210" s="339"/>
      <c r="J1210" s="339"/>
      <c r="K1210" s="339"/>
      <c r="L1210" s="339"/>
      <c r="M1210" s="339"/>
      <c r="N1210" s="339"/>
      <c r="O1210" s="339"/>
      <c r="P1210" s="339"/>
      <c r="Q1210" s="339"/>
      <c r="R1210" s="339"/>
      <c r="S1210" s="64"/>
    </row>
    <row r="1211" spans="1:19" x14ac:dyDescent="0.25">
      <c r="A1211" s="384" t="s">
        <v>211</v>
      </c>
      <c r="B1211" s="339"/>
      <c r="C1211" s="339"/>
      <c r="D1211" s="339"/>
      <c r="E1211" s="339"/>
      <c r="F1211" s="339"/>
      <c r="G1211" s="339"/>
      <c r="H1211" s="339"/>
      <c r="I1211" s="339"/>
      <c r="J1211" s="339"/>
      <c r="K1211" s="339"/>
      <c r="L1211" s="339"/>
      <c r="M1211" s="339"/>
      <c r="N1211" s="339"/>
      <c r="O1211" s="339"/>
      <c r="P1211" s="339"/>
      <c r="Q1211" s="339"/>
      <c r="R1211" s="339"/>
      <c r="S1211" s="64"/>
    </row>
    <row r="1212" spans="1:19" x14ac:dyDescent="0.25">
      <c r="A1212" s="384" t="s">
        <v>277</v>
      </c>
      <c r="B1212" s="339"/>
      <c r="C1212" s="339"/>
      <c r="D1212" s="339"/>
      <c r="E1212" s="339"/>
      <c r="F1212" s="339"/>
      <c r="G1212" s="339"/>
      <c r="H1212" s="339"/>
      <c r="I1212" s="339"/>
      <c r="J1212" s="339"/>
      <c r="K1212" s="339"/>
      <c r="L1212" s="339"/>
      <c r="M1212" s="339"/>
      <c r="N1212" s="339"/>
      <c r="O1212" s="339"/>
      <c r="P1212" s="339"/>
      <c r="Q1212" s="339"/>
      <c r="R1212" s="339"/>
      <c r="S1212" s="64"/>
    </row>
    <row r="1213" spans="1:19" ht="13.2" customHeight="1" x14ac:dyDescent="0.25">
      <c r="A1213" s="384" t="s">
        <v>375</v>
      </c>
      <c r="B1213" s="339"/>
      <c r="C1213" s="339"/>
      <c r="D1213" s="339"/>
      <c r="E1213" s="339"/>
      <c r="F1213" s="339"/>
      <c r="G1213" s="339"/>
      <c r="H1213" s="339"/>
      <c r="I1213" s="339"/>
      <c r="J1213" s="339"/>
      <c r="K1213" s="339"/>
      <c r="L1213" s="339"/>
      <c r="M1213" s="339"/>
      <c r="N1213" s="339"/>
      <c r="O1213" s="339"/>
      <c r="P1213" s="339"/>
      <c r="Q1213" s="339"/>
      <c r="R1213" s="339"/>
      <c r="S1213" s="64"/>
    </row>
    <row r="1214" spans="1:19" ht="13.2" customHeight="1" x14ac:dyDescent="0.25">
      <c r="A1214" s="384" t="s">
        <v>570</v>
      </c>
      <c r="B1214" s="339"/>
      <c r="C1214" s="339"/>
      <c r="D1214" s="339"/>
      <c r="E1214" s="339"/>
      <c r="F1214" s="339"/>
      <c r="G1214" s="339"/>
      <c r="H1214" s="339"/>
      <c r="I1214" s="339"/>
      <c r="J1214" s="339"/>
      <c r="K1214" s="339"/>
      <c r="L1214" s="339"/>
      <c r="M1214" s="339"/>
      <c r="N1214" s="339"/>
      <c r="O1214" s="339"/>
      <c r="P1214" s="339"/>
      <c r="Q1214" s="339"/>
      <c r="R1214" s="339"/>
      <c r="S1214" s="64"/>
    </row>
    <row r="1215" spans="1:19" ht="13.2" customHeight="1" x14ac:dyDescent="0.25">
      <c r="A1215" s="384" t="s">
        <v>647</v>
      </c>
      <c r="B1215" s="339"/>
      <c r="C1215" s="339"/>
      <c r="D1215" s="339"/>
      <c r="E1215" s="339"/>
      <c r="F1215" s="339"/>
      <c r="G1215" s="339"/>
      <c r="H1215" s="339"/>
      <c r="I1215" s="339"/>
      <c r="J1215" s="339"/>
      <c r="K1215" s="339"/>
      <c r="L1215" s="339"/>
      <c r="M1215" s="339"/>
      <c r="N1215" s="339"/>
      <c r="O1215" s="339"/>
      <c r="P1215" s="339"/>
      <c r="Q1215" s="339"/>
      <c r="R1215" s="339"/>
      <c r="S1215" s="64"/>
    </row>
    <row r="1216" spans="1:19" ht="13.2" customHeight="1" x14ac:dyDescent="0.25">
      <c r="A1216" s="384" t="s">
        <v>591</v>
      </c>
      <c r="B1216" s="339"/>
      <c r="C1216" s="339"/>
      <c r="D1216" s="339"/>
      <c r="E1216" s="339"/>
      <c r="F1216" s="339"/>
      <c r="G1216" s="339"/>
      <c r="H1216" s="339"/>
      <c r="I1216" s="339"/>
      <c r="J1216" s="339"/>
      <c r="K1216" s="339"/>
      <c r="L1216" s="339"/>
      <c r="M1216" s="339"/>
      <c r="N1216" s="339"/>
      <c r="O1216" s="339"/>
      <c r="P1216" s="339"/>
      <c r="Q1216" s="339"/>
      <c r="R1216" s="339"/>
      <c r="S1216" s="64"/>
    </row>
    <row r="1217" spans="1:19" ht="13.2" customHeight="1" x14ac:dyDescent="0.25">
      <c r="A1217" s="384" t="s">
        <v>709</v>
      </c>
      <c r="B1217" s="339"/>
      <c r="C1217" s="339"/>
      <c r="D1217" s="339"/>
      <c r="E1217" s="339"/>
      <c r="F1217" s="339"/>
      <c r="G1217" s="339"/>
      <c r="H1217" s="339"/>
      <c r="I1217" s="339"/>
      <c r="J1217" s="339"/>
      <c r="K1217" s="339"/>
      <c r="L1217" s="339"/>
      <c r="M1217" s="339"/>
      <c r="N1217" s="339"/>
      <c r="O1217" s="339"/>
      <c r="P1217" s="339"/>
      <c r="Q1217" s="339"/>
      <c r="R1217" s="339"/>
      <c r="S1217" s="64"/>
    </row>
    <row r="1218" spans="1:19" ht="13.2" customHeight="1" x14ac:dyDescent="0.25">
      <c r="A1218" s="384" t="s">
        <v>811</v>
      </c>
      <c r="B1218" s="339"/>
      <c r="C1218" s="339"/>
      <c r="D1218" s="339"/>
      <c r="E1218" s="339"/>
      <c r="F1218" s="339"/>
      <c r="G1218" s="339"/>
      <c r="H1218" s="339"/>
      <c r="I1218" s="339"/>
      <c r="J1218" s="339"/>
      <c r="K1218" s="339"/>
      <c r="L1218" s="339"/>
      <c r="M1218" s="339"/>
      <c r="N1218" s="339"/>
      <c r="O1218" s="339"/>
      <c r="P1218" s="339"/>
      <c r="Q1218" s="339"/>
      <c r="R1218" s="339"/>
      <c r="S1218" s="64"/>
    </row>
    <row r="1219" spans="1:19" ht="13.2" customHeight="1" x14ac:dyDescent="0.25">
      <c r="A1219" s="399" t="s">
        <v>1040</v>
      </c>
      <c r="B1219" s="370"/>
      <c r="C1219" s="370"/>
      <c r="D1219" s="370"/>
      <c r="E1219" s="370"/>
      <c r="F1219" s="370"/>
      <c r="G1219" s="370"/>
      <c r="H1219" s="370"/>
      <c r="I1219" s="370"/>
      <c r="J1219" s="370"/>
      <c r="K1219" s="370"/>
      <c r="L1219" s="370"/>
      <c r="M1219" s="370"/>
      <c r="N1219" s="370"/>
      <c r="O1219" s="370"/>
      <c r="P1219" s="370"/>
      <c r="Q1219" s="370"/>
      <c r="R1219" s="370"/>
      <c r="S1219" s="64"/>
    </row>
    <row r="1220" spans="1:19" ht="13.2" customHeight="1" x14ac:dyDescent="0.25">
      <c r="A1220" s="418" t="s">
        <v>1225</v>
      </c>
      <c r="B1220" s="370"/>
      <c r="C1220" s="370"/>
      <c r="D1220" s="370"/>
      <c r="E1220" s="370"/>
      <c r="F1220" s="370"/>
      <c r="G1220" s="370"/>
      <c r="H1220" s="370"/>
      <c r="I1220" s="370"/>
      <c r="J1220" s="370"/>
      <c r="K1220" s="370"/>
      <c r="L1220" s="370"/>
      <c r="M1220" s="370"/>
      <c r="N1220" s="370"/>
      <c r="O1220" s="370"/>
      <c r="P1220" s="370"/>
      <c r="Q1220" s="370"/>
      <c r="R1220" s="370"/>
      <c r="S1220" s="64"/>
    </row>
    <row r="1221" spans="1:19" ht="13.2" customHeight="1" x14ac:dyDescent="0.25">
      <c r="A1221" s="418" t="s">
        <v>1248</v>
      </c>
      <c r="B1221" s="419"/>
      <c r="C1221" s="419"/>
      <c r="D1221" s="419"/>
      <c r="E1221" s="419"/>
      <c r="F1221" s="419"/>
      <c r="G1221" s="419"/>
      <c r="H1221" s="419"/>
      <c r="I1221" s="419"/>
      <c r="J1221" s="419"/>
      <c r="K1221" s="419"/>
      <c r="L1221" s="419"/>
      <c r="M1221" s="419"/>
      <c r="N1221" s="419"/>
      <c r="O1221" s="419"/>
      <c r="P1221" s="419"/>
      <c r="Q1221" s="419"/>
      <c r="R1221" s="419"/>
      <c r="S1221" s="48"/>
    </row>
    <row r="1222" spans="1:19" x14ac:dyDescent="0.25">
      <c r="A1222" s="315"/>
      <c r="C1222" s="348"/>
    </row>
    <row r="1223" spans="1:19" x14ac:dyDescent="0.25">
      <c r="A1223" s="412" t="s">
        <v>14</v>
      </c>
      <c r="B1223" s="353" t="s">
        <v>74</v>
      </c>
      <c r="C1223" s="405" t="s">
        <v>15</v>
      </c>
      <c r="D1223" s="339"/>
      <c r="E1223" s="339"/>
      <c r="F1223" s="339"/>
      <c r="G1223" s="339"/>
      <c r="H1223" s="339"/>
      <c r="I1223" s="339"/>
      <c r="J1223" s="339"/>
      <c r="K1223" s="339"/>
      <c r="L1223" s="339"/>
      <c r="M1223" s="339"/>
      <c r="N1223" s="339"/>
    </row>
    <row r="1224" spans="1:19" x14ac:dyDescent="0.25">
      <c r="A1224" s="413" t="s">
        <v>16</v>
      </c>
      <c r="B1224" s="414">
        <v>2008</v>
      </c>
      <c r="C1224" s="415">
        <v>2009</v>
      </c>
      <c r="D1224" s="415">
        <v>2010</v>
      </c>
      <c r="E1224" s="415">
        <v>2011</v>
      </c>
      <c r="F1224" s="414">
        <v>2012</v>
      </c>
      <c r="G1224" s="414">
        <v>2013</v>
      </c>
      <c r="H1224" s="414">
        <v>2014</v>
      </c>
      <c r="I1224" s="414">
        <v>2015</v>
      </c>
      <c r="J1224" s="414">
        <v>2016</v>
      </c>
      <c r="K1224" s="414">
        <v>2017</v>
      </c>
      <c r="L1224" s="414">
        <v>2018</v>
      </c>
      <c r="M1224" s="414">
        <v>2019</v>
      </c>
      <c r="N1224" s="414">
        <v>2020</v>
      </c>
      <c r="O1224" s="414">
        <v>2021</v>
      </c>
      <c r="P1224" s="154">
        <v>2022</v>
      </c>
      <c r="Q1224" s="154">
        <v>2023</v>
      </c>
      <c r="R1224" s="154">
        <v>2024</v>
      </c>
      <c r="S1224" s="154">
        <v>2025</v>
      </c>
    </row>
    <row r="1225" spans="1:19" x14ac:dyDescent="0.25">
      <c r="A1225" s="357" t="s">
        <v>17</v>
      </c>
      <c r="B1225" s="376">
        <v>839.5</v>
      </c>
      <c r="C1225" s="376">
        <v>839.5</v>
      </c>
      <c r="D1225" s="376">
        <v>839.5</v>
      </c>
      <c r="E1225" s="376">
        <v>839.5</v>
      </c>
      <c r="F1225" s="417">
        <v>503.7</v>
      </c>
      <c r="G1225" s="417">
        <v>390</v>
      </c>
      <c r="H1225" s="417">
        <v>390</v>
      </c>
      <c r="I1225" s="417">
        <v>390</v>
      </c>
      <c r="J1225" s="417">
        <v>390</v>
      </c>
      <c r="K1225" s="417">
        <v>390</v>
      </c>
      <c r="L1225" s="417">
        <v>390</v>
      </c>
      <c r="M1225" s="417">
        <v>390</v>
      </c>
      <c r="N1225" s="417">
        <v>328.1</v>
      </c>
      <c r="O1225" s="417">
        <v>328.1</v>
      </c>
      <c r="P1225" s="12">
        <v>328.1</v>
      </c>
      <c r="Q1225" s="12">
        <v>328.1</v>
      </c>
      <c r="R1225" s="12">
        <v>328.1</v>
      </c>
      <c r="S1225" s="12">
        <v>328.1</v>
      </c>
    </row>
    <row r="1226" spans="1:19" x14ac:dyDescent="0.25">
      <c r="A1226" s="360" t="s">
        <v>18</v>
      </c>
      <c r="B1226" s="376">
        <v>839.5</v>
      </c>
      <c r="C1226" s="376">
        <v>839.5</v>
      </c>
      <c r="D1226" s="376">
        <v>839.5</v>
      </c>
      <c r="E1226" s="376">
        <v>839.5</v>
      </c>
      <c r="F1226" s="376">
        <v>503.7</v>
      </c>
      <c r="G1226" s="417">
        <v>390</v>
      </c>
      <c r="H1226" s="417">
        <v>390</v>
      </c>
      <c r="I1226" s="417">
        <v>429</v>
      </c>
      <c r="J1226" s="417">
        <v>429</v>
      </c>
      <c r="K1226" s="417">
        <v>429</v>
      </c>
      <c r="L1226" s="417">
        <v>406.6</v>
      </c>
      <c r="M1226" s="417">
        <v>429</v>
      </c>
      <c r="N1226" s="417">
        <v>367.1</v>
      </c>
      <c r="O1226" s="417">
        <v>367.1</v>
      </c>
      <c r="P1226" s="12"/>
      <c r="Q1226" s="12"/>
      <c r="R1226" s="12">
        <f>R1225+P1229</f>
        <v>285.10000000000002</v>
      </c>
      <c r="S1226" s="12">
        <v>328.1</v>
      </c>
    </row>
    <row r="1227" spans="1:19" x14ac:dyDescent="0.25">
      <c r="A1227" s="360" t="s">
        <v>19</v>
      </c>
      <c r="B1227" s="376"/>
      <c r="C1227" s="420"/>
      <c r="D1227" s="376"/>
      <c r="E1227" s="417"/>
      <c r="F1227" s="417"/>
      <c r="G1227" s="417"/>
      <c r="H1227" s="417"/>
      <c r="I1227" s="417"/>
      <c r="J1227" s="417"/>
      <c r="K1227" s="417"/>
      <c r="L1227" s="417"/>
      <c r="M1227" s="417"/>
      <c r="N1227" s="417"/>
      <c r="O1227" s="417"/>
      <c r="P1227" s="12"/>
      <c r="Q1227" s="12"/>
      <c r="R1227" s="12"/>
      <c r="S1227" s="12"/>
    </row>
    <row r="1228" spans="1:19" x14ac:dyDescent="0.25">
      <c r="A1228" s="360" t="s">
        <v>20</v>
      </c>
      <c r="B1228" s="376">
        <v>704.14</v>
      </c>
      <c r="C1228" s="376">
        <v>553.45920000000001</v>
      </c>
      <c r="D1228" s="376">
        <v>425.98559999999998</v>
      </c>
      <c r="E1228" s="376">
        <v>478</v>
      </c>
      <c r="F1228" s="417">
        <v>305.5</v>
      </c>
      <c r="G1228" s="417">
        <v>231.5</v>
      </c>
      <c r="H1228" s="417">
        <v>288.8</v>
      </c>
      <c r="I1228" s="417">
        <v>261.5</v>
      </c>
      <c r="J1228" s="417">
        <v>412.4</v>
      </c>
      <c r="K1228" s="417">
        <v>308.10000000000002</v>
      </c>
      <c r="L1228" s="417">
        <v>352.2</v>
      </c>
      <c r="M1228" s="417">
        <v>336.88949500000001</v>
      </c>
      <c r="N1228" s="417">
        <v>285.10000000000002</v>
      </c>
      <c r="O1228" s="417">
        <v>289.39999999999998</v>
      </c>
      <c r="P1228" s="12">
        <v>371.1</v>
      </c>
      <c r="Q1228" s="12">
        <v>303.8</v>
      </c>
      <c r="R1228" s="12">
        <v>246.4</v>
      </c>
      <c r="S1228" s="12"/>
    </row>
    <row r="1229" spans="1:19" x14ac:dyDescent="0.25">
      <c r="A1229" s="360" t="s">
        <v>21</v>
      </c>
      <c r="B1229" s="376">
        <v>135.36000000000001</v>
      </c>
      <c r="C1229" s="376">
        <v>286.04079999999999</v>
      </c>
      <c r="D1229" s="376">
        <v>413.51440000000002</v>
      </c>
      <c r="E1229" s="376">
        <v>361.5</v>
      </c>
      <c r="F1229" s="376">
        <v>198.2</v>
      </c>
      <c r="G1229" s="417">
        <v>158.5</v>
      </c>
      <c r="H1229" s="417">
        <v>101.19999999999999</v>
      </c>
      <c r="I1229" s="417">
        <v>167.5</v>
      </c>
      <c r="J1229" s="417">
        <v>16.600000000000023</v>
      </c>
      <c r="K1229" s="417">
        <v>120.89999999999998</v>
      </c>
      <c r="L1229" s="417">
        <v>54.400000000000034</v>
      </c>
      <c r="M1229" s="417">
        <v>92.110504999999989</v>
      </c>
      <c r="N1229" s="417">
        <f>N1226-N1228</f>
        <v>82</v>
      </c>
      <c r="O1229" s="417">
        <f>O1226-O1228</f>
        <v>77.700000000000045</v>
      </c>
      <c r="P1229" s="12">
        <f>P1225-P1228</f>
        <v>-43</v>
      </c>
      <c r="Q1229" s="12">
        <f>Q1225-Q1228</f>
        <v>24.300000000000011</v>
      </c>
      <c r="R1229" s="12">
        <f>R1226-R1228</f>
        <v>38.700000000000017</v>
      </c>
      <c r="S1229" s="12"/>
    </row>
    <row r="1230" spans="1:19" x14ac:dyDescent="0.25">
      <c r="A1230" s="364" t="s">
        <v>22</v>
      </c>
      <c r="B1230" s="377"/>
      <c r="C1230" s="402"/>
      <c r="D1230" s="377"/>
      <c r="E1230" s="403"/>
      <c r="F1230" s="403"/>
      <c r="G1230" s="403"/>
      <c r="H1230" s="403"/>
      <c r="I1230" s="403"/>
      <c r="J1230" s="403"/>
      <c r="K1230" s="403"/>
      <c r="L1230" s="403"/>
      <c r="M1230" s="421"/>
      <c r="N1230" s="421"/>
      <c r="O1230" s="421"/>
      <c r="P1230" s="17"/>
      <c r="Q1230" s="17"/>
      <c r="R1230" s="17"/>
      <c r="S1230" s="17"/>
    </row>
    <row r="1231" spans="1:19" x14ac:dyDescent="0.25">
      <c r="A1231" s="360" t="s">
        <v>179</v>
      </c>
      <c r="B1231" s="422"/>
      <c r="C1231" s="422"/>
      <c r="D1231" s="422"/>
      <c r="E1231" s="422"/>
      <c r="F1231" s="422"/>
      <c r="G1231" s="422"/>
      <c r="H1231" s="422"/>
      <c r="I1231" s="422"/>
      <c r="J1231" s="422"/>
      <c r="K1231" s="422"/>
      <c r="L1231" s="422"/>
      <c r="M1231" s="422"/>
      <c r="N1231" s="422"/>
      <c r="O1231" s="422"/>
      <c r="P1231" s="36"/>
      <c r="Q1231" s="36"/>
      <c r="R1231" s="36"/>
      <c r="S1231" s="37"/>
    </row>
    <row r="1232" spans="1:19" x14ac:dyDescent="0.25">
      <c r="A1232" s="369" t="s">
        <v>198</v>
      </c>
      <c r="B1232" s="339"/>
      <c r="C1232" s="339"/>
      <c r="D1232" s="339"/>
      <c r="E1232" s="339"/>
      <c r="F1232" s="339"/>
      <c r="G1232" s="339"/>
      <c r="H1232" s="339"/>
      <c r="I1232" s="339"/>
      <c r="J1232" s="339"/>
      <c r="K1232" s="339"/>
      <c r="L1232" s="339"/>
      <c r="M1232" s="339"/>
      <c r="N1232" s="339"/>
      <c r="O1232" s="339"/>
      <c r="S1232" s="64"/>
    </row>
    <row r="1233" spans="1:19" x14ac:dyDescent="0.25">
      <c r="A1233" s="369" t="s">
        <v>199</v>
      </c>
      <c r="B1233" s="339"/>
      <c r="C1233" s="339"/>
      <c r="D1233" s="339"/>
      <c r="E1233" s="339"/>
      <c r="F1233" s="339"/>
      <c r="G1233" s="339"/>
      <c r="H1233" s="339"/>
      <c r="I1233" s="339"/>
      <c r="J1233" s="339"/>
      <c r="K1233" s="339"/>
      <c r="L1233" s="339"/>
      <c r="M1233" s="339"/>
      <c r="N1233" s="339"/>
      <c r="O1233" s="339"/>
      <c r="S1233" s="64"/>
    </row>
    <row r="1234" spans="1:19" x14ac:dyDescent="0.25">
      <c r="A1234" s="369" t="s">
        <v>239</v>
      </c>
      <c r="B1234" s="339"/>
      <c r="C1234" s="339"/>
      <c r="D1234" s="339"/>
      <c r="E1234" s="339"/>
      <c r="F1234" s="339"/>
      <c r="G1234" s="339"/>
      <c r="H1234" s="339"/>
      <c r="I1234" s="339"/>
      <c r="J1234" s="339"/>
      <c r="K1234" s="339"/>
      <c r="L1234" s="339"/>
      <c r="M1234" s="339"/>
      <c r="N1234" s="339"/>
      <c r="O1234" s="339"/>
      <c r="S1234" s="64"/>
    </row>
    <row r="1235" spans="1:19" x14ac:dyDescent="0.25">
      <c r="A1235" s="369" t="s">
        <v>240</v>
      </c>
      <c r="B1235" s="339"/>
      <c r="C1235" s="339"/>
      <c r="D1235" s="339"/>
      <c r="E1235" s="339"/>
      <c r="F1235" s="339"/>
      <c r="G1235" s="339"/>
      <c r="H1235" s="372"/>
      <c r="I1235" s="339"/>
      <c r="J1235" s="339"/>
      <c r="K1235" s="339"/>
      <c r="L1235" s="339"/>
      <c r="M1235" s="339"/>
      <c r="N1235" s="339"/>
      <c r="O1235" s="339"/>
      <c r="S1235" s="64"/>
    </row>
    <row r="1236" spans="1:19" x14ac:dyDescent="0.25">
      <c r="A1236" s="369" t="s">
        <v>279</v>
      </c>
      <c r="B1236" s="339"/>
      <c r="C1236" s="339"/>
      <c r="D1236" s="339"/>
      <c r="E1236" s="339"/>
      <c r="F1236" s="339"/>
      <c r="G1236" s="339"/>
      <c r="H1236" s="372"/>
      <c r="I1236" s="339"/>
      <c r="J1236" s="339"/>
      <c r="K1236" s="339"/>
      <c r="L1236" s="339"/>
      <c r="M1236" s="339"/>
      <c r="N1236" s="339"/>
      <c r="O1236" s="339"/>
      <c r="S1236" s="64"/>
    </row>
    <row r="1237" spans="1:19" x14ac:dyDescent="0.25">
      <c r="A1237" s="369" t="s">
        <v>280</v>
      </c>
      <c r="B1237" s="339"/>
      <c r="C1237" s="339"/>
      <c r="D1237" s="339"/>
      <c r="E1237" s="339"/>
      <c r="F1237" s="339"/>
      <c r="G1237" s="339"/>
      <c r="H1237" s="372"/>
      <c r="I1237" s="339"/>
      <c r="J1237" s="339"/>
      <c r="K1237" s="339"/>
      <c r="L1237" s="339"/>
      <c r="M1237" s="339"/>
      <c r="N1237" s="339"/>
      <c r="O1237" s="339"/>
      <c r="S1237" s="64"/>
    </row>
    <row r="1238" spans="1:19" x14ac:dyDescent="0.25">
      <c r="A1238" s="369" t="s">
        <v>281</v>
      </c>
      <c r="B1238" s="339"/>
      <c r="C1238" s="339"/>
      <c r="D1238" s="339"/>
      <c r="E1238" s="339"/>
      <c r="F1238" s="339"/>
      <c r="G1238" s="339"/>
      <c r="H1238" s="372"/>
      <c r="I1238" s="339"/>
      <c r="J1238" s="339"/>
      <c r="K1238" s="339"/>
      <c r="L1238" s="339"/>
      <c r="M1238" s="339"/>
      <c r="N1238" s="339"/>
      <c r="O1238" s="339"/>
      <c r="S1238" s="64"/>
    </row>
    <row r="1239" spans="1:19" x14ac:dyDescent="0.25">
      <c r="A1239" s="369" t="s">
        <v>465</v>
      </c>
      <c r="B1239" s="339"/>
      <c r="C1239" s="339"/>
      <c r="D1239" s="339"/>
      <c r="E1239" s="339"/>
      <c r="F1239" s="339"/>
      <c r="G1239" s="339"/>
      <c r="H1239" s="372"/>
      <c r="I1239" s="339"/>
      <c r="J1239" s="339"/>
      <c r="K1239" s="339"/>
      <c r="L1239" s="339"/>
      <c r="M1239" s="339"/>
      <c r="N1239" s="339"/>
      <c r="O1239" s="339"/>
      <c r="S1239" s="64"/>
    </row>
    <row r="1240" spans="1:19" x14ac:dyDescent="0.25">
      <c r="A1240" s="369" t="s">
        <v>648</v>
      </c>
      <c r="B1240" s="339"/>
      <c r="C1240" s="339"/>
      <c r="D1240" s="339"/>
      <c r="E1240" s="339"/>
      <c r="F1240" s="339"/>
      <c r="G1240" s="339"/>
      <c r="H1240" s="372"/>
      <c r="I1240" s="339"/>
      <c r="J1240" s="339"/>
      <c r="K1240" s="339"/>
      <c r="L1240" s="339"/>
      <c r="M1240" s="339"/>
      <c r="N1240" s="339"/>
      <c r="O1240" s="339"/>
      <c r="S1240" s="64"/>
    </row>
    <row r="1241" spans="1:19" x14ac:dyDescent="0.25">
      <c r="A1241" s="369" t="s">
        <v>812</v>
      </c>
      <c r="B1241" s="339"/>
      <c r="C1241" s="339"/>
      <c r="D1241" s="339"/>
      <c r="E1241" s="339"/>
      <c r="F1241" s="339"/>
      <c r="G1241" s="339"/>
      <c r="H1241" s="372"/>
      <c r="I1241" s="339"/>
      <c r="J1241" s="339"/>
      <c r="K1241" s="339"/>
      <c r="L1241" s="339"/>
      <c r="M1241" s="339"/>
      <c r="N1241" s="339"/>
      <c r="O1241" s="339"/>
      <c r="S1241" s="64"/>
    </row>
    <row r="1242" spans="1:19" x14ac:dyDescent="0.25">
      <c r="A1242" s="369" t="s">
        <v>886</v>
      </c>
      <c r="B1242" s="339"/>
      <c r="C1242" s="339"/>
      <c r="D1242" s="339"/>
      <c r="E1242" s="339"/>
      <c r="F1242" s="339"/>
      <c r="G1242" s="339"/>
      <c r="H1242" s="372"/>
      <c r="I1242" s="339"/>
      <c r="J1242" s="339"/>
      <c r="K1242" s="339"/>
      <c r="L1242" s="339"/>
      <c r="M1242" s="339"/>
      <c r="N1242" s="339"/>
      <c r="O1242" s="339"/>
      <c r="S1242" s="64"/>
    </row>
    <row r="1243" spans="1:19" x14ac:dyDescent="0.25">
      <c r="A1243" s="423" t="s">
        <v>1182</v>
      </c>
      <c r="B1243" s="373"/>
      <c r="C1243" s="373"/>
      <c r="D1243" s="373"/>
      <c r="E1243" s="373"/>
      <c r="F1243" s="373"/>
      <c r="G1243" s="373"/>
      <c r="H1243" s="424"/>
      <c r="I1243" s="373"/>
      <c r="J1243" s="373"/>
      <c r="K1243" s="373"/>
      <c r="L1243" s="373"/>
      <c r="M1243" s="373"/>
      <c r="N1243" s="373"/>
      <c r="O1243" s="373"/>
      <c r="P1243" s="34"/>
      <c r="Q1243" s="34"/>
      <c r="R1243" s="34"/>
      <c r="S1243" s="48"/>
    </row>
    <row r="1244" spans="1:19" x14ac:dyDescent="0.25">
      <c r="A1244" s="315"/>
      <c r="C1244" s="348"/>
    </row>
    <row r="1245" spans="1:19" x14ac:dyDescent="0.25">
      <c r="A1245" s="352" t="s">
        <v>14</v>
      </c>
      <c r="B1245" s="353" t="s">
        <v>79</v>
      </c>
      <c r="C1245" s="405" t="s">
        <v>15</v>
      </c>
      <c r="D1245" s="339"/>
      <c r="E1245" s="339"/>
      <c r="F1245" s="339"/>
      <c r="G1245" s="339"/>
      <c r="H1245" s="339"/>
      <c r="I1245" s="339"/>
      <c r="J1245" s="339"/>
      <c r="K1245" s="339"/>
      <c r="L1245" s="339"/>
      <c r="M1245" s="339"/>
      <c r="N1245" s="339"/>
    </row>
    <row r="1246" spans="1:19" x14ac:dyDescent="0.25">
      <c r="A1246" s="360" t="s">
        <v>16</v>
      </c>
      <c r="B1246" s="359">
        <v>2008</v>
      </c>
      <c r="C1246" s="359">
        <v>2009</v>
      </c>
      <c r="D1246" s="359">
        <v>2010</v>
      </c>
      <c r="E1246" s="359">
        <v>2011</v>
      </c>
      <c r="F1246" s="359">
        <v>2012</v>
      </c>
      <c r="G1246" s="359">
        <v>2013</v>
      </c>
      <c r="H1246" s="359">
        <v>2014</v>
      </c>
      <c r="I1246" s="359">
        <v>2015</v>
      </c>
      <c r="J1246" s="359">
        <v>2016</v>
      </c>
      <c r="K1246" s="359">
        <v>2017</v>
      </c>
      <c r="L1246" s="359">
        <v>2018</v>
      </c>
      <c r="M1246" s="359">
        <v>2019</v>
      </c>
      <c r="N1246" s="359">
        <v>2020</v>
      </c>
      <c r="O1246" s="359">
        <v>2021</v>
      </c>
      <c r="P1246" s="154">
        <v>2022</v>
      </c>
      <c r="Q1246" s="154">
        <v>2023</v>
      </c>
      <c r="R1246" s="154">
        <v>2024</v>
      </c>
      <c r="S1246" s="154">
        <v>2025</v>
      </c>
    </row>
    <row r="1247" spans="1:19" x14ac:dyDescent="0.25">
      <c r="A1247" s="360" t="s">
        <v>17</v>
      </c>
      <c r="B1247" s="376">
        <v>37</v>
      </c>
      <c r="C1247" s="376">
        <v>37</v>
      </c>
      <c r="D1247" s="376">
        <v>37</v>
      </c>
      <c r="E1247" s="376">
        <v>37</v>
      </c>
      <c r="F1247" s="376">
        <v>33.6</v>
      </c>
      <c r="G1247" s="376">
        <v>35</v>
      </c>
      <c r="H1247" s="376">
        <v>35</v>
      </c>
      <c r="I1247" s="376">
        <v>35</v>
      </c>
      <c r="J1247" s="376">
        <v>35</v>
      </c>
      <c r="K1247" s="376">
        <v>35</v>
      </c>
      <c r="L1247" s="376">
        <v>35</v>
      </c>
      <c r="M1247" s="376">
        <v>35</v>
      </c>
      <c r="N1247" s="376">
        <v>35</v>
      </c>
      <c r="O1247" s="376">
        <v>35</v>
      </c>
      <c r="P1247" s="12">
        <v>35</v>
      </c>
      <c r="Q1247" s="12">
        <v>35</v>
      </c>
      <c r="R1247" s="12">
        <v>35</v>
      </c>
      <c r="S1247" s="12">
        <v>35</v>
      </c>
    </row>
    <row r="1248" spans="1:19" x14ac:dyDescent="0.25">
      <c r="A1248" s="360" t="s">
        <v>18</v>
      </c>
      <c r="B1248" s="376">
        <v>37</v>
      </c>
      <c r="C1248" s="376">
        <v>37</v>
      </c>
      <c r="D1248" s="376">
        <v>37</v>
      </c>
      <c r="E1248" s="376">
        <v>37</v>
      </c>
      <c r="F1248" s="376">
        <v>33.6</v>
      </c>
      <c r="G1248" s="376">
        <v>35</v>
      </c>
      <c r="H1248" s="376">
        <v>35</v>
      </c>
      <c r="I1248" s="376">
        <v>42</v>
      </c>
      <c r="J1248" s="376">
        <v>42</v>
      </c>
      <c r="K1248" s="376">
        <v>42</v>
      </c>
      <c r="L1248" s="376">
        <v>42</v>
      </c>
      <c r="M1248" s="376">
        <v>42</v>
      </c>
      <c r="N1248" s="376">
        <v>42</v>
      </c>
      <c r="O1248" s="376">
        <v>42</v>
      </c>
      <c r="P1248" s="12">
        <v>35</v>
      </c>
      <c r="Q1248" s="12">
        <v>35</v>
      </c>
      <c r="R1248" s="12">
        <v>35</v>
      </c>
      <c r="S1248" s="12">
        <v>35</v>
      </c>
    </row>
    <row r="1249" spans="1:19" x14ac:dyDescent="0.25">
      <c r="A1249" s="360" t="s">
        <v>19</v>
      </c>
      <c r="B1249" s="376"/>
      <c r="C1249" s="376"/>
      <c r="D1249" s="376"/>
      <c r="E1249" s="376"/>
      <c r="F1249" s="376"/>
      <c r="G1249" s="376"/>
      <c r="H1249" s="376"/>
      <c r="I1249" s="376"/>
      <c r="J1249" s="376"/>
      <c r="K1249" s="376"/>
      <c r="L1249" s="376"/>
      <c r="M1249" s="376"/>
      <c r="N1249" s="376"/>
      <c r="O1249" s="376"/>
      <c r="P1249" s="12"/>
      <c r="Q1249" s="12"/>
      <c r="R1249" s="12"/>
      <c r="S1249" s="12"/>
    </row>
    <row r="1250" spans="1:19" x14ac:dyDescent="0.25">
      <c r="A1250" s="360" t="s">
        <v>20</v>
      </c>
      <c r="B1250" s="376">
        <v>28.84</v>
      </c>
      <c r="C1250" s="376">
        <v>28.802399999999999</v>
      </c>
      <c r="D1250" s="376">
        <v>40.781999999999996</v>
      </c>
      <c r="E1250" s="376">
        <v>27.9</v>
      </c>
      <c r="F1250" s="376">
        <v>49.6</v>
      </c>
      <c r="G1250" s="376">
        <v>16.899999999999999</v>
      </c>
      <c r="H1250" s="376">
        <v>5.7</v>
      </c>
      <c r="I1250" s="376">
        <v>9.9</v>
      </c>
      <c r="J1250" s="376">
        <v>12.6</v>
      </c>
      <c r="K1250" s="376">
        <v>9.1999999999999993</v>
      </c>
      <c r="L1250" s="376">
        <v>14.4</v>
      </c>
      <c r="M1250" s="376">
        <v>10.852466</v>
      </c>
      <c r="N1250" s="376">
        <v>7.9</v>
      </c>
      <c r="O1250" s="376">
        <v>6.1</v>
      </c>
      <c r="P1250" s="12">
        <v>6.4</v>
      </c>
      <c r="Q1250" s="12">
        <v>6.4</v>
      </c>
      <c r="R1250" s="12">
        <v>0.6</v>
      </c>
      <c r="S1250" s="12"/>
    </row>
    <row r="1251" spans="1:19" x14ac:dyDescent="0.25">
      <c r="A1251" s="360" t="s">
        <v>21</v>
      </c>
      <c r="B1251" s="376">
        <v>8.16</v>
      </c>
      <c r="C1251" s="376">
        <v>8.1976000000000013</v>
      </c>
      <c r="D1251" s="376">
        <v>3.782</v>
      </c>
      <c r="E1251" s="376">
        <v>9.1000000000000014</v>
      </c>
      <c r="F1251" s="376">
        <v>16</v>
      </c>
      <c r="G1251" s="376">
        <v>18.100000000000001</v>
      </c>
      <c r="H1251" s="376">
        <v>29.3</v>
      </c>
      <c r="I1251" s="376">
        <v>32.1</v>
      </c>
      <c r="J1251" s="376">
        <v>29.4</v>
      </c>
      <c r="K1251" s="376">
        <v>32.799999999999997</v>
      </c>
      <c r="L1251" s="376">
        <v>27.6</v>
      </c>
      <c r="M1251" s="376">
        <v>31.147534</v>
      </c>
      <c r="N1251" s="376">
        <f>N1248-N1250</f>
        <v>34.1</v>
      </c>
      <c r="O1251" s="376">
        <f>O1248-O1250</f>
        <v>35.9</v>
      </c>
      <c r="P1251" s="12">
        <f>P1247-P1250</f>
        <v>28.6</v>
      </c>
      <c r="Q1251" s="12">
        <f t="shared" ref="Q1251:R1251" si="50">Q1247-Q1250</f>
        <v>28.6</v>
      </c>
      <c r="R1251" s="12">
        <f t="shared" si="50"/>
        <v>34.4</v>
      </c>
      <c r="S1251" s="12"/>
    </row>
    <row r="1252" spans="1:19" x14ac:dyDescent="0.25">
      <c r="A1252" s="364" t="s">
        <v>22</v>
      </c>
      <c r="B1252" s="365"/>
      <c r="C1252" s="425"/>
      <c r="D1252" s="365"/>
      <c r="E1252" s="421"/>
      <c r="F1252" s="365"/>
      <c r="G1252" s="365"/>
      <c r="H1252" s="421"/>
      <c r="I1252" s="421"/>
      <c r="J1252" s="421"/>
      <c r="K1252" s="421"/>
      <c r="L1252" s="421"/>
      <c r="M1252" s="421"/>
      <c r="N1252" s="421"/>
      <c r="O1252" s="421"/>
      <c r="P1252" s="17"/>
      <c r="Q1252" s="17"/>
      <c r="R1252" s="17"/>
      <c r="S1252" s="17"/>
    </row>
    <row r="1253" spans="1:19" x14ac:dyDescent="0.25">
      <c r="A1253" s="364" t="s">
        <v>179</v>
      </c>
      <c r="B1253" s="402"/>
      <c r="C1253" s="402"/>
      <c r="D1253" s="402"/>
      <c r="E1253" s="402"/>
      <c r="F1253" s="402"/>
      <c r="G1253" s="402"/>
      <c r="H1253" s="402"/>
      <c r="I1253" s="402"/>
      <c r="J1253" s="402"/>
      <c r="K1253" s="402"/>
      <c r="L1253" s="402"/>
      <c r="M1253" s="402"/>
      <c r="N1253" s="402"/>
      <c r="O1253" s="402"/>
      <c r="P1253" s="46"/>
      <c r="Q1253" s="46"/>
      <c r="R1253" s="46"/>
      <c r="S1253" s="47"/>
    </row>
    <row r="1254" spans="1:19" x14ac:dyDescent="0.25">
      <c r="A1254" s="364" t="s">
        <v>200</v>
      </c>
      <c r="B1254" s="402"/>
      <c r="C1254" s="402"/>
      <c r="D1254" s="402"/>
      <c r="E1254" s="402"/>
      <c r="F1254" s="402"/>
      <c r="G1254" s="402"/>
      <c r="H1254" s="402"/>
      <c r="I1254" s="402"/>
      <c r="J1254" s="402"/>
      <c r="K1254" s="402"/>
      <c r="L1254" s="402"/>
      <c r="M1254" s="402"/>
      <c r="N1254" s="402"/>
      <c r="O1254" s="402"/>
      <c r="P1254" s="46"/>
      <c r="Q1254" s="46"/>
      <c r="R1254" s="46"/>
      <c r="S1254" s="47"/>
    </row>
    <row r="1255" spans="1:19" x14ac:dyDescent="0.25">
      <c r="A1255" s="369" t="s">
        <v>201</v>
      </c>
      <c r="B1255" s="339"/>
      <c r="C1255" s="339"/>
      <c r="D1255" s="339"/>
      <c r="E1255" s="339"/>
      <c r="F1255" s="339"/>
      <c r="G1255" s="339"/>
      <c r="H1255" s="339"/>
      <c r="I1255" s="339"/>
      <c r="J1255" s="339"/>
      <c r="K1255" s="339"/>
      <c r="L1255" s="339"/>
      <c r="M1255" s="339"/>
      <c r="N1255" s="339"/>
      <c r="O1255" s="339"/>
      <c r="S1255" s="64"/>
    </row>
    <row r="1256" spans="1:19" x14ac:dyDescent="0.25">
      <c r="A1256" s="369" t="s">
        <v>212</v>
      </c>
      <c r="B1256" s="339"/>
      <c r="C1256" s="339"/>
      <c r="D1256" s="339"/>
      <c r="E1256" s="339"/>
      <c r="F1256" s="339"/>
      <c r="G1256" s="339"/>
      <c r="H1256" s="339"/>
      <c r="I1256" s="339"/>
      <c r="J1256" s="339"/>
      <c r="K1256" s="339"/>
      <c r="L1256" s="339"/>
      <c r="M1256" s="339"/>
      <c r="N1256" s="339"/>
      <c r="O1256" s="339"/>
      <c r="S1256" s="64"/>
    </row>
    <row r="1257" spans="1:19" x14ac:dyDescent="0.25">
      <c r="A1257" s="369" t="s">
        <v>213</v>
      </c>
      <c r="B1257" s="339"/>
      <c r="C1257" s="339"/>
      <c r="D1257" s="339"/>
      <c r="E1257" s="339"/>
      <c r="F1257" s="339"/>
      <c r="G1257" s="339"/>
      <c r="H1257" s="339"/>
      <c r="I1257" s="339"/>
      <c r="J1257" s="339"/>
      <c r="K1257" s="339"/>
      <c r="L1257" s="339"/>
      <c r="M1257" s="339"/>
      <c r="N1257" s="339"/>
      <c r="O1257" s="339"/>
      <c r="S1257" s="64"/>
    </row>
    <row r="1258" spans="1:19" x14ac:dyDescent="0.25">
      <c r="A1258" s="369" t="s">
        <v>214</v>
      </c>
      <c r="B1258" s="339"/>
      <c r="C1258" s="370"/>
      <c r="D1258" s="372"/>
      <c r="E1258" s="371"/>
      <c r="F1258" s="339"/>
      <c r="G1258" s="339"/>
      <c r="H1258" s="372"/>
      <c r="I1258" s="339"/>
      <c r="J1258" s="339"/>
      <c r="K1258" s="339"/>
      <c r="L1258" s="339"/>
      <c r="M1258" s="339"/>
      <c r="N1258" s="339"/>
      <c r="O1258" s="339"/>
      <c r="S1258" s="64"/>
    </row>
    <row r="1259" spans="1:19" x14ac:dyDescent="0.25">
      <c r="A1259" s="369" t="s">
        <v>241</v>
      </c>
      <c r="B1259" s="339"/>
      <c r="C1259" s="339"/>
      <c r="D1259" s="339"/>
      <c r="E1259" s="339"/>
      <c r="F1259" s="339"/>
      <c r="G1259" s="339"/>
      <c r="H1259" s="372"/>
      <c r="I1259" s="339"/>
      <c r="J1259" s="339"/>
      <c r="K1259" s="339"/>
      <c r="L1259" s="339"/>
      <c r="M1259" s="339"/>
      <c r="N1259" s="339"/>
      <c r="O1259" s="339"/>
      <c r="S1259" s="64"/>
    </row>
    <row r="1260" spans="1:19" x14ac:dyDescent="0.25">
      <c r="A1260" s="369" t="s">
        <v>282</v>
      </c>
      <c r="B1260" s="339"/>
      <c r="C1260" s="339"/>
      <c r="D1260" s="339"/>
      <c r="E1260" s="339"/>
      <c r="F1260" s="339"/>
      <c r="G1260" s="339"/>
      <c r="H1260" s="372"/>
      <c r="I1260" s="339"/>
      <c r="J1260" s="339"/>
      <c r="K1260" s="339"/>
      <c r="L1260" s="339"/>
      <c r="M1260" s="339"/>
      <c r="N1260" s="339"/>
      <c r="O1260" s="339"/>
      <c r="S1260" s="64"/>
    </row>
    <row r="1261" spans="1:19" x14ac:dyDescent="0.25">
      <c r="A1261" s="369" t="s">
        <v>283</v>
      </c>
      <c r="B1261" s="339"/>
      <c r="C1261" s="339"/>
      <c r="D1261" s="339"/>
      <c r="E1261" s="339"/>
      <c r="F1261" s="339"/>
      <c r="G1261" s="339"/>
      <c r="H1261" s="372"/>
      <c r="I1261" s="339"/>
      <c r="J1261" s="339"/>
      <c r="K1261" s="339"/>
      <c r="L1261" s="339"/>
      <c r="M1261" s="339"/>
      <c r="N1261" s="339"/>
      <c r="O1261" s="339"/>
      <c r="S1261" s="64"/>
    </row>
    <row r="1262" spans="1:19" x14ac:dyDescent="0.25">
      <c r="A1262" s="369" t="s">
        <v>284</v>
      </c>
      <c r="B1262" s="339"/>
      <c r="C1262" s="339"/>
      <c r="D1262" s="339"/>
      <c r="E1262" s="339"/>
      <c r="F1262" s="339"/>
      <c r="G1262" s="339"/>
      <c r="H1262" s="372"/>
      <c r="I1262" s="339"/>
      <c r="J1262" s="339"/>
      <c r="K1262" s="339"/>
      <c r="L1262" s="339"/>
      <c r="M1262" s="339"/>
      <c r="N1262" s="339"/>
      <c r="O1262" s="339"/>
      <c r="S1262" s="64"/>
    </row>
    <row r="1263" spans="1:19" x14ac:dyDescent="0.25">
      <c r="A1263" s="369" t="s">
        <v>649</v>
      </c>
      <c r="B1263" s="339"/>
      <c r="C1263" s="339"/>
      <c r="D1263" s="339"/>
      <c r="E1263" s="339"/>
      <c r="F1263" s="339"/>
      <c r="G1263" s="339"/>
      <c r="H1263" s="372"/>
      <c r="I1263" s="339"/>
      <c r="J1263" s="339"/>
      <c r="K1263" s="339"/>
      <c r="L1263" s="339"/>
      <c r="M1263" s="339"/>
      <c r="N1263" s="339"/>
      <c r="O1263" s="339"/>
      <c r="S1263" s="64"/>
    </row>
    <row r="1264" spans="1:19" x14ac:dyDescent="0.25">
      <c r="A1264" s="369" t="s">
        <v>813</v>
      </c>
      <c r="B1264" s="339"/>
      <c r="C1264" s="339"/>
      <c r="D1264" s="339"/>
      <c r="E1264" s="339"/>
      <c r="F1264" s="339"/>
      <c r="G1264" s="339"/>
      <c r="H1264" s="372"/>
      <c r="I1264" s="339"/>
      <c r="J1264" s="339"/>
      <c r="K1264" s="339"/>
      <c r="L1264" s="339"/>
      <c r="M1264" s="339"/>
      <c r="N1264" s="339"/>
      <c r="O1264" s="339"/>
      <c r="S1264" s="64"/>
    </row>
    <row r="1265" spans="1:19" x14ac:dyDescent="0.25">
      <c r="A1265" s="426" t="s">
        <v>1183</v>
      </c>
      <c r="B1265" s="339"/>
      <c r="C1265" s="339"/>
      <c r="D1265" s="339"/>
      <c r="E1265" s="339"/>
      <c r="F1265" s="339"/>
      <c r="G1265" s="339"/>
      <c r="H1265" s="372"/>
      <c r="I1265" s="339"/>
      <c r="J1265" s="339"/>
      <c r="K1265" s="339"/>
      <c r="L1265" s="339"/>
      <c r="M1265" s="339"/>
      <c r="N1265" s="339"/>
      <c r="O1265" s="339"/>
      <c r="S1265" s="64"/>
    </row>
    <row r="1266" spans="1:19" x14ac:dyDescent="0.25">
      <c r="A1266" s="423" t="s">
        <v>1184</v>
      </c>
      <c r="B1266" s="373"/>
      <c r="C1266" s="373"/>
      <c r="D1266" s="373"/>
      <c r="E1266" s="373"/>
      <c r="F1266" s="373"/>
      <c r="G1266" s="373"/>
      <c r="H1266" s="373"/>
      <c r="I1266" s="373"/>
      <c r="J1266" s="373"/>
      <c r="K1266" s="373"/>
      <c r="L1266" s="373"/>
      <c r="M1266" s="373"/>
      <c r="N1266" s="373"/>
      <c r="O1266" s="373"/>
      <c r="P1266" s="34"/>
      <c r="Q1266" s="34"/>
      <c r="R1266" s="34"/>
      <c r="S1266" s="48"/>
    </row>
    <row r="1267" spans="1:19" x14ac:dyDescent="0.25">
      <c r="A1267" s="315"/>
      <c r="C1267" s="348"/>
    </row>
    <row r="1268" spans="1:19" s="202" customFormat="1" x14ac:dyDescent="0.25">
      <c r="A1268" s="352" t="s">
        <v>14</v>
      </c>
      <c r="B1268" s="353" t="s">
        <v>571</v>
      </c>
      <c r="C1268" s="353" t="s">
        <v>15</v>
      </c>
      <c r="D1268" s="339"/>
    </row>
    <row r="1269" spans="1:19" s="202" customFormat="1" x14ac:dyDescent="0.25">
      <c r="A1269" s="357" t="s">
        <v>16</v>
      </c>
      <c r="B1269" s="358">
        <v>2020</v>
      </c>
      <c r="C1269" s="359">
        <v>2021</v>
      </c>
      <c r="D1269" s="359">
        <v>2022</v>
      </c>
      <c r="E1269" s="359">
        <v>2023</v>
      </c>
      <c r="F1269" s="359">
        <v>2024</v>
      </c>
      <c r="G1269" s="359">
        <v>2025</v>
      </c>
    </row>
    <row r="1270" spans="1:19" s="202" customFormat="1" x14ac:dyDescent="0.25">
      <c r="A1270" s="360" t="s">
        <v>17</v>
      </c>
      <c r="B1270" s="376">
        <v>4010</v>
      </c>
      <c r="C1270" s="376">
        <v>4010</v>
      </c>
      <c r="D1270" s="376">
        <v>4010</v>
      </c>
      <c r="E1270" s="376">
        <v>4010</v>
      </c>
      <c r="F1270" s="376">
        <v>3055</v>
      </c>
      <c r="G1270" s="376">
        <v>3055</v>
      </c>
    </row>
    <row r="1271" spans="1:19" s="202" customFormat="1" x14ac:dyDescent="0.25">
      <c r="A1271" s="360" t="s">
        <v>18</v>
      </c>
      <c r="B1271" s="376"/>
      <c r="C1271" s="376"/>
      <c r="D1271" s="376"/>
      <c r="E1271" s="376"/>
      <c r="F1271" s="376">
        <f>F1270-43</f>
        <v>3012</v>
      </c>
      <c r="G1271" s="376">
        <f>G1270-43</f>
        <v>3012</v>
      </c>
    </row>
    <row r="1272" spans="1:19" s="202" customFormat="1" x14ac:dyDescent="0.25">
      <c r="A1272" s="360" t="s">
        <v>19</v>
      </c>
      <c r="B1272" s="376"/>
      <c r="C1272" s="376"/>
      <c r="D1272" s="376"/>
      <c r="E1272" s="376"/>
      <c r="F1272" s="376"/>
      <c r="G1272" s="376"/>
    </row>
    <row r="1273" spans="1:19" s="202" customFormat="1" x14ac:dyDescent="0.25">
      <c r="A1273" s="360" t="s">
        <v>20</v>
      </c>
      <c r="B1273" s="376">
        <v>1896.6</v>
      </c>
      <c r="C1273" s="376">
        <v>1798</v>
      </c>
      <c r="D1273" s="376">
        <v>2237.3000000000002</v>
      </c>
      <c r="E1273" s="376">
        <v>2254.5</v>
      </c>
      <c r="F1273" s="376">
        <v>2010.9</v>
      </c>
      <c r="G1273" s="376"/>
    </row>
    <row r="1274" spans="1:19" s="202" customFormat="1" x14ac:dyDescent="0.25">
      <c r="A1274" s="360" t="s">
        <v>21</v>
      </c>
      <c r="B1274" s="376">
        <v>2113.4</v>
      </c>
      <c r="C1274" s="376">
        <f>C1270-C1273</f>
        <v>2212</v>
      </c>
      <c r="D1274" s="376">
        <f>D1270-D1273</f>
        <v>1772.6999999999998</v>
      </c>
      <c r="E1274" s="376">
        <f>E1270-E1273</f>
        <v>1755.5</v>
      </c>
      <c r="F1274" s="376">
        <f>F1271-F1273</f>
        <v>1001.0999999999999</v>
      </c>
      <c r="G1274" s="376"/>
    </row>
    <row r="1275" spans="1:19" s="202" customFormat="1" x14ac:dyDescent="0.25">
      <c r="A1275" s="364" t="s">
        <v>22</v>
      </c>
      <c r="B1275" s="365"/>
      <c r="C1275" s="365"/>
      <c r="D1275" s="365"/>
      <c r="E1275" s="365"/>
      <c r="F1275" s="365"/>
      <c r="G1275" s="365"/>
    </row>
    <row r="1276" spans="1:19" s="202" customFormat="1" x14ac:dyDescent="0.25">
      <c r="A1276" s="366" t="s">
        <v>23</v>
      </c>
      <c r="B1276" s="368"/>
      <c r="C1276" s="368"/>
      <c r="D1276" s="368"/>
      <c r="E1276" s="368"/>
      <c r="F1276" s="368"/>
      <c r="G1276" s="397"/>
    </row>
    <row r="1277" spans="1:19" s="202" customFormat="1" x14ac:dyDescent="0.25">
      <c r="A1277" s="366" t="s">
        <v>814</v>
      </c>
      <c r="B1277" s="368"/>
      <c r="C1277" s="368"/>
      <c r="D1277" s="368"/>
      <c r="E1277" s="368"/>
      <c r="F1277" s="368"/>
      <c r="G1277" s="397"/>
    </row>
    <row r="1278" spans="1:19" s="202" customFormat="1" x14ac:dyDescent="0.25">
      <c r="A1278" s="369" t="s">
        <v>650</v>
      </c>
      <c r="B1278" s="339"/>
      <c r="C1278" s="339"/>
      <c r="D1278" s="339"/>
      <c r="E1278" s="339"/>
      <c r="F1278" s="339"/>
      <c r="G1278" s="398"/>
    </row>
    <row r="1279" spans="1:19" s="202" customFormat="1" x14ac:dyDescent="0.25">
      <c r="A1279" s="369" t="s">
        <v>651</v>
      </c>
      <c r="B1279" s="339"/>
      <c r="C1279" s="339"/>
      <c r="D1279" s="339"/>
      <c r="E1279" s="339"/>
      <c r="F1279" s="339"/>
      <c r="G1279" s="398"/>
    </row>
    <row r="1280" spans="1:19" s="202" customFormat="1" x14ac:dyDescent="0.25">
      <c r="A1280" s="369" t="s">
        <v>815</v>
      </c>
      <c r="B1280" s="339"/>
      <c r="C1280" s="339"/>
      <c r="D1280" s="339"/>
      <c r="E1280" s="339"/>
      <c r="F1280" s="339"/>
      <c r="G1280" s="398"/>
    </row>
    <row r="1281" spans="1:16" s="202" customFormat="1" x14ac:dyDescent="0.25">
      <c r="A1281" s="369" t="s">
        <v>816</v>
      </c>
      <c r="B1281" s="339"/>
      <c r="C1281" s="339"/>
      <c r="D1281" s="339"/>
      <c r="E1281" s="339"/>
      <c r="F1281" s="339"/>
      <c r="G1281" s="398"/>
    </row>
    <row r="1282" spans="1:16" s="202" customFormat="1" x14ac:dyDescent="0.25">
      <c r="A1282" s="427" t="s">
        <v>1041</v>
      </c>
      <c r="B1282" s="339"/>
      <c r="C1282" s="339"/>
      <c r="D1282" s="339"/>
      <c r="E1282" s="339"/>
      <c r="F1282" s="339"/>
      <c r="G1282" s="398"/>
    </row>
    <row r="1283" spans="1:16" x14ac:dyDescent="0.25">
      <c r="A1283" s="427" t="s">
        <v>1089</v>
      </c>
      <c r="C1283" s="348"/>
      <c r="G1283" s="64"/>
    </row>
    <row r="1284" spans="1:16" s="411" customFormat="1" ht="13.8" x14ac:dyDescent="0.3">
      <c r="A1284" s="423" t="s">
        <v>1232</v>
      </c>
      <c r="B1284" s="34"/>
      <c r="C1284" s="34"/>
      <c r="D1284" s="34"/>
      <c r="E1284" s="34"/>
      <c r="F1284" s="34"/>
      <c r="G1284" s="48"/>
      <c r="H1284" s="48"/>
      <c r="I1284" s="3"/>
      <c r="J1284" s="3"/>
      <c r="K1284" s="3"/>
      <c r="L1284" s="3"/>
      <c r="M1284" s="3"/>
      <c r="N1284" s="3"/>
      <c r="O1284" s="3"/>
      <c r="P1284" s="3"/>
    </row>
    <row r="1285" spans="1:16" s="411" customFormat="1" ht="13.8" x14ac:dyDescent="0.3">
      <c r="A1285" s="612"/>
      <c r="B1285" s="3"/>
      <c r="C1285" s="3"/>
      <c r="D1285" s="3"/>
      <c r="E1285" s="3"/>
      <c r="F1285" s="3"/>
      <c r="G1285" s="3"/>
      <c r="H1285" s="3"/>
      <c r="I1285" s="3"/>
      <c r="J1285" s="3"/>
      <c r="K1285" s="3"/>
      <c r="L1285" s="3"/>
      <c r="M1285" s="3"/>
      <c r="N1285" s="3"/>
      <c r="O1285" s="3"/>
      <c r="P1285" s="3"/>
    </row>
    <row r="1286" spans="1:16" s="411" customFormat="1" ht="13.8" x14ac:dyDescent="0.3">
      <c r="A1286" s="626" t="s">
        <v>12</v>
      </c>
      <c r="B1286" s="627" t="s">
        <v>173</v>
      </c>
      <c r="C1286" s="339"/>
      <c r="D1286" s="339"/>
      <c r="E1286" s="3"/>
      <c r="F1286" s="3"/>
      <c r="G1286" s="3"/>
      <c r="H1286" s="3"/>
      <c r="I1286" s="3"/>
      <c r="J1286" s="3"/>
      <c r="K1286" s="3"/>
      <c r="L1286" s="3"/>
      <c r="M1286" s="3"/>
      <c r="N1286" s="3"/>
      <c r="O1286" s="3"/>
      <c r="P1286" s="3"/>
    </row>
    <row r="1287" spans="1:16" s="411" customFormat="1" ht="13.8" x14ac:dyDescent="0.3">
      <c r="A1287" s="626" t="s">
        <v>14</v>
      </c>
      <c r="B1287" s="627" t="s">
        <v>1234</v>
      </c>
      <c r="C1287" s="627" t="s">
        <v>15</v>
      </c>
      <c r="D1287" s="339"/>
      <c r="E1287" s="3"/>
      <c r="F1287" s="3"/>
      <c r="G1287" s="3"/>
      <c r="H1287" s="3"/>
      <c r="I1287" s="3"/>
      <c r="J1287" s="3"/>
      <c r="K1287" s="3"/>
      <c r="L1287" s="3"/>
      <c r="M1287" s="3"/>
      <c r="N1287" s="3"/>
      <c r="O1287" s="3"/>
      <c r="P1287" s="3"/>
    </row>
    <row r="1288" spans="1:16" s="411" customFormat="1" ht="13.8" x14ac:dyDescent="0.3">
      <c r="A1288" s="379" t="s">
        <v>16</v>
      </c>
      <c r="B1288" s="620">
        <v>2024</v>
      </c>
      <c r="C1288" s="620">
        <v>2025</v>
      </c>
      <c r="D1288" s="620">
        <v>2026</v>
      </c>
      <c r="E1288" s="3"/>
      <c r="F1288" s="3"/>
      <c r="G1288" s="3"/>
      <c r="H1288" s="3"/>
      <c r="I1288" s="3"/>
      <c r="J1288" s="3"/>
      <c r="K1288" s="3"/>
      <c r="L1288" s="3"/>
      <c r="M1288" s="3"/>
      <c r="N1288" s="3"/>
      <c r="O1288" s="3"/>
      <c r="P1288" s="3"/>
    </row>
    <row r="1289" spans="1:16" s="411" customFormat="1" ht="13.8" x14ac:dyDescent="0.3">
      <c r="A1289" s="379" t="s">
        <v>17</v>
      </c>
      <c r="B1289" s="632">
        <v>1520</v>
      </c>
      <c r="C1289" s="632">
        <v>1520</v>
      </c>
      <c r="D1289" s="632">
        <v>1520</v>
      </c>
      <c r="E1289" s="3"/>
      <c r="F1289" s="3"/>
      <c r="G1289" s="3"/>
      <c r="H1289" s="3"/>
      <c r="I1289" s="3"/>
      <c r="J1289" s="3"/>
      <c r="K1289" s="3"/>
      <c r="L1289" s="3"/>
      <c r="M1289" s="3"/>
      <c r="N1289" s="3"/>
      <c r="O1289" s="3"/>
      <c r="P1289" s="3"/>
    </row>
    <row r="1290" spans="1:16" s="411" customFormat="1" ht="13.8" x14ac:dyDescent="0.3">
      <c r="A1290" s="379" t="s">
        <v>18</v>
      </c>
      <c r="B1290" s="632">
        <v>1520</v>
      </c>
      <c r="C1290" s="632">
        <v>1520</v>
      </c>
      <c r="D1290" s="632">
        <v>1520</v>
      </c>
      <c r="E1290" s="3"/>
      <c r="F1290" s="3"/>
      <c r="G1290" s="3"/>
      <c r="H1290" s="3"/>
      <c r="I1290" s="3"/>
      <c r="J1290" s="3"/>
      <c r="K1290" s="3"/>
      <c r="L1290" s="3"/>
      <c r="M1290" s="3"/>
      <c r="N1290" s="3"/>
      <c r="O1290" s="3"/>
      <c r="P1290" s="3"/>
    </row>
    <row r="1291" spans="1:16" s="411" customFormat="1" ht="13.8" x14ac:dyDescent="0.3">
      <c r="A1291" s="379" t="s">
        <v>19</v>
      </c>
      <c r="B1291" s="632"/>
      <c r="C1291" s="632"/>
      <c r="D1291" s="632"/>
      <c r="E1291" s="3"/>
      <c r="F1291" s="3"/>
      <c r="G1291" s="3"/>
      <c r="H1291" s="3"/>
      <c r="I1291" s="3"/>
      <c r="J1291" s="3"/>
      <c r="K1291" s="3"/>
      <c r="L1291" s="3"/>
      <c r="M1291" s="3"/>
      <c r="N1291" s="3"/>
      <c r="O1291" s="3"/>
      <c r="P1291" s="3"/>
    </row>
    <row r="1292" spans="1:16" s="411" customFormat="1" ht="13.8" x14ac:dyDescent="0.3">
      <c r="A1292" s="379" t="s">
        <v>20</v>
      </c>
      <c r="B1292" s="633">
        <v>858.7</v>
      </c>
      <c r="C1292" s="634" t="s">
        <v>1135</v>
      </c>
      <c r="D1292" s="634" t="s">
        <v>1135</v>
      </c>
      <c r="E1292" s="3"/>
      <c r="F1292" s="3"/>
      <c r="G1292" s="3"/>
      <c r="H1292" s="3"/>
      <c r="I1292" s="3"/>
      <c r="J1292" s="3"/>
      <c r="K1292" s="3"/>
      <c r="L1292" s="3"/>
      <c r="M1292" s="3"/>
      <c r="N1292" s="3"/>
      <c r="O1292" s="3"/>
      <c r="P1292" s="3"/>
    </row>
    <row r="1293" spans="1:16" s="411" customFormat="1" ht="13.8" x14ac:dyDescent="0.3">
      <c r="A1293" s="366" t="s">
        <v>21</v>
      </c>
      <c r="B1293" s="635">
        <f>B1290-B1292</f>
        <v>661.3</v>
      </c>
      <c r="C1293" s="636" t="s">
        <v>1135</v>
      </c>
      <c r="D1293" s="636" t="s">
        <v>1135</v>
      </c>
      <c r="E1293" s="3"/>
      <c r="F1293" s="3"/>
      <c r="G1293" s="3"/>
      <c r="H1293" s="3"/>
      <c r="I1293" s="3"/>
      <c r="J1293" s="3"/>
      <c r="K1293" s="3"/>
      <c r="L1293" s="3"/>
      <c r="M1293" s="3"/>
      <c r="N1293" s="3"/>
      <c r="O1293" s="3"/>
      <c r="P1293" s="3"/>
    </row>
    <row r="1294" spans="1:16" s="411" customFormat="1" ht="13.8" x14ac:dyDescent="0.3">
      <c r="A1294" s="379" t="s">
        <v>22</v>
      </c>
      <c r="B1294" s="380"/>
      <c r="C1294" s="380"/>
      <c r="D1294" s="628"/>
      <c r="E1294" s="3"/>
      <c r="F1294" s="3"/>
      <c r="G1294" s="3"/>
      <c r="H1294" s="3"/>
      <c r="I1294" s="3"/>
      <c r="J1294" s="3"/>
      <c r="K1294" s="3"/>
      <c r="L1294" s="3"/>
      <c r="M1294" s="3"/>
      <c r="N1294" s="3"/>
      <c r="O1294" s="3"/>
      <c r="P1294" s="3"/>
    </row>
    <row r="1295" spans="1:16" s="411" customFormat="1" ht="13.8" x14ac:dyDescent="0.3">
      <c r="A1295" s="369" t="s">
        <v>23</v>
      </c>
      <c r="B1295" s="8"/>
      <c r="C1295" s="8"/>
      <c r="D1295" s="629"/>
      <c r="E1295" s="3"/>
      <c r="F1295" s="3"/>
      <c r="G1295" s="3"/>
      <c r="H1295" s="3"/>
      <c r="I1295" s="3"/>
      <c r="J1295" s="3"/>
      <c r="K1295" s="3"/>
      <c r="L1295" s="3"/>
      <c r="M1295" s="3"/>
      <c r="N1295" s="3"/>
      <c r="O1295" s="3"/>
      <c r="P1295" s="3"/>
    </row>
    <row r="1296" spans="1:16" s="631" customFormat="1" ht="13.8" x14ac:dyDescent="0.3">
      <c r="A1296" s="423" t="s">
        <v>1235</v>
      </c>
      <c r="B1296" s="625"/>
      <c r="C1296" s="625"/>
      <c r="D1296" s="630"/>
      <c r="E1296" s="45"/>
      <c r="F1296" s="45"/>
      <c r="G1296" s="45"/>
      <c r="H1296" s="45"/>
      <c r="I1296" s="45"/>
      <c r="J1296" s="45"/>
      <c r="K1296" s="45"/>
      <c r="L1296" s="45"/>
      <c r="M1296" s="45"/>
      <c r="N1296" s="45"/>
      <c r="O1296" s="45"/>
      <c r="P1296" s="45"/>
    </row>
    <row r="1297" spans="1:16" x14ac:dyDescent="0.25">
      <c r="A1297" s="429"/>
      <c r="C1297" s="348"/>
    </row>
    <row r="1298" spans="1:16" x14ac:dyDescent="0.25">
      <c r="A1298" s="352" t="s">
        <v>14</v>
      </c>
      <c r="B1298" s="405" t="s">
        <v>1052</v>
      </c>
      <c r="C1298" s="405" t="s">
        <v>15</v>
      </c>
      <c r="D1298" s="339"/>
    </row>
    <row r="1299" spans="1:16" x14ac:dyDescent="0.25">
      <c r="A1299" s="360" t="s">
        <v>16</v>
      </c>
      <c r="B1299" s="430">
        <v>2023</v>
      </c>
      <c r="C1299" s="430">
        <v>2024</v>
      </c>
      <c r="D1299" s="430">
        <v>2025</v>
      </c>
      <c r="E1299" s="431"/>
      <c r="F1299" s="430"/>
    </row>
    <row r="1300" spans="1:16" x14ac:dyDescent="0.25">
      <c r="A1300" s="360" t="s">
        <v>17</v>
      </c>
      <c r="B1300" s="361">
        <v>62</v>
      </c>
      <c r="C1300" s="361">
        <v>62</v>
      </c>
      <c r="D1300" s="361">
        <v>62</v>
      </c>
      <c r="E1300" s="432"/>
      <c r="F1300" s="361"/>
    </row>
    <row r="1301" spans="1:16" x14ac:dyDescent="0.25">
      <c r="A1301" s="360" t="s">
        <v>18</v>
      </c>
      <c r="B1301" s="361">
        <v>62</v>
      </c>
      <c r="C1301" s="361">
        <v>62</v>
      </c>
      <c r="D1301" s="361">
        <v>62</v>
      </c>
      <c r="E1301" s="432"/>
      <c r="F1301" s="361"/>
    </row>
    <row r="1302" spans="1:16" x14ac:dyDescent="0.25">
      <c r="A1302" s="360" t="s">
        <v>19</v>
      </c>
      <c r="B1302" s="361"/>
      <c r="C1302" s="361"/>
      <c r="D1302" s="361"/>
      <c r="E1302" s="432"/>
      <c r="F1302" s="361"/>
    </row>
    <row r="1303" spans="1:16" x14ac:dyDescent="0.25">
      <c r="A1303" s="360" t="s">
        <v>20</v>
      </c>
      <c r="B1303" s="361">
        <v>4.4000000000000004</v>
      </c>
      <c r="C1303" s="361">
        <v>6.8</v>
      </c>
      <c r="D1303" s="361"/>
      <c r="E1303" s="432"/>
      <c r="F1303" s="361"/>
    </row>
    <row r="1304" spans="1:16" x14ac:dyDescent="0.25">
      <c r="A1304" s="360" t="s">
        <v>21</v>
      </c>
      <c r="B1304" s="365">
        <f>B1300-B1303</f>
        <v>57.6</v>
      </c>
      <c r="C1304" s="365">
        <f>C1300-C1303</f>
        <v>55.2</v>
      </c>
      <c r="D1304" s="365"/>
      <c r="E1304" s="433"/>
      <c r="F1304" s="361"/>
    </row>
    <row r="1305" spans="1:16" ht="13.8" x14ac:dyDescent="0.3">
      <c r="A1305" s="366" t="s">
        <v>22</v>
      </c>
      <c r="B1305" s="624"/>
      <c r="C1305" s="623"/>
      <c r="D1305" s="623"/>
      <c r="E1305" s="368"/>
      <c r="F1305" s="623"/>
    </row>
    <row r="1306" spans="1:16" x14ac:dyDescent="0.25">
      <c r="A1306" s="366" t="s">
        <v>23</v>
      </c>
      <c r="B1306" s="368"/>
      <c r="C1306" s="368"/>
      <c r="D1306" s="368"/>
      <c r="E1306" s="19"/>
      <c r="F1306" s="63"/>
    </row>
    <row r="1307" spans="1:16" x14ac:dyDescent="0.25">
      <c r="A1307" s="369" t="s">
        <v>1090</v>
      </c>
      <c r="B1307" s="339"/>
      <c r="C1307" s="339"/>
      <c r="D1307" s="339"/>
      <c r="F1307" s="64"/>
    </row>
    <row r="1308" spans="1:16" x14ac:dyDescent="0.25">
      <c r="A1308" s="426" t="s">
        <v>1185</v>
      </c>
      <c r="F1308" s="64"/>
    </row>
    <row r="1309" spans="1:16" s="411" customFormat="1" ht="13.8" x14ac:dyDescent="0.3">
      <c r="A1309" s="423" t="s">
        <v>1233</v>
      </c>
      <c r="B1309" s="43"/>
      <c r="C1309" s="43"/>
      <c r="D1309" s="43"/>
      <c r="E1309" s="43"/>
      <c r="F1309" s="44"/>
      <c r="G1309" s="3"/>
      <c r="H1309" s="3"/>
      <c r="I1309" s="3"/>
      <c r="J1309" s="3"/>
      <c r="K1309" s="3"/>
      <c r="L1309" s="3"/>
      <c r="M1309" s="3"/>
      <c r="N1309" s="3"/>
      <c r="O1309" s="3"/>
      <c r="P1309" s="3"/>
    </row>
    <row r="1310" spans="1:16" x14ac:dyDescent="0.25">
      <c r="A1310" s="429"/>
      <c r="C1310" s="348"/>
    </row>
    <row r="1311" spans="1:16" x14ac:dyDescent="0.25">
      <c r="A1311" s="315"/>
      <c r="C1311" s="348"/>
    </row>
    <row r="1312" spans="1:16" x14ac:dyDescent="0.25">
      <c r="A1312" s="98" t="s">
        <v>673</v>
      </c>
      <c r="B1312" s="66" t="s">
        <v>672</v>
      </c>
      <c r="C1312" s="8"/>
      <c r="D1312" s="8"/>
      <c r="E1312" s="8"/>
      <c r="F1312" s="8"/>
      <c r="G1312" s="8"/>
    </row>
    <row r="1313" spans="1:14" x14ac:dyDescent="0.25">
      <c r="A1313" s="103" t="s">
        <v>14</v>
      </c>
      <c r="B1313" s="104" t="s">
        <v>624</v>
      </c>
      <c r="C1313" s="66" t="s">
        <v>15</v>
      </c>
      <c r="D1313" s="8"/>
      <c r="E1313" s="8"/>
      <c r="F1313" s="8"/>
      <c r="G1313" s="8"/>
    </row>
    <row r="1314" spans="1:14" x14ac:dyDescent="0.25">
      <c r="A1314" s="95" t="s">
        <v>16</v>
      </c>
      <c r="B1314" s="270">
        <v>2014</v>
      </c>
      <c r="C1314" s="263">
        <v>2015</v>
      </c>
      <c r="D1314" s="263">
        <v>2016</v>
      </c>
      <c r="E1314" s="263">
        <v>2017</v>
      </c>
      <c r="F1314" s="341">
        <v>2018</v>
      </c>
      <c r="G1314" s="341">
        <v>2019</v>
      </c>
      <c r="H1314" s="154">
        <v>2020</v>
      </c>
      <c r="I1314" s="154">
        <v>2021</v>
      </c>
      <c r="J1314" s="154">
        <v>2022</v>
      </c>
      <c r="K1314" s="154">
        <v>2023</v>
      </c>
      <c r="L1314" s="154">
        <v>2024</v>
      </c>
      <c r="M1314" s="154">
        <v>2025</v>
      </c>
    </row>
    <row r="1315" spans="1:14" x14ac:dyDescent="0.25">
      <c r="A1315" s="68" t="s">
        <v>17</v>
      </c>
      <c r="B1315" s="72">
        <v>200</v>
      </c>
      <c r="C1315" s="72">
        <v>200</v>
      </c>
      <c r="D1315" s="72">
        <v>200</v>
      </c>
      <c r="E1315" s="72">
        <v>200</v>
      </c>
      <c r="F1315" s="97">
        <v>200</v>
      </c>
      <c r="G1315" s="97">
        <v>215</v>
      </c>
      <c r="H1315" s="97">
        <v>215</v>
      </c>
      <c r="I1315" s="97">
        <v>242</v>
      </c>
      <c r="J1315" s="97">
        <v>242</v>
      </c>
      <c r="K1315" s="97">
        <v>242</v>
      </c>
      <c r="L1315" s="97">
        <v>302</v>
      </c>
      <c r="M1315" s="97">
        <v>302</v>
      </c>
    </row>
    <row r="1316" spans="1:14" x14ac:dyDescent="0.25">
      <c r="A1316" s="68" t="s">
        <v>18</v>
      </c>
      <c r="B1316" s="72">
        <v>250</v>
      </c>
      <c r="C1316" s="72">
        <v>215.6</v>
      </c>
      <c r="D1316" s="72">
        <v>250</v>
      </c>
      <c r="E1316" s="72">
        <v>250</v>
      </c>
      <c r="F1316" s="97">
        <v>250</v>
      </c>
      <c r="G1316" s="97">
        <v>265</v>
      </c>
      <c r="H1316" s="97">
        <v>265</v>
      </c>
      <c r="I1316" s="97">
        <f>I1315+0.25*G1315</f>
        <v>295.75</v>
      </c>
      <c r="J1316" s="97">
        <f>J1315+0.25*H1315</f>
        <v>295.75</v>
      </c>
      <c r="K1316" s="97">
        <f>K1315+I1315*0.25</f>
        <v>302.5</v>
      </c>
      <c r="L1316" s="97">
        <f>L1315+J1315*0.25</f>
        <v>362.5</v>
      </c>
      <c r="M1316" s="97">
        <f>M1315+K1315*0.25</f>
        <v>362.5</v>
      </c>
    </row>
    <row r="1317" spans="1:14" x14ac:dyDescent="0.25">
      <c r="A1317" s="68" t="s">
        <v>19</v>
      </c>
      <c r="B1317" s="434" t="s">
        <v>132</v>
      </c>
      <c r="C1317" s="253" t="s">
        <v>133</v>
      </c>
      <c r="D1317" s="253" t="s">
        <v>134</v>
      </c>
      <c r="E1317" s="253" t="s">
        <v>134</v>
      </c>
      <c r="F1317" s="253" t="s">
        <v>134</v>
      </c>
      <c r="G1317" s="253" t="s">
        <v>497</v>
      </c>
      <c r="H1317" s="253" t="s">
        <v>497</v>
      </c>
      <c r="I1317" s="253" t="s">
        <v>498</v>
      </c>
      <c r="J1317" s="253" t="s">
        <v>498</v>
      </c>
      <c r="K1317" s="253" t="s">
        <v>822</v>
      </c>
      <c r="L1317" s="253" t="s">
        <v>822</v>
      </c>
      <c r="M1317" s="253" t="s">
        <v>822</v>
      </c>
    </row>
    <row r="1318" spans="1:14" x14ac:dyDescent="0.25">
      <c r="A1318" s="68" t="s">
        <v>20</v>
      </c>
      <c r="B1318" s="72">
        <v>63.87</v>
      </c>
      <c r="C1318" s="72">
        <v>4.54</v>
      </c>
      <c r="D1318" s="72">
        <v>13.18</v>
      </c>
      <c r="E1318" s="72">
        <v>7.9</v>
      </c>
      <c r="F1318" s="97">
        <v>27.27</v>
      </c>
      <c r="G1318" s="97">
        <v>48.48</v>
      </c>
      <c r="H1318" s="12">
        <v>115.9</v>
      </c>
      <c r="I1318" s="12">
        <v>114.61</v>
      </c>
      <c r="J1318" s="12">
        <v>124.28</v>
      </c>
      <c r="K1318" s="12">
        <v>105.64</v>
      </c>
      <c r="L1318" s="12">
        <v>127.99</v>
      </c>
      <c r="M1318" s="12"/>
    </row>
    <row r="1319" spans="1:14" x14ac:dyDescent="0.25">
      <c r="A1319" s="68" t="s">
        <v>21</v>
      </c>
      <c r="B1319" s="72">
        <v>186.13</v>
      </c>
      <c r="C1319" s="72">
        <v>211.06</v>
      </c>
      <c r="D1319" s="72">
        <v>236.82</v>
      </c>
      <c r="E1319" s="72">
        <v>242.1</v>
      </c>
      <c r="F1319" s="97">
        <v>222.73</v>
      </c>
      <c r="G1319" s="97">
        <f t="shared" ref="G1319:L1319" si="51">G1316-G1318</f>
        <v>216.52</v>
      </c>
      <c r="H1319" s="12">
        <f t="shared" si="51"/>
        <v>149.1</v>
      </c>
      <c r="I1319" s="12">
        <f t="shared" si="51"/>
        <v>181.14</v>
      </c>
      <c r="J1319" s="12">
        <f t="shared" si="51"/>
        <v>171.47</v>
      </c>
      <c r="K1319" s="12">
        <f t="shared" si="51"/>
        <v>196.86</v>
      </c>
      <c r="L1319" s="12">
        <f t="shared" si="51"/>
        <v>234.51</v>
      </c>
      <c r="M1319" s="12"/>
    </row>
    <row r="1320" spans="1:14" x14ac:dyDescent="0.25">
      <c r="A1320" s="73" t="s">
        <v>22</v>
      </c>
      <c r="B1320" s="254">
        <v>2016</v>
      </c>
      <c r="C1320" s="254">
        <v>2017</v>
      </c>
      <c r="D1320" s="254">
        <v>2018</v>
      </c>
      <c r="E1320" s="254">
        <v>2019</v>
      </c>
      <c r="F1320" s="435">
        <v>2020</v>
      </c>
      <c r="G1320" s="435">
        <v>2021</v>
      </c>
      <c r="H1320" s="159">
        <v>2022</v>
      </c>
      <c r="I1320" s="159">
        <v>2023</v>
      </c>
      <c r="J1320" s="159">
        <v>2024</v>
      </c>
      <c r="K1320" s="159">
        <v>2025</v>
      </c>
      <c r="L1320" s="159">
        <v>2026</v>
      </c>
      <c r="M1320" s="180">
        <v>2027</v>
      </c>
    </row>
    <row r="1321" spans="1:14" x14ac:dyDescent="0.25">
      <c r="A1321" s="436" t="s">
        <v>135</v>
      </c>
      <c r="B1321" s="437"/>
      <c r="C1321" s="437"/>
      <c r="D1321" s="437"/>
      <c r="E1321" s="437"/>
      <c r="F1321" s="437"/>
      <c r="G1321" s="437"/>
      <c r="H1321" s="437"/>
      <c r="I1321" s="437"/>
      <c r="J1321" s="30"/>
      <c r="K1321" s="30"/>
      <c r="L1321" s="30"/>
      <c r="M1321" s="88"/>
    </row>
    <row r="1322" spans="1:14" x14ac:dyDescent="0.25">
      <c r="A1322" s="315"/>
      <c r="C1322" s="348"/>
    </row>
    <row r="1323" spans="1:14" x14ac:dyDescent="0.25">
      <c r="A1323" s="98" t="s">
        <v>14</v>
      </c>
      <c r="B1323" s="66" t="s">
        <v>638</v>
      </c>
      <c r="C1323" s="66" t="s">
        <v>15</v>
      </c>
      <c r="D1323" s="8"/>
      <c r="E1323" s="8"/>
      <c r="F1323" s="8"/>
      <c r="G1323" s="8"/>
    </row>
    <row r="1324" spans="1:14" x14ac:dyDescent="0.25">
      <c r="A1324" s="95" t="s">
        <v>16</v>
      </c>
      <c r="B1324" s="270">
        <v>2014</v>
      </c>
      <c r="C1324" s="263">
        <v>2015</v>
      </c>
      <c r="D1324" s="263">
        <v>2016</v>
      </c>
      <c r="E1324" s="263">
        <v>2017</v>
      </c>
      <c r="F1324" s="341">
        <v>2018</v>
      </c>
      <c r="G1324" s="341">
        <v>2019</v>
      </c>
      <c r="H1324" s="154">
        <v>2020</v>
      </c>
      <c r="I1324" s="154">
        <v>2021</v>
      </c>
      <c r="J1324" s="154">
        <v>2022</v>
      </c>
      <c r="K1324" s="154">
        <v>2023</v>
      </c>
      <c r="L1324" s="154">
        <v>2024</v>
      </c>
      <c r="M1324" s="154">
        <v>2025</v>
      </c>
      <c r="N1324" s="154">
        <v>2026</v>
      </c>
    </row>
    <row r="1325" spans="1:14" x14ac:dyDescent="0.25">
      <c r="A1325" s="68" t="s">
        <v>17</v>
      </c>
      <c r="B1325" s="72">
        <v>140</v>
      </c>
      <c r="C1325" s="72">
        <v>140</v>
      </c>
      <c r="D1325" s="72">
        <v>140</v>
      </c>
      <c r="E1325" s="72">
        <v>140</v>
      </c>
      <c r="F1325" s="97">
        <v>140</v>
      </c>
      <c r="G1325" s="97">
        <v>140</v>
      </c>
      <c r="H1325" s="97">
        <v>140</v>
      </c>
      <c r="I1325" s="97">
        <v>140</v>
      </c>
      <c r="J1325" s="97">
        <v>140</v>
      </c>
      <c r="K1325" s="97">
        <v>170</v>
      </c>
      <c r="L1325" s="97">
        <v>170</v>
      </c>
      <c r="M1325" s="97">
        <v>170</v>
      </c>
      <c r="N1325" s="97">
        <v>170</v>
      </c>
    </row>
    <row r="1326" spans="1:14" x14ac:dyDescent="0.25">
      <c r="A1326" s="68" t="s">
        <v>18</v>
      </c>
      <c r="B1326" s="72">
        <v>140</v>
      </c>
      <c r="C1326" s="72">
        <v>177.5</v>
      </c>
      <c r="D1326" s="72">
        <v>175</v>
      </c>
      <c r="E1326" s="72">
        <v>175</v>
      </c>
      <c r="F1326" s="97">
        <v>175</v>
      </c>
      <c r="G1326" s="97">
        <v>175</v>
      </c>
      <c r="H1326" s="97">
        <v>148.36000000000001</v>
      </c>
      <c r="I1326" s="97">
        <v>144.99</v>
      </c>
      <c r="J1326" s="97">
        <f>J1325+H1329</f>
        <v>156.91000000000003</v>
      </c>
      <c r="K1326" s="97">
        <f>K1325+I1329</f>
        <v>183.97</v>
      </c>
      <c r="L1326" s="97">
        <f>L1325+2.08</f>
        <v>172.08</v>
      </c>
      <c r="M1326" s="97">
        <f>M1325+0.25*K1325</f>
        <v>212.5</v>
      </c>
      <c r="N1326" s="97">
        <f>N1325+0.25*L1325</f>
        <v>212.5</v>
      </c>
    </row>
    <row r="1327" spans="1:14" x14ac:dyDescent="0.25">
      <c r="A1327" s="68" t="s">
        <v>19</v>
      </c>
      <c r="B1327" s="253" t="s">
        <v>136</v>
      </c>
      <c r="C1327" s="253" t="s">
        <v>137</v>
      </c>
      <c r="D1327" s="253" t="s">
        <v>138</v>
      </c>
      <c r="E1327" s="253" t="s">
        <v>138</v>
      </c>
      <c r="F1327" s="253" t="s">
        <v>138</v>
      </c>
      <c r="G1327" s="253" t="s">
        <v>138</v>
      </c>
      <c r="H1327" s="253" t="s">
        <v>285</v>
      </c>
      <c r="I1327" s="253" t="s">
        <v>499</v>
      </c>
      <c r="J1327" s="253" t="s">
        <v>500</v>
      </c>
      <c r="K1327" s="253" t="s">
        <v>733</v>
      </c>
      <c r="L1327" s="253" t="s">
        <v>926</v>
      </c>
      <c r="M1327" s="253" t="s">
        <v>1105</v>
      </c>
      <c r="N1327" s="253" t="s">
        <v>1105</v>
      </c>
    </row>
    <row r="1328" spans="1:14" x14ac:dyDescent="0.25">
      <c r="A1328" s="68" t="s">
        <v>20</v>
      </c>
      <c r="B1328" s="72">
        <v>3.42</v>
      </c>
      <c r="C1328" s="72">
        <v>3.47</v>
      </c>
      <c r="D1328" s="72">
        <v>48.27</v>
      </c>
      <c r="E1328" s="72">
        <v>85.96</v>
      </c>
      <c r="F1328" s="97">
        <v>166.64</v>
      </c>
      <c r="G1328" s="97">
        <v>170.01</v>
      </c>
      <c r="H1328" s="12">
        <v>131.44999999999999</v>
      </c>
      <c r="I1328" s="12">
        <v>131.02000000000001</v>
      </c>
      <c r="J1328" s="12">
        <v>152.91999999999999</v>
      </c>
      <c r="K1328" s="12">
        <v>88</v>
      </c>
      <c r="L1328" s="12">
        <v>168.33</v>
      </c>
      <c r="M1328" s="12"/>
      <c r="N1328" s="12"/>
    </row>
    <row r="1329" spans="1:14" x14ac:dyDescent="0.25">
      <c r="A1329" s="68" t="s">
        <v>21</v>
      </c>
      <c r="B1329" s="438">
        <v>136.58000000000001</v>
      </c>
      <c r="C1329" s="72">
        <v>174.03</v>
      </c>
      <c r="D1329" s="72">
        <v>126.73</v>
      </c>
      <c r="E1329" s="72">
        <v>89.04</v>
      </c>
      <c r="F1329" s="97">
        <v>8.36</v>
      </c>
      <c r="G1329" s="97">
        <f t="shared" ref="G1329:K1329" si="52">G1326-G1328</f>
        <v>4.9900000000000091</v>
      </c>
      <c r="H1329" s="12">
        <f t="shared" si="52"/>
        <v>16.910000000000025</v>
      </c>
      <c r="I1329" s="12">
        <f t="shared" si="52"/>
        <v>13.969999999999999</v>
      </c>
      <c r="J1329" s="12">
        <f t="shared" si="52"/>
        <v>3.9900000000000375</v>
      </c>
      <c r="K1329" s="12">
        <f t="shared" si="52"/>
        <v>95.97</v>
      </c>
      <c r="L1329" s="12">
        <f>L1326-L1328</f>
        <v>3.75</v>
      </c>
      <c r="M1329" s="12"/>
      <c r="N1329" s="12"/>
    </row>
    <row r="1330" spans="1:14" x14ac:dyDescent="0.25">
      <c r="A1330" s="73" t="s">
        <v>22</v>
      </c>
      <c r="B1330" s="254">
        <v>2016</v>
      </c>
      <c r="C1330" s="254">
        <v>2017</v>
      </c>
      <c r="D1330" s="254">
        <v>2018</v>
      </c>
      <c r="E1330" s="254">
        <v>2019</v>
      </c>
      <c r="F1330" s="435">
        <v>2020</v>
      </c>
      <c r="G1330" s="435">
        <v>2021</v>
      </c>
      <c r="H1330" s="159">
        <v>2022</v>
      </c>
      <c r="I1330" s="159">
        <v>2023</v>
      </c>
      <c r="J1330" s="159">
        <v>2024</v>
      </c>
      <c r="K1330" s="159">
        <v>2025</v>
      </c>
      <c r="L1330" s="159">
        <v>2026</v>
      </c>
      <c r="M1330" s="159">
        <v>2027</v>
      </c>
      <c r="N1330" s="197">
        <v>2028</v>
      </c>
    </row>
    <row r="1331" spans="1:14" x14ac:dyDescent="0.25">
      <c r="A1331" s="92" t="s">
        <v>135</v>
      </c>
      <c r="B1331" s="255"/>
      <c r="C1331" s="255"/>
      <c r="D1331" s="255"/>
      <c r="E1331" s="255"/>
      <c r="F1331" s="255"/>
      <c r="G1331" s="255"/>
      <c r="H1331" s="439"/>
      <c r="I1331" s="439"/>
      <c r="J1331" s="439"/>
      <c r="K1331" s="439"/>
      <c r="L1331" s="439"/>
      <c r="M1331" s="439"/>
      <c r="N1331" s="63"/>
    </row>
    <row r="1332" spans="1:14" x14ac:dyDescent="0.25">
      <c r="A1332" s="440" t="s">
        <v>927</v>
      </c>
      <c r="B1332" s="111"/>
      <c r="C1332" s="111"/>
      <c r="D1332" s="111"/>
      <c r="E1332" s="111"/>
      <c r="F1332" s="111"/>
      <c r="G1332" s="111"/>
      <c r="H1332" s="111"/>
      <c r="I1332" s="181"/>
      <c r="J1332" s="181"/>
      <c r="K1332" s="181"/>
      <c r="L1332" s="181"/>
      <c r="M1332" s="181"/>
      <c r="N1332" s="48"/>
    </row>
    <row r="1333" spans="1:14" x14ac:dyDescent="0.25">
      <c r="A1333" s="315"/>
      <c r="C1333" s="348"/>
    </row>
    <row r="1334" spans="1:14" x14ac:dyDescent="0.25">
      <c r="A1334" s="98" t="s">
        <v>14</v>
      </c>
      <c r="B1334" s="66" t="s">
        <v>623</v>
      </c>
      <c r="C1334" s="66" t="s">
        <v>152</v>
      </c>
      <c r="D1334" s="8"/>
      <c r="E1334" s="8"/>
      <c r="F1334" s="8"/>
      <c r="G1334" s="8"/>
    </row>
    <row r="1335" spans="1:14" x14ac:dyDescent="0.25">
      <c r="A1335" s="95" t="s">
        <v>16</v>
      </c>
      <c r="B1335" s="270">
        <v>2014</v>
      </c>
      <c r="C1335" s="263">
        <v>2015</v>
      </c>
      <c r="D1335" s="263">
        <v>2016</v>
      </c>
      <c r="E1335" s="263" t="s">
        <v>242</v>
      </c>
      <c r="F1335" s="263" t="s">
        <v>243</v>
      </c>
      <c r="G1335" s="263" t="s">
        <v>244</v>
      </c>
      <c r="H1335" s="263" t="s">
        <v>286</v>
      </c>
      <c r="I1335" s="263" t="s">
        <v>504</v>
      </c>
      <c r="J1335" s="263" t="s">
        <v>674</v>
      </c>
      <c r="K1335" s="263" t="s">
        <v>823</v>
      </c>
      <c r="L1335" s="263" t="s">
        <v>1043</v>
      </c>
      <c r="M1335" s="441" t="s">
        <v>1186</v>
      </c>
    </row>
    <row r="1336" spans="1:14" x14ac:dyDescent="0.25">
      <c r="A1336" s="68" t="s">
        <v>17</v>
      </c>
      <c r="B1336" s="72">
        <v>50</v>
      </c>
      <c r="C1336" s="72">
        <v>50</v>
      </c>
      <c r="D1336" s="72">
        <v>50</v>
      </c>
      <c r="E1336" s="72">
        <v>50</v>
      </c>
      <c r="F1336" s="72">
        <v>50</v>
      </c>
      <c r="G1336" s="72">
        <v>50</v>
      </c>
      <c r="H1336" s="12">
        <v>50</v>
      </c>
      <c r="I1336" s="12">
        <v>50</v>
      </c>
      <c r="J1336" s="12">
        <v>50</v>
      </c>
      <c r="K1336" s="12">
        <v>50</v>
      </c>
      <c r="L1336" s="12">
        <v>50</v>
      </c>
      <c r="M1336" s="442">
        <v>50</v>
      </c>
    </row>
    <row r="1337" spans="1:14" x14ac:dyDescent="0.25">
      <c r="A1337" s="68" t="s">
        <v>18</v>
      </c>
      <c r="B1337" s="72">
        <v>45.6</v>
      </c>
      <c r="C1337" s="72">
        <v>45.6</v>
      </c>
      <c r="D1337" s="72">
        <v>65.34</v>
      </c>
      <c r="E1337" s="72">
        <v>75</v>
      </c>
      <c r="F1337" s="72">
        <v>70</v>
      </c>
      <c r="G1337" s="72">
        <v>70</v>
      </c>
      <c r="H1337" s="12">
        <v>70</v>
      </c>
      <c r="I1337" s="12">
        <v>70</v>
      </c>
      <c r="J1337" s="12">
        <v>70</v>
      </c>
      <c r="K1337" s="12">
        <v>70</v>
      </c>
      <c r="L1337" s="12">
        <v>70</v>
      </c>
      <c r="M1337" s="442">
        <f>M1336+(K1336*0.4)</f>
        <v>70</v>
      </c>
    </row>
    <row r="1338" spans="1:14" x14ac:dyDescent="0.25">
      <c r="A1338" s="68" t="s">
        <v>19</v>
      </c>
      <c r="B1338" s="251" t="s">
        <v>139</v>
      </c>
      <c r="C1338" s="253" t="s">
        <v>139</v>
      </c>
      <c r="D1338" s="253" t="s">
        <v>140</v>
      </c>
      <c r="E1338" s="253" t="s">
        <v>141</v>
      </c>
      <c r="F1338" s="253" t="s">
        <v>245</v>
      </c>
      <c r="G1338" s="253" t="s">
        <v>245</v>
      </c>
      <c r="H1338" s="11" t="s">
        <v>245</v>
      </c>
      <c r="I1338" s="11" t="s">
        <v>245</v>
      </c>
      <c r="J1338" s="11" t="s">
        <v>245</v>
      </c>
      <c r="K1338" s="11" t="s">
        <v>245</v>
      </c>
      <c r="L1338" s="11" t="s">
        <v>245</v>
      </c>
      <c r="M1338" s="443" t="s">
        <v>1187</v>
      </c>
    </row>
    <row r="1339" spans="1:14" x14ac:dyDescent="0.25">
      <c r="A1339" s="68" t="s">
        <v>20</v>
      </c>
      <c r="B1339" s="72">
        <v>34.659999999999997</v>
      </c>
      <c r="C1339" s="72">
        <v>0</v>
      </c>
      <c r="D1339" s="72">
        <v>9.14</v>
      </c>
      <c r="E1339" s="72">
        <v>18.559999999999999</v>
      </c>
      <c r="F1339" s="72">
        <v>8.7899999999999991</v>
      </c>
      <c r="G1339" s="72">
        <v>9.3699999999999992</v>
      </c>
      <c r="H1339" s="12">
        <v>13.7</v>
      </c>
      <c r="I1339" s="12">
        <v>13.48</v>
      </c>
      <c r="J1339" s="12">
        <v>16.86</v>
      </c>
      <c r="K1339" s="12">
        <v>19.89</v>
      </c>
      <c r="L1339" s="12">
        <v>17.59</v>
      </c>
      <c r="M1339" s="442"/>
    </row>
    <row r="1340" spans="1:14" x14ac:dyDescent="0.25">
      <c r="A1340" s="68" t="s">
        <v>21</v>
      </c>
      <c r="B1340" s="72">
        <v>10.94</v>
      </c>
      <c r="C1340" s="72">
        <v>45.6</v>
      </c>
      <c r="D1340" s="72">
        <v>56.2</v>
      </c>
      <c r="E1340" s="72">
        <v>56.44</v>
      </c>
      <c r="F1340" s="72">
        <v>61.21</v>
      </c>
      <c r="G1340" s="72">
        <f t="shared" ref="G1340:L1340" si="53">G1337-G1339</f>
        <v>60.63</v>
      </c>
      <c r="H1340" s="72">
        <f t="shared" si="53"/>
        <v>56.3</v>
      </c>
      <c r="I1340" s="72">
        <f t="shared" si="53"/>
        <v>56.519999999999996</v>
      </c>
      <c r="J1340" s="72">
        <f t="shared" si="53"/>
        <v>53.14</v>
      </c>
      <c r="K1340" s="72">
        <f t="shared" si="53"/>
        <v>50.11</v>
      </c>
      <c r="L1340" s="72">
        <f t="shared" si="53"/>
        <v>52.41</v>
      </c>
      <c r="M1340" s="442"/>
    </row>
    <row r="1341" spans="1:14" x14ac:dyDescent="0.25">
      <c r="A1341" s="73" t="s">
        <v>22</v>
      </c>
      <c r="B1341" s="254">
        <v>2016</v>
      </c>
      <c r="C1341" s="254">
        <v>2017</v>
      </c>
      <c r="D1341" s="254">
        <v>2018</v>
      </c>
      <c r="E1341" s="254">
        <v>2019</v>
      </c>
      <c r="F1341" s="254">
        <v>2020</v>
      </c>
      <c r="G1341" s="254">
        <v>2021</v>
      </c>
      <c r="H1341" s="159">
        <v>2022</v>
      </c>
      <c r="I1341" s="159">
        <v>2023</v>
      </c>
      <c r="J1341" s="159">
        <v>2024</v>
      </c>
      <c r="K1341" s="159">
        <v>2025</v>
      </c>
      <c r="L1341" s="159">
        <v>2026</v>
      </c>
      <c r="M1341" s="444">
        <v>2026</v>
      </c>
    </row>
    <row r="1342" spans="1:14" x14ac:dyDescent="0.25">
      <c r="A1342" s="92" t="s">
        <v>579</v>
      </c>
      <c r="B1342" s="255"/>
      <c r="C1342" s="255"/>
      <c r="D1342" s="255"/>
      <c r="E1342" s="255"/>
      <c r="F1342" s="255"/>
      <c r="G1342" s="255"/>
      <c r="H1342" s="439"/>
      <c r="I1342" s="439"/>
      <c r="J1342" s="439"/>
      <c r="K1342" s="439"/>
      <c r="L1342" s="439"/>
      <c r="M1342" s="63"/>
    </row>
    <row r="1343" spans="1:14" x14ac:dyDescent="0.25">
      <c r="A1343" s="94" t="s">
        <v>502</v>
      </c>
      <c r="B1343" s="445"/>
      <c r="C1343" s="445"/>
      <c r="D1343" s="445"/>
      <c r="E1343" s="445"/>
      <c r="F1343" s="445"/>
      <c r="G1343" s="445"/>
      <c r="H1343" s="446"/>
      <c r="M1343" s="64"/>
    </row>
    <row r="1344" spans="1:14" x14ac:dyDescent="0.25">
      <c r="A1344" s="95" t="s">
        <v>503</v>
      </c>
      <c r="B1344" s="85"/>
      <c r="C1344" s="85"/>
      <c r="D1344" s="85"/>
      <c r="E1344" s="85"/>
      <c r="F1344" s="85"/>
      <c r="G1344" s="85"/>
      <c r="H1344" s="85"/>
      <c r="I1344" s="34"/>
      <c r="J1344" s="34"/>
      <c r="K1344" s="34"/>
      <c r="L1344" s="34"/>
      <c r="M1344" s="48"/>
    </row>
    <row r="1345" spans="1:14" ht="15.6" customHeight="1" x14ac:dyDescent="0.25">
      <c r="A1345" s="119"/>
      <c r="B1345" s="8"/>
      <c r="C1345" s="8"/>
      <c r="D1345" s="8"/>
      <c r="E1345" s="8"/>
      <c r="F1345" s="8"/>
      <c r="G1345" s="8"/>
    </row>
    <row r="1346" spans="1:14" x14ac:dyDescent="0.25">
      <c r="A1346" s="98" t="s">
        <v>14</v>
      </c>
      <c r="B1346" s="66" t="s">
        <v>641</v>
      </c>
      <c r="C1346" s="137" t="s">
        <v>152</v>
      </c>
      <c r="D1346" s="8"/>
      <c r="E1346" s="8"/>
      <c r="F1346" s="8"/>
      <c r="G1346" s="8"/>
    </row>
    <row r="1347" spans="1:14" x14ac:dyDescent="0.25">
      <c r="A1347" s="95" t="s">
        <v>16</v>
      </c>
      <c r="B1347" s="270">
        <v>2014</v>
      </c>
      <c r="C1347" s="263">
        <v>2015</v>
      </c>
      <c r="D1347" s="263">
        <v>2016</v>
      </c>
      <c r="E1347" s="263">
        <v>2017</v>
      </c>
      <c r="F1347" s="263" t="s">
        <v>243</v>
      </c>
      <c r="G1347" s="263" t="s">
        <v>244</v>
      </c>
      <c r="H1347" s="154" t="s">
        <v>286</v>
      </c>
      <c r="I1347" s="154" t="s">
        <v>504</v>
      </c>
      <c r="J1347" s="154" t="s">
        <v>674</v>
      </c>
      <c r="K1347" s="154">
        <v>2023</v>
      </c>
      <c r="L1347" s="154">
        <v>2023</v>
      </c>
      <c r="M1347" s="447">
        <v>2024</v>
      </c>
      <c r="N1347" s="447">
        <v>2025</v>
      </c>
    </row>
    <row r="1348" spans="1:14" x14ac:dyDescent="0.25">
      <c r="A1348" s="68" t="s">
        <v>17</v>
      </c>
      <c r="B1348" s="72">
        <v>50</v>
      </c>
      <c r="C1348" s="72">
        <v>50</v>
      </c>
      <c r="D1348" s="72">
        <v>50</v>
      </c>
      <c r="E1348" s="72">
        <v>50</v>
      </c>
      <c r="F1348" s="72">
        <v>50</v>
      </c>
      <c r="G1348" s="72">
        <v>50</v>
      </c>
      <c r="H1348" s="12">
        <v>50</v>
      </c>
      <c r="I1348" s="12">
        <v>50</v>
      </c>
      <c r="J1348" s="12">
        <v>50</v>
      </c>
      <c r="K1348" s="12">
        <v>50</v>
      </c>
      <c r="L1348" s="12">
        <v>50</v>
      </c>
      <c r="M1348" s="442">
        <v>50</v>
      </c>
      <c r="N1348" s="442">
        <v>50</v>
      </c>
    </row>
    <row r="1349" spans="1:14" x14ac:dyDescent="0.25">
      <c r="A1349" s="68" t="s">
        <v>18</v>
      </c>
      <c r="B1349" s="72">
        <v>50</v>
      </c>
      <c r="C1349" s="72">
        <v>60.7</v>
      </c>
      <c r="D1349" s="72">
        <v>47.37</v>
      </c>
      <c r="E1349" s="72">
        <v>65</v>
      </c>
      <c r="F1349" s="72">
        <v>60</v>
      </c>
      <c r="G1349" s="72">
        <v>60</v>
      </c>
      <c r="H1349" s="12">
        <f>H1348*1.2</f>
        <v>60</v>
      </c>
      <c r="I1349" s="12">
        <f>I1348*1.2</f>
        <v>60</v>
      </c>
      <c r="J1349" s="12">
        <f>J1348*1.2</f>
        <v>60</v>
      </c>
      <c r="K1349" s="12">
        <v>55</v>
      </c>
      <c r="L1349" s="12">
        <v>55</v>
      </c>
      <c r="M1349" s="442">
        <f>M1348+(K1348*0.1)</f>
        <v>55</v>
      </c>
      <c r="N1349" s="442">
        <f>N1348+(L1348*0.1)</f>
        <v>55</v>
      </c>
    </row>
    <row r="1350" spans="1:14" x14ac:dyDescent="0.25">
      <c r="A1350" s="68" t="s">
        <v>19</v>
      </c>
      <c r="B1350" s="253"/>
      <c r="C1350" s="253" t="s">
        <v>142</v>
      </c>
      <c r="D1350" s="253" t="s">
        <v>143</v>
      </c>
      <c r="E1350" s="253" t="s">
        <v>144</v>
      </c>
      <c r="F1350" s="253" t="s">
        <v>287</v>
      </c>
      <c r="G1350" s="253" t="s">
        <v>287</v>
      </c>
      <c r="H1350" s="253" t="s">
        <v>287</v>
      </c>
      <c r="I1350" s="253" t="s">
        <v>287</v>
      </c>
      <c r="J1350" s="253" t="s">
        <v>287</v>
      </c>
      <c r="K1350" s="253" t="s">
        <v>826</v>
      </c>
      <c r="L1350" s="253" t="s">
        <v>826</v>
      </c>
      <c r="M1350" s="448" t="s">
        <v>1188</v>
      </c>
      <c r="N1350" s="448" t="s">
        <v>1188</v>
      </c>
    </row>
    <row r="1351" spans="1:14" x14ac:dyDescent="0.25">
      <c r="A1351" s="68" t="s">
        <v>20</v>
      </c>
      <c r="B1351" s="72">
        <v>52.63</v>
      </c>
      <c r="C1351" s="72">
        <v>5.45</v>
      </c>
      <c r="D1351" s="72">
        <v>19.25</v>
      </c>
      <c r="E1351" s="72">
        <v>10.92</v>
      </c>
      <c r="F1351" s="72">
        <v>17.18</v>
      </c>
      <c r="G1351" s="72">
        <v>8.6999999999999993</v>
      </c>
      <c r="H1351" s="12">
        <v>15.41</v>
      </c>
      <c r="I1351" s="12">
        <v>5.56</v>
      </c>
      <c r="J1351" s="12">
        <v>6.37</v>
      </c>
      <c r="K1351" s="12">
        <v>4.57</v>
      </c>
      <c r="L1351" s="12"/>
      <c r="M1351" s="442">
        <v>9.85</v>
      </c>
      <c r="N1351" s="442"/>
    </row>
    <row r="1352" spans="1:14" x14ac:dyDescent="0.25">
      <c r="A1352" s="68" t="s">
        <v>21</v>
      </c>
      <c r="B1352" s="72">
        <v>-2.63</v>
      </c>
      <c r="C1352" s="72">
        <v>55.25</v>
      </c>
      <c r="D1352" s="72">
        <v>28.12</v>
      </c>
      <c r="E1352" s="72">
        <v>54.08</v>
      </c>
      <c r="F1352" s="72">
        <f t="shared" ref="F1352:K1352" si="54">F1349-F1351</f>
        <v>42.82</v>
      </c>
      <c r="G1352" s="72">
        <f t="shared" si="54"/>
        <v>51.3</v>
      </c>
      <c r="H1352" s="12">
        <f t="shared" si="54"/>
        <v>44.59</v>
      </c>
      <c r="I1352" s="12">
        <f t="shared" si="54"/>
        <v>54.44</v>
      </c>
      <c r="J1352" s="12">
        <f t="shared" si="54"/>
        <v>53.63</v>
      </c>
      <c r="K1352" s="12">
        <f t="shared" si="54"/>
        <v>50.43</v>
      </c>
      <c r="L1352" s="12"/>
      <c r="M1352" s="442">
        <f>M1349-M1351</f>
        <v>45.15</v>
      </c>
      <c r="N1352" s="442"/>
    </row>
    <row r="1353" spans="1:14" x14ac:dyDescent="0.25">
      <c r="A1353" s="73" t="s">
        <v>22</v>
      </c>
      <c r="B1353" s="254">
        <v>2016</v>
      </c>
      <c r="C1353" s="254">
        <v>2017</v>
      </c>
      <c r="D1353" s="254">
        <v>2018</v>
      </c>
      <c r="E1353" s="254">
        <v>2019</v>
      </c>
      <c r="F1353" s="254">
        <v>2020</v>
      </c>
      <c r="G1353" s="254">
        <v>2021</v>
      </c>
      <c r="H1353" s="159">
        <v>2022</v>
      </c>
      <c r="I1353" s="159">
        <v>2023</v>
      </c>
      <c r="J1353" s="159">
        <v>2024</v>
      </c>
      <c r="K1353" s="159">
        <v>2025</v>
      </c>
      <c r="L1353" s="159">
        <v>2025</v>
      </c>
      <c r="M1353" s="449">
        <v>2026</v>
      </c>
      <c r="N1353" s="449">
        <v>2026</v>
      </c>
    </row>
    <row r="1354" spans="1:14" x14ac:dyDescent="0.25">
      <c r="A1354" s="92" t="s">
        <v>455</v>
      </c>
      <c r="B1354" s="255"/>
      <c r="C1354" s="255"/>
      <c r="D1354" s="255"/>
      <c r="E1354" s="255"/>
      <c r="F1354" s="255"/>
      <c r="G1354" s="255"/>
      <c r="H1354" s="439"/>
      <c r="I1354" s="19"/>
      <c r="J1354" s="19"/>
      <c r="K1354" s="19"/>
      <c r="L1354" s="19"/>
      <c r="M1354" s="19"/>
      <c r="N1354" s="63"/>
    </row>
    <row r="1355" spans="1:14" x14ac:dyDescent="0.25">
      <c r="A1355" s="94" t="s">
        <v>824</v>
      </c>
      <c r="B1355" s="445"/>
      <c r="C1355" s="445"/>
      <c r="D1355" s="445"/>
      <c r="E1355" s="445"/>
      <c r="F1355" s="445"/>
      <c r="G1355" s="445"/>
      <c r="H1355" s="446"/>
      <c r="N1355" s="64"/>
    </row>
    <row r="1356" spans="1:14" x14ac:dyDescent="0.25">
      <c r="A1356" s="95" t="s">
        <v>825</v>
      </c>
      <c r="B1356" s="85"/>
      <c r="C1356" s="85"/>
      <c r="D1356" s="85"/>
      <c r="E1356" s="85"/>
      <c r="F1356" s="85"/>
      <c r="G1356" s="85"/>
      <c r="H1356" s="85"/>
      <c r="I1356" s="34"/>
      <c r="J1356" s="34"/>
      <c r="K1356" s="34"/>
      <c r="L1356" s="34"/>
      <c r="M1356" s="34"/>
      <c r="N1356" s="48"/>
    </row>
    <row r="1357" spans="1:14" ht="14.4" customHeight="1" x14ac:dyDescent="0.25">
      <c r="A1357" s="138"/>
      <c r="B1357" s="138"/>
      <c r="C1357" s="138"/>
      <c r="D1357" s="138"/>
      <c r="E1357" s="138"/>
      <c r="F1357" s="138"/>
      <c r="G1357" s="138"/>
      <c r="H1357" s="138"/>
    </row>
    <row r="1358" spans="1:14" ht="14.4" customHeight="1" x14ac:dyDescent="0.25">
      <c r="A1358" s="98" t="s">
        <v>203</v>
      </c>
      <c r="B1358" s="66" t="s">
        <v>642</v>
      </c>
      <c r="C1358" s="66" t="s">
        <v>152</v>
      </c>
      <c r="D1358" s="8"/>
      <c r="E1358" s="8"/>
      <c r="F1358" s="8"/>
      <c r="G1358" s="8"/>
    </row>
    <row r="1359" spans="1:14" ht="14.4" customHeight="1" x14ac:dyDescent="0.25">
      <c r="A1359" s="95" t="s">
        <v>16</v>
      </c>
      <c r="B1359" s="247"/>
      <c r="C1359" s="69"/>
      <c r="D1359" s="263">
        <v>2016</v>
      </c>
      <c r="E1359" s="263">
        <v>2017</v>
      </c>
      <c r="F1359" s="263">
        <v>2018</v>
      </c>
      <c r="G1359" s="263">
        <v>2019</v>
      </c>
      <c r="H1359" s="154">
        <v>2020</v>
      </c>
      <c r="I1359" s="154">
        <v>2021</v>
      </c>
      <c r="J1359" s="154">
        <v>2022</v>
      </c>
      <c r="K1359" s="154">
        <v>2023</v>
      </c>
      <c r="L1359" s="154">
        <v>2024</v>
      </c>
      <c r="M1359" s="154">
        <v>2025</v>
      </c>
    </row>
    <row r="1360" spans="1:14" ht="14.4" customHeight="1" x14ac:dyDescent="0.25">
      <c r="A1360" s="68" t="s">
        <v>17</v>
      </c>
      <c r="B1360" s="72"/>
      <c r="C1360" s="72"/>
      <c r="D1360" s="72">
        <v>113.66</v>
      </c>
      <c r="E1360" s="72">
        <v>136.46</v>
      </c>
      <c r="F1360" s="72">
        <v>160</v>
      </c>
      <c r="G1360" s="72">
        <v>184</v>
      </c>
      <c r="H1360" s="12">
        <v>200</v>
      </c>
      <c r="I1360" s="12">
        <v>200</v>
      </c>
      <c r="J1360" s="12">
        <v>200</v>
      </c>
      <c r="K1360" s="12">
        <v>221</v>
      </c>
      <c r="L1360" s="12">
        <v>221</v>
      </c>
      <c r="M1360" s="90">
        <v>221</v>
      </c>
    </row>
    <row r="1361" spans="1:13" ht="14.4" customHeight="1" x14ac:dyDescent="0.25">
      <c r="A1361" s="68" t="s">
        <v>18</v>
      </c>
      <c r="B1361" s="72"/>
      <c r="C1361" s="72"/>
      <c r="D1361" s="72">
        <v>163.66</v>
      </c>
      <c r="E1361" s="72">
        <v>181.46</v>
      </c>
      <c r="F1361" s="72">
        <v>210</v>
      </c>
      <c r="G1361" s="72">
        <v>234</v>
      </c>
      <c r="H1361" s="12">
        <v>251.57</v>
      </c>
      <c r="I1361" s="12">
        <f>I1360+50+H1364</f>
        <v>254.29999999999998</v>
      </c>
      <c r="J1361" s="12">
        <f>J1360+50+10</f>
        <v>260</v>
      </c>
      <c r="K1361" s="12">
        <f>K1360+50+J1364</f>
        <v>278.72399999999999</v>
      </c>
      <c r="L1361" s="12">
        <v>276.17</v>
      </c>
      <c r="M1361" s="90">
        <v>279.22000000000003</v>
      </c>
    </row>
    <row r="1362" spans="1:13" ht="14.4" customHeight="1" x14ac:dyDescent="0.25">
      <c r="A1362" s="68" t="s">
        <v>19</v>
      </c>
      <c r="B1362" s="252"/>
      <c r="C1362" s="252"/>
      <c r="D1362" s="253" t="s">
        <v>290</v>
      </c>
      <c r="E1362" s="253" t="s">
        <v>291</v>
      </c>
      <c r="F1362" s="253" t="s">
        <v>292</v>
      </c>
      <c r="G1362" s="253" t="s">
        <v>293</v>
      </c>
      <c r="H1362" s="11" t="s">
        <v>294</v>
      </c>
      <c r="I1362" s="11" t="s">
        <v>506</v>
      </c>
      <c r="J1362" s="11" t="s">
        <v>676</v>
      </c>
      <c r="K1362" s="11" t="s">
        <v>829</v>
      </c>
      <c r="L1362" s="11" t="s">
        <v>1138</v>
      </c>
      <c r="M1362" s="90" t="s">
        <v>1139</v>
      </c>
    </row>
    <row r="1363" spans="1:13" ht="14.4" customHeight="1" x14ac:dyDescent="0.25">
      <c r="A1363" s="68" t="s">
        <v>20</v>
      </c>
      <c r="B1363" s="72"/>
      <c r="C1363" s="72"/>
      <c r="D1363" s="72">
        <v>161.08000000000001</v>
      </c>
      <c r="E1363" s="72">
        <v>181.19</v>
      </c>
      <c r="F1363" s="72">
        <v>207.97</v>
      </c>
      <c r="G1363" s="72">
        <v>232.43299999999999</v>
      </c>
      <c r="H1363" s="12">
        <v>247.27</v>
      </c>
      <c r="I1363" s="12">
        <v>242.24</v>
      </c>
      <c r="J1363" s="12">
        <v>252.27600000000001</v>
      </c>
      <c r="K1363" s="12">
        <v>273.55</v>
      </c>
      <c r="L1363" s="12">
        <v>267.99</v>
      </c>
      <c r="M1363" s="90"/>
    </row>
    <row r="1364" spans="1:13" ht="14.4" customHeight="1" x14ac:dyDescent="0.25">
      <c r="A1364" s="68" t="s">
        <v>21</v>
      </c>
      <c r="B1364" s="72"/>
      <c r="C1364" s="72"/>
      <c r="D1364" s="72">
        <v>2.58</v>
      </c>
      <c r="E1364" s="72">
        <v>0.27</v>
      </c>
      <c r="F1364" s="72">
        <v>2.0299999999999998</v>
      </c>
      <c r="G1364" s="72">
        <v>1.5670000000000073</v>
      </c>
      <c r="H1364" s="12">
        <f>H1361-H1363</f>
        <v>4.2999999999999829</v>
      </c>
      <c r="I1364" s="12">
        <f>I1361-I1363</f>
        <v>12.059999999999974</v>
      </c>
      <c r="J1364" s="12">
        <f>J1361-J1363</f>
        <v>7.7239999999999895</v>
      </c>
      <c r="K1364" s="12">
        <f>K1361-K1363</f>
        <v>5.1739999999999782</v>
      </c>
      <c r="L1364" s="12">
        <v>8.1800000000000068</v>
      </c>
      <c r="M1364" s="90"/>
    </row>
    <row r="1365" spans="1:13" ht="14.4" customHeight="1" x14ac:dyDescent="0.25">
      <c r="A1365" s="73" t="s">
        <v>22</v>
      </c>
      <c r="B1365" s="74"/>
      <c r="C1365" s="74"/>
      <c r="D1365" s="74"/>
      <c r="E1365" s="74"/>
      <c r="F1365" s="74"/>
      <c r="G1365" s="254">
        <v>2020</v>
      </c>
      <c r="H1365" s="159">
        <v>2021</v>
      </c>
      <c r="I1365" s="17">
        <v>2022</v>
      </c>
      <c r="J1365" s="17">
        <v>2023</v>
      </c>
      <c r="K1365" s="17">
        <v>2024</v>
      </c>
      <c r="L1365" s="17">
        <v>2025</v>
      </c>
      <c r="M1365" s="90">
        <v>2026</v>
      </c>
    </row>
    <row r="1366" spans="1:13" ht="14.4" customHeight="1" x14ac:dyDescent="0.25">
      <c r="A1366" s="92" t="s">
        <v>295</v>
      </c>
      <c r="B1366" s="93"/>
      <c r="C1366" s="93"/>
      <c r="D1366" s="93"/>
      <c r="E1366" s="93"/>
      <c r="F1366" s="93"/>
      <c r="G1366" s="93"/>
      <c r="H1366" s="19"/>
      <c r="I1366" s="19"/>
      <c r="J1366" s="19"/>
      <c r="K1366" s="19"/>
      <c r="L1366" s="19"/>
      <c r="M1366" s="63"/>
    </row>
    <row r="1367" spans="1:13" ht="14.4" customHeight="1" x14ac:dyDescent="0.25">
      <c r="A1367" s="94" t="s">
        <v>296</v>
      </c>
      <c r="B1367" s="8"/>
      <c r="C1367" s="8"/>
      <c r="D1367" s="8"/>
      <c r="E1367" s="8"/>
      <c r="F1367" s="8"/>
      <c r="G1367" s="8"/>
      <c r="M1367" s="64"/>
    </row>
    <row r="1368" spans="1:13" ht="14.4" customHeight="1" x14ac:dyDescent="0.25">
      <c r="A1368" s="94" t="s">
        <v>297</v>
      </c>
      <c r="B1368" s="8"/>
      <c r="C1368" s="8"/>
      <c r="D1368" s="8"/>
      <c r="E1368" s="8"/>
      <c r="F1368" s="8"/>
      <c r="G1368" s="8"/>
      <c r="M1368" s="64"/>
    </row>
    <row r="1369" spans="1:13" ht="14.4" customHeight="1" x14ac:dyDescent="0.25">
      <c r="A1369" s="94" t="s">
        <v>298</v>
      </c>
      <c r="B1369" s="8"/>
      <c r="C1369" s="8"/>
      <c r="D1369" s="8"/>
      <c r="E1369" s="8"/>
      <c r="F1369" s="8"/>
      <c r="G1369" s="8"/>
      <c r="M1369" s="64"/>
    </row>
    <row r="1370" spans="1:13" ht="14.4" customHeight="1" x14ac:dyDescent="0.25">
      <c r="A1370" s="94" t="s">
        <v>505</v>
      </c>
      <c r="B1370" s="8"/>
      <c r="C1370" s="8"/>
      <c r="D1370" s="8"/>
      <c r="E1370" s="8"/>
      <c r="F1370" s="8"/>
      <c r="G1370" s="8"/>
      <c r="M1370" s="64"/>
    </row>
    <row r="1371" spans="1:13" ht="14.4" customHeight="1" x14ac:dyDescent="0.25">
      <c r="A1371" s="94" t="s">
        <v>675</v>
      </c>
      <c r="B1371" s="8"/>
      <c r="C1371" s="8"/>
      <c r="D1371" s="8"/>
      <c r="E1371" s="8"/>
      <c r="F1371" s="8"/>
      <c r="G1371" s="8"/>
      <c r="M1371" s="64"/>
    </row>
    <row r="1372" spans="1:13" ht="14.4" customHeight="1" x14ac:dyDescent="0.25">
      <c r="A1372" s="94" t="s">
        <v>827</v>
      </c>
      <c r="B1372" s="8"/>
      <c r="C1372" s="8"/>
      <c r="D1372" s="8"/>
      <c r="E1372" s="8"/>
      <c r="F1372" s="8"/>
      <c r="G1372" s="8"/>
      <c r="M1372" s="64"/>
    </row>
    <row r="1373" spans="1:13" ht="14.4" customHeight="1" x14ac:dyDescent="0.25">
      <c r="A1373" s="95" t="s">
        <v>828</v>
      </c>
      <c r="B1373" s="85"/>
      <c r="C1373" s="85"/>
      <c r="D1373" s="85"/>
      <c r="E1373" s="85"/>
      <c r="F1373" s="85"/>
      <c r="G1373" s="85"/>
      <c r="H1373" s="34"/>
      <c r="I1373" s="34"/>
      <c r="J1373" s="34"/>
      <c r="K1373" s="34"/>
      <c r="L1373" s="34"/>
      <c r="M1373" s="48"/>
    </row>
    <row r="1374" spans="1:13" ht="14.4" customHeight="1" x14ac:dyDescent="0.25">
      <c r="A1374" s="138"/>
      <c r="B1374" s="138"/>
      <c r="C1374" s="138"/>
      <c r="D1374" s="138"/>
      <c r="E1374" s="138"/>
      <c r="F1374" s="138"/>
      <c r="G1374" s="138"/>
      <c r="H1374" s="138"/>
    </row>
    <row r="1375" spans="1:13" x14ac:dyDescent="0.25">
      <c r="A1375" s="98" t="s">
        <v>203</v>
      </c>
      <c r="B1375" s="66" t="s">
        <v>66</v>
      </c>
      <c r="C1375" s="66" t="s">
        <v>152</v>
      </c>
      <c r="D1375" s="8"/>
      <c r="E1375" s="8"/>
      <c r="F1375" s="8"/>
      <c r="G1375" s="8"/>
    </row>
    <row r="1376" spans="1:13" x14ac:dyDescent="0.25">
      <c r="A1376" s="95" t="s">
        <v>16</v>
      </c>
      <c r="B1376" s="270">
        <v>2014</v>
      </c>
      <c r="C1376" s="263">
        <v>2015</v>
      </c>
      <c r="D1376" s="263">
        <v>2016</v>
      </c>
      <c r="E1376" s="263">
        <v>2017</v>
      </c>
      <c r="F1376" s="263">
        <v>2018</v>
      </c>
      <c r="G1376" s="263">
        <v>2019</v>
      </c>
      <c r="H1376" s="154">
        <v>2020</v>
      </c>
      <c r="I1376" s="154">
        <v>2021</v>
      </c>
      <c r="J1376" s="154">
        <v>2022</v>
      </c>
      <c r="K1376" s="154">
        <v>2023</v>
      </c>
      <c r="L1376" s="154">
        <v>2024</v>
      </c>
      <c r="M1376" s="447" t="s">
        <v>1189</v>
      </c>
    </row>
    <row r="1377" spans="1:13" x14ac:dyDescent="0.25">
      <c r="A1377" s="68" t="s">
        <v>17</v>
      </c>
      <c r="B1377" s="72">
        <v>1983</v>
      </c>
      <c r="C1377" s="72">
        <v>1983</v>
      </c>
      <c r="D1377" s="72">
        <v>1486</v>
      </c>
      <c r="E1377" s="72">
        <v>1486</v>
      </c>
      <c r="F1377" s="72">
        <v>1486</v>
      </c>
      <c r="G1377" s="72">
        <v>1486</v>
      </c>
      <c r="H1377" s="12">
        <v>1000</v>
      </c>
      <c r="I1377" s="12">
        <v>984</v>
      </c>
      <c r="J1377" s="12">
        <v>992</v>
      </c>
      <c r="K1377" s="12">
        <v>992</v>
      </c>
      <c r="L1377" s="12">
        <v>992</v>
      </c>
      <c r="M1377" s="442">
        <v>1100</v>
      </c>
    </row>
    <row r="1378" spans="1:13" x14ac:dyDescent="0.25">
      <c r="A1378" s="68" t="s">
        <v>18</v>
      </c>
      <c r="B1378" s="72">
        <v>2557.9</v>
      </c>
      <c r="C1378" s="72">
        <v>2557.9</v>
      </c>
      <c r="D1378" s="72">
        <v>2080.9</v>
      </c>
      <c r="E1378" s="72">
        <v>1708.9</v>
      </c>
      <c r="F1378" s="72">
        <v>1485.9</v>
      </c>
      <c r="G1378" s="72">
        <v>1485.9</v>
      </c>
      <c r="H1378" s="12">
        <f>H1377+F1377*0.15-223</f>
        <v>999.90000000000009</v>
      </c>
      <c r="I1378" s="12">
        <f>I1377-223+G1377*0.1</f>
        <v>909.6</v>
      </c>
      <c r="J1378" s="12">
        <f>J1377-223+H1377*0.1</f>
        <v>869</v>
      </c>
      <c r="K1378" s="12">
        <f>K1377+0.1*I1377-223</f>
        <v>867.40000000000009</v>
      </c>
      <c r="L1378" s="12">
        <f>L1377+0.1*J1377-223</f>
        <v>868.2</v>
      </c>
      <c r="M1378" s="450">
        <v>1010.74</v>
      </c>
    </row>
    <row r="1379" spans="1:13" ht="28.95" customHeight="1" x14ac:dyDescent="0.25">
      <c r="A1379" s="68" t="s">
        <v>19</v>
      </c>
      <c r="B1379" s="252" t="s">
        <v>145</v>
      </c>
      <c r="C1379" s="252" t="s">
        <v>145</v>
      </c>
      <c r="D1379" s="252" t="s">
        <v>146</v>
      </c>
      <c r="E1379" s="252" t="s">
        <v>147</v>
      </c>
      <c r="F1379" s="252" t="s">
        <v>215</v>
      </c>
      <c r="G1379" s="252" t="s">
        <v>216</v>
      </c>
      <c r="H1379" s="195" t="s">
        <v>508</v>
      </c>
      <c r="I1379" s="195" t="s">
        <v>677</v>
      </c>
      <c r="J1379" s="195" t="s">
        <v>678</v>
      </c>
      <c r="K1379" s="195" t="s">
        <v>832</v>
      </c>
      <c r="L1379" s="195" t="s">
        <v>1044</v>
      </c>
      <c r="M1379" s="450"/>
    </row>
    <row r="1380" spans="1:13" x14ac:dyDescent="0.25">
      <c r="A1380" s="68" t="s">
        <v>20</v>
      </c>
      <c r="B1380" s="72">
        <v>1038.83</v>
      </c>
      <c r="C1380" s="72">
        <v>670.7</v>
      </c>
      <c r="D1380" s="72">
        <v>561.97</v>
      </c>
      <c r="E1380" s="72">
        <v>432.09</v>
      </c>
      <c r="F1380" s="72">
        <v>662.7</v>
      </c>
      <c r="G1380" s="72">
        <v>539.84</v>
      </c>
      <c r="H1380" s="12">
        <v>587.15</v>
      </c>
      <c r="I1380" s="12">
        <v>674.38</v>
      </c>
      <c r="J1380" s="12">
        <v>763.45</v>
      </c>
      <c r="K1380" s="12">
        <v>724.12</v>
      </c>
      <c r="L1380" s="12">
        <v>728.31</v>
      </c>
      <c r="M1380" s="442"/>
    </row>
    <row r="1381" spans="1:13" x14ac:dyDescent="0.25">
      <c r="A1381" s="68" t="s">
        <v>21</v>
      </c>
      <c r="B1381" s="72">
        <v>1519.07</v>
      </c>
      <c r="C1381" s="72">
        <v>1887.2</v>
      </c>
      <c r="D1381" s="72">
        <v>1518.93</v>
      </c>
      <c r="E1381" s="72">
        <v>1276.8100000000002</v>
      </c>
      <c r="F1381" s="72">
        <v>823.2</v>
      </c>
      <c r="G1381" s="72">
        <f t="shared" ref="G1381:L1381" si="55">G1378-G1380</f>
        <v>946.06000000000006</v>
      </c>
      <c r="H1381" s="12">
        <f t="shared" si="55"/>
        <v>412.75000000000011</v>
      </c>
      <c r="I1381" s="12">
        <f t="shared" si="55"/>
        <v>235.22000000000003</v>
      </c>
      <c r="J1381" s="12">
        <f t="shared" si="55"/>
        <v>105.54999999999995</v>
      </c>
      <c r="K1381" s="12">
        <f t="shared" si="55"/>
        <v>143.28000000000009</v>
      </c>
      <c r="L1381" s="12">
        <f t="shared" si="55"/>
        <v>139.8900000000001</v>
      </c>
      <c r="M1381" s="442"/>
    </row>
    <row r="1382" spans="1:13" x14ac:dyDescent="0.25">
      <c r="A1382" s="73" t="s">
        <v>22</v>
      </c>
      <c r="B1382" s="254">
        <v>2016</v>
      </c>
      <c r="C1382" s="254">
        <v>2017</v>
      </c>
      <c r="D1382" s="254">
        <v>2018</v>
      </c>
      <c r="E1382" s="254">
        <v>2019</v>
      </c>
      <c r="F1382" s="254">
        <v>2020</v>
      </c>
      <c r="G1382" s="254">
        <v>2021</v>
      </c>
      <c r="H1382" s="159">
        <v>2022</v>
      </c>
      <c r="I1382" s="159">
        <v>2023</v>
      </c>
      <c r="J1382" s="159">
        <v>2024</v>
      </c>
      <c r="K1382" s="159">
        <v>2025</v>
      </c>
      <c r="L1382" s="159">
        <v>2026</v>
      </c>
      <c r="M1382" s="444">
        <v>2027</v>
      </c>
    </row>
    <row r="1383" spans="1:13" x14ac:dyDescent="0.25">
      <c r="A1383" s="92" t="s">
        <v>580</v>
      </c>
      <c r="B1383" s="255"/>
      <c r="C1383" s="255"/>
      <c r="D1383" s="255"/>
      <c r="E1383" s="255"/>
      <c r="F1383" s="255"/>
      <c r="G1383" s="255"/>
      <c r="H1383" s="439"/>
      <c r="I1383" s="439"/>
      <c r="J1383" s="439"/>
      <c r="K1383" s="439"/>
      <c r="L1383" s="439"/>
      <c r="M1383" s="63"/>
    </row>
    <row r="1384" spans="1:13" x14ac:dyDescent="0.25">
      <c r="A1384" s="94" t="s">
        <v>288</v>
      </c>
      <c r="B1384" s="8"/>
      <c r="C1384" s="8"/>
      <c r="D1384" s="8"/>
      <c r="E1384" s="8"/>
      <c r="F1384" s="8"/>
      <c r="G1384" s="8"/>
      <c r="M1384" s="64"/>
    </row>
    <row r="1385" spans="1:13" x14ac:dyDescent="0.25">
      <c r="A1385" s="94" t="s">
        <v>289</v>
      </c>
      <c r="B1385" s="8"/>
      <c r="C1385" s="8"/>
      <c r="D1385" s="8"/>
      <c r="E1385" s="8"/>
      <c r="F1385" s="8"/>
      <c r="G1385" s="8"/>
      <c r="M1385" s="64"/>
    </row>
    <row r="1386" spans="1:13" x14ac:dyDescent="0.25">
      <c r="A1386" s="94" t="s">
        <v>509</v>
      </c>
      <c r="B1386" s="8"/>
      <c r="C1386" s="8"/>
      <c r="D1386" s="8"/>
      <c r="E1386" s="8"/>
      <c r="F1386" s="8"/>
      <c r="G1386" s="8"/>
      <c r="M1386" s="64"/>
    </row>
    <row r="1387" spans="1:13" x14ac:dyDescent="0.25">
      <c r="A1387" s="94" t="s">
        <v>148</v>
      </c>
      <c r="B1387" s="8"/>
      <c r="C1387" s="8"/>
      <c r="D1387" s="8"/>
      <c r="E1387" s="8"/>
      <c r="F1387" s="8"/>
      <c r="G1387" s="8"/>
      <c r="M1387" s="64"/>
    </row>
    <row r="1388" spans="1:13" x14ac:dyDescent="0.25">
      <c r="A1388" s="94" t="s">
        <v>507</v>
      </c>
      <c r="B1388" s="8"/>
      <c r="C1388" s="8"/>
      <c r="D1388" s="8"/>
      <c r="E1388" s="8"/>
      <c r="F1388" s="8"/>
      <c r="G1388" s="8"/>
      <c r="M1388" s="64"/>
    </row>
    <row r="1389" spans="1:13" x14ac:dyDescent="0.25">
      <c r="A1389" s="94" t="s">
        <v>679</v>
      </c>
      <c r="B1389" s="8"/>
      <c r="C1389" s="8"/>
      <c r="D1389" s="8"/>
      <c r="E1389" s="8"/>
      <c r="F1389" s="8"/>
      <c r="G1389" s="8"/>
      <c r="M1389" s="64"/>
    </row>
    <row r="1390" spans="1:13" x14ac:dyDescent="0.25">
      <c r="A1390" s="94" t="s">
        <v>830</v>
      </c>
      <c r="B1390" s="8"/>
      <c r="C1390" s="8"/>
      <c r="D1390" s="8"/>
      <c r="E1390" s="8"/>
      <c r="F1390" s="8"/>
      <c r="G1390" s="8"/>
      <c r="M1390" s="64"/>
    </row>
    <row r="1391" spans="1:13" x14ac:dyDescent="0.25">
      <c r="A1391" s="95" t="s">
        <v>831</v>
      </c>
      <c r="B1391" s="85"/>
      <c r="C1391" s="85"/>
      <c r="D1391" s="85"/>
      <c r="E1391" s="85"/>
      <c r="F1391" s="85"/>
      <c r="G1391" s="85"/>
      <c r="H1391" s="34"/>
      <c r="I1391" s="34"/>
      <c r="J1391" s="34"/>
      <c r="K1391" s="34"/>
      <c r="L1391" s="34"/>
      <c r="M1391" s="48"/>
    </row>
    <row r="1392" spans="1:13" x14ac:dyDescent="0.25">
      <c r="A1392" s="8"/>
      <c r="B1392" s="8"/>
      <c r="C1392" s="8"/>
      <c r="D1392" s="8"/>
      <c r="E1392" s="8"/>
      <c r="F1392" s="8"/>
      <c r="G1392" s="8"/>
    </row>
    <row r="1393" spans="1:13" x14ac:dyDescent="0.25">
      <c r="A1393" s="315"/>
      <c r="C1393" s="348"/>
    </row>
    <row r="1394" spans="1:13" x14ac:dyDescent="0.25">
      <c r="A1394" s="98" t="s">
        <v>203</v>
      </c>
      <c r="B1394" s="66" t="s">
        <v>74</v>
      </c>
      <c r="C1394" s="66" t="s">
        <v>152</v>
      </c>
      <c r="D1394" s="8"/>
      <c r="E1394" s="8"/>
      <c r="F1394" s="8"/>
      <c r="G1394" s="8"/>
    </row>
    <row r="1395" spans="1:13" x14ac:dyDescent="0.25">
      <c r="A1395" s="95" t="s">
        <v>16</v>
      </c>
      <c r="B1395" s="270">
        <v>2014</v>
      </c>
      <c r="C1395" s="263">
        <v>2015</v>
      </c>
      <c r="D1395" s="263">
        <v>2016</v>
      </c>
      <c r="E1395" s="263">
        <v>2017</v>
      </c>
      <c r="F1395" s="263">
        <v>2018</v>
      </c>
      <c r="G1395" s="263">
        <v>2019</v>
      </c>
      <c r="H1395" s="154">
        <v>2020</v>
      </c>
      <c r="I1395" s="154">
        <v>2021</v>
      </c>
      <c r="J1395" s="154">
        <v>2022</v>
      </c>
      <c r="K1395" s="154">
        <v>2023</v>
      </c>
      <c r="L1395" s="154">
        <v>2024</v>
      </c>
      <c r="M1395" s="154">
        <v>2025</v>
      </c>
    </row>
    <row r="1396" spans="1:13" x14ac:dyDescent="0.25">
      <c r="A1396" s="68" t="s">
        <v>17</v>
      </c>
      <c r="B1396" s="72">
        <v>35</v>
      </c>
      <c r="C1396" s="72">
        <v>35</v>
      </c>
      <c r="D1396" s="72">
        <v>35</v>
      </c>
      <c r="E1396" s="72">
        <v>35</v>
      </c>
      <c r="F1396" s="72">
        <v>35</v>
      </c>
      <c r="G1396" s="72">
        <v>35</v>
      </c>
      <c r="H1396" s="12">
        <v>29.4</v>
      </c>
      <c r="I1396" s="12">
        <v>29.4</v>
      </c>
      <c r="J1396" s="12">
        <v>29.4</v>
      </c>
      <c r="K1396" s="12">
        <v>29.4</v>
      </c>
      <c r="L1396" s="12">
        <v>29.4</v>
      </c>
      <c r="M1396" s="12">
        <v>29.4</v>
      </c>
    </row>
    <row r="1397" spans="1:13" x14ac:dyDescent="0.25">
      <c r="A1397" s="68" t="s">
        <v>18</v>
      </c>
      <c r="B1397" s="72">
        <v>35</v>
      </c>
      <c r="C1397" s="72">
        <v>42</v>
      </c>
      <c r="D1397" s="72">
        <v>42</v>
      </c>
      <c r="E1397" s="72">
        <v>42</v>
      </c>
      <c r="F1397" s="72">
        <v>42</v>
      </c>
      <c r="G1397" s="72">
        <v>42</v>
      </c>
      <c r="H1397" s="12">
        <v>36.4</v>
      </c>
      <c r="I1397" s="12">
        <v>36.4</v>
      </c>
      <c r="J1397" s="12"/>
      <c r="K1397" s="12"/>
      <c r="L1397" s="12">
        <v>29.4</v>
      </c>
      <c r="M1397" s="12">
        <v>29.4</v>
      </c>
    </row>
    <row r="1398" spans="1:13" x14ac:dyDescent="0.25">
      <c r="A1398" s="68" t="s">
        <v>19</v>
      </c>
      <c r="B1398" s="264" t="s">
        <v>136</v>
      </c>
      <c r="C1398" s="451" t="s">
        <v>149</v>
      </c>
      <c r="D1398" s="451" t="s">
        <v>149</v>
      </c>
      <c r="E1398" s="451" t="s">
        <v>149</v>
      </c>
      <c r="F1398" s="451" t="s">
        <v>149</v>
      </c>
      <c r="G1398" s="451" t="s">
        <v>149</v>
      </c>
      <c r="H1398" s="284" t="s">
        <v>299</v>
      </c>
      <c r="I1398" s="284" t="s">
        <v>299</v>
      </c>
      <c r="J1398" s="284"/>
      <c r="K1398" s="284"/>
      <c r="L1398" s="12">
        <v>29.4</v>
      </c>
      <c r="M1398" s="12">
        <v>29.4</v>
      </c>
    </row>
    <row r="1399" spans="1:13" x14ac:dyDescent="0.25">
      <c r="A1399" s="68" t="s">
        <v>20</v>
      </c>
      <c r="B1399" s="72">
        <v>9.7799999999999994</v>
      </c>
      <c r="C1399" s="72">
        <v>3.07</v>
      </c>
      <c r="D1399" s="72">
        <v>26.19</v>
      </c>
      <c r="E1399" s="72">
        <v>25.13</v>
      </c>
      <c r="F1399" s="72">
        <v>24.55</v>
      </c>
      <c r="G1399" s="72">
        <v>12.91</v>
      </c>
      <c r="H1399" s="12">
        <v>20.36</v>
      </c>
      <c r="I1399" s="12">
        <v>11.52</v>
      </c>
      <c r="J1399" s="12">
        <v>10.3</v>
      </c>
      <c r="K1399" s="12">
        <v>12.92</v>
      </c>
      <c r="L1399" s="12">
        <v>16.309999999999999</v>
      </c>
      <c r="M1399" s="12"/>
    </row>
    <row r="1400" spans="1:13" x14ac:dyDescent="0.25">
      <c r="A1400" s="68" t="s">
        <v>21</v>
      </c>
      <c r="B1400" s="72">
        <v>25.22</v>
      </c>
      <c r="C1400" s="72">
        <v>38.93</v>
      </c>
      <c r="D1400" s="72">
        <v>15.81</v>
      </c>
      <c r="E1400" s="72">
        <v>16.87</v>
      </c>
      <c r="F1400" s="72">
        <v>17.45</v>
      </c>
      <c r="G1400" s="72">
        <f>G1397-G1399</f>
        <v>29.09</v>
      </c>
      <c r="H1400" s="12">
        <f>H1397-H1399</f>
        <v>16.04</v>
      </c>
      <c r="I1400" s="12">
        <f>I1397-I1399</f>
        <v>24.88</v>
      </c>
      <c r="J1400" s="12">
        <f>J1396-J1399</f>
        <v>19.099999999999998</v>
      </c>
      <c r="K1400" s="12">
        <f>K1396-K1399</f>
        <v>16.479999999999997</v>
      </c>
      <c r="L1400" s="12">
        <f>L1396-L1399</f>
        <v>13.09</v>
      </c>
      <c r="M1400" s="90"/>
    </row>
    <row r="1401" spans="1:13" x14ac:dyDescent="0.25">
      <c r="A1401" s="73" t="s">
        <v>22</v>
      </c>
      <c r="B1401" s="254">
        <v>2016</v>
      </c>
      <c r="C1401" s="254">
        <v>2017</v>
      </c>
      <c r="D1401" s="254">
        <v>2018</v>
      </c>
      <c r="E1401" s="254">
        <v>2019</v>
      </c>
      <c r="F1401" s="254">
        <v>2020</v>
      </c>
      <c r="G1401" s="254">
        <v>2021</v>
      </c>
      <c r="H1401" s="254">
        <v>2022</v>
      </c>
      <c r="I1401" s="254">
        <v>2023</v>
      </c>
      <c r="J1401" s="254">
        <v>2024</v>
      </c>
      <c r="K1401" s="254">
        <v>2025</v>
      </c>
      <c r="L1401" s="254">
        <v>2026</v>
      </c>
      <c r="M1401" s="254">
        <v>2027</v>
      </c>
    </row>
    <row r="1402" spans="1:13" x14ac:dyDescent="0.25">
      <c r="A1402" s="92" t="s">
        <v>150</v>
      </c>
      <c r="B1402" s="255"/>
      <c r="C1402" s="255"/>
      <c r="D1402" s="255"/>
      <c r="E1402" s="255"/>
      <c r="F1402" s="255"/>
      <c r="G1402" s="255"/>
      <c r="H1402" s="255"/>
      <c r="I1402" s="255"/>
      <c r="J1402" s="255"/>
      <c r="K1402" s="255"/>
      <c r="L1402" s="19"/>
      <c r="M1402" s="63"/>
    </row>
    <row r="1403" spans="1:13" x14ac:dyDescent="0.25">
      <c r="A1403" s="94" t="s">
        <v>581</v>
      </c>
      <c r="B1403" s="445"/>
      <c r="C1403" s="445"/>
      <c r="D1403" s="445"/>
      <c r="E1403" s="445"/>
      <c r="F1403" s="445"/>
      <c r="G1403" s="445"/>
      <c r="H1403" s="445"/>
      <c r="I1403" s="445"/>
      <c r="J1403" s="445"/>
      <c r="K1403" s="445"/>
      <c r="M1403" s="64"/>
    </row>
    <row r="1404" spans="1:13" x14ac:dyDescent="0.25">
      <c r="A1404" s="110" t="s">
        <v>510</v>
      </c>
      <c r="B1404" s="111"/>
      <c r="C1404" s="111"/>
      <c r="D1404" s="111"/>
      <c r="E1404" s="111"/>
      <c r="F1404" s="111"/>
      <c r="G1404" s="111"/>
      <c r="H1404" s="111"/>
      <c r="I1404" s="111"/>
      <c r="J1404" s="111"/>
      <c r="K1404" s="111"/>
      <c r="L1404" s="34"/>
      <c r="M1404" s="48"/>
    </row>
    <row r="1405" spans="1:13" x14ac:dyDescent="0.25">
      <c r="A1405" s="315"/>
      <c r="C1405" s="348"/>
    </row>
    <row r="1406" spans="1:13" x14ac:dyDescent="0.25">
      <c r="A1406" s="98" t="s">
        <v>14</v>
      </c>
      <c r="B1406" s="66" t="s">
        <v>79</v>
      </c>
      <c r="C1406" s="66" t="s">
        <v>152</v>
      </c>
      <c r="D1406" s="8"/>
      <c r="E1406" s="8"/>
      <c r="F1406" s="8"/>
      <c r="G1406" s="8"/>
    </row>
    <row r="1407" spans="1:13" x14ac:dyDescent="0.25">
      <c r="A1407" s="95" t="s">
        <v>16</v>
      </c>
      <c r="B1407" s="270">
        <v>2014</v>
      </c>
      <c r="C1407" s="263">
        <v>2015</v>
      </c>
      <c r="D1407" s="263">
        <v>2016</v>
      </c>
      <c r="E1407" s="263">
        <v>2017</v>
      </c>
      <c r="F1407" s="263">
        <v>2018</v>
      </c>
      <c r="G1407" s="263">
        <v>2019</v>
      </c>
      <c r="H1407" s="154">
        <v>2020</v>
      </c>
      <c r="I1407" s="154">
        <v>2021</v>
      </c>
      <c r="J1407" s="154">
        <v>2022</v>
      </c>
      <c r="K1407" s="154">
        <v>2023</v>
      </c>
      <c r="L1407" s="447">
        <v>2024</v>
      </c>
      <c r="M1407" s="447">
        <v>2025</v>
      </c>
    </row>
    <row r="1408" spans="1:13" x14ac:dyDescent="0.25">
      <c r="A1408" s="68" t="s">
        <v>17</v>
      </c>
      <c r="B1408" s="72">
        <v>20</v>
      </c>
      <c r="C1408" s="72">
        <v>20</v>
      </c>
      <c r="D1408" s="72">
        <v>20</v>
      </c>
      <c r="E1408" s="72">
        <v>20</v>
      </c>
      <c r="F1408" s="72">
        <v>20</v>
      </c>
      <c r="G1408" s="72">
        <v>20</v>
      </c>
      <c r="H1408" s="72">
        <v>20</v>
      </c>
      <c r="I1408" s="72">
        <v>20</v>
      </c>
      <c r="J1408" s="72">
        <v>20</v>
      </c>
      <c r="K1408" s="72">
        <v>20</v>
      </c>
      <c r="L1408" s="452">
        <v>20</v>
      </c>
      <c r="M1408" s="452">
        <v>20</v>
      </c>
    </row>
    <row r="1409" spans="1:13" x14ac:dyDescent="0.25">
      <c r="A1409" s="68" t="s">
        <v>18</v>
      </c>
      <c r="B1409" s="72">
        <v>20</v>
      </c>
      <c r="C1409" s="72">
        <v>24</v>
      </c>
      <c r="D1409" s="72">
        <v>24</v>
      </c>
      <c r="E1409" s="72">
        <v>24</v>
      </c>
      <c r="F1409" s="72">
        <v>24</v>
      </c>
      <c r="G1409" s="72">
        <v>24</v>
      </c>
      <c r="H1409" s="72">
        <v>24</v>
      </c>
      <c r="I1409" s="72">
        <v>24</v>
      </c>
      <c r="J1409" s="72"/>
      <c r="K1409" s="72"/>
      <c r="L1409" s="452">
        <v>20</v>
      </c>
      <c r="M1409" s="452">
        <v>20</v>
      </c>
    </row>
    <row r="1410" spans="1:13" x14ac:dyDescent="0.25">
      <c r="A1410" s="68" t="s">
        <v>19</v>
      </c>
      <c r="B1410" s="264" t="s">
        <v>136</v>
      </c>
      <c r="C1410" s="264" t="s">
        <v>151</v>
      </c>
      <c r="D1410" s="264" t="s">
        <v>151</v>
      </c>
      <c r="E1410" s="264" t="s">
        <v>151</v>
      </c>
      <c r="F1410" s="264" t="s">
        <v>151</v>
      </c>
      <c r="G1410" s="264" t="s">
        <v>151</v>
      </c>
      <c r="H1410" s="264" t="s">
        <v>151</v>
      </c>
      <c r="I1410" s="264" t="s">
        <v>151</v>
      </c>
      <c r="J1410" s="264"/>
      <c r="K1410" s="264"/>
      <c r="L1410" s="453">
        <v>20</v>
      </c>
      <c r="M1410" s="453">
        <v>20</v>
      </c>
    </row>
    <row r="1411" spans="1:13" x14ac:dyDescent="0.25">
      <c r="A1411" s="68" t="s">
        <v>20</v>
      </c>
      <c r="B1411" s="72">
        <v>0.15</v>
      </c>
      <c r="C1411" s="72">
        <v>0</v>
      </c>
      <c r="D1411" s="72">
        <v>0</v>
      </c>
      <c r="E1411" s="72">
        <v>0.14000000000000001</v>
      </c>
      <c r="F1411" s="72">
        <v>0</v>
      </c>
      <c r="G1411" s="72">
        <v>0</v>
      </c>
      <c r="H1411" s="12">
        <v>0</v>
      </c>
      <c r="I1411" s="12">
        <v>0</v>
      </c>
      <c r="J1411" s="12">
        <v>0</v>
      </c>
      <c r="K1411" s="12">
        <v>0</v>
      </c>
      <c r="L1411" s="442">
        <v>0</v>
      </c>
      <c r="M1411" s="442"/>
    </row>
    <row r="1412" spans="1:13" x14ac:dyDescent="0.25">
      <c r="A1412" s="68" t="s">
        <v>21</v>
      </c>
      <c r="B1412" s="72">
        <v>19.850000000000001</v>
      </c>
      <c r="C1412" s="72">
        <v>24</v>
      </c>
      <c r="D1412" s="72">
        <v>24</v>
      </c>
      <c r="E1412" s="72">
        <v>23.86</v>
      </c>
      <c r="F1412" s="72">
        <v>24</v>
      </c>
      <c r="G1412" s="72">
        <f>G1409-G1411</f>
        <v>24</v>
      </c>
      <c r="H1412" s="72">
        <f>H1409-H1411</f>
        <v>24</v>
      </c>
      <c r="I1412" s="12">
        <v>24</v>
      </c>
      <c r="J1412" s="12">
        <v>20</v>
      </c>
      <c r="K1412" s="12">
        <v>20</v>
      </c>
      <c r="L1412" s="442">
        <v>20</v>
      </c>
      <c r="M1412" s="442"/>
    </row>
    <row r="1413" spans="1:13" x14ac:dyDescent="0.25">
      <c r="A1413" s="73" t="s">
        <v>22</v>
      </c>
      <c r="B1413" s="254">
        <v>2016</v>
      </c>
      <c r="C1413" s="254">
        <v>2017</v>
      </c>
      <c r="D1413" s="254">
        <v>2018</v>
      </c>
      <c r="E1413" s="254">
        <v>2019</v>
      </c>
      <c r="F1413" s="254">
        <v>2020</v>
      </c>
      <c r="G1413" s="254">
        <v>2021</v>
      </c>
      <c r="H1413" s="254"/>
      <c r="I1413" s="254"/>
      <c r="J1413" s="254"/>
      <c r="K1413" s="254"/>
      <c r="L1413" s="254"/>
      <c r="M1413" s="254"/>
    </row>
    <row r="1414" spans="1:13" x14ac:dyDescent="0.25">
      <c r="A1414" s="92" t="s">
        <v>150</v>
      </c>
      <c r="B1414" s="255"/>
      <c r="C1414" s="255"/>
      <c r="D1414" s="255"/>
      <c r="E1414" s="255"/>
      <c r="F1414" s="255"/>
      <c r="G1414" s="255"/>
      <c r="H1414" s="255"/>
      <c r="I1414" s="255"/>
      <c r="J1414" s="255"/>
      <c r="K1414" s="255"/>
      <c r="L1414" s="19"/>
      <c r="M1414" s="63"/>
    </row>
    <row r="1415" spans="1:13" x14ac:dyDescent="0.25">
      <c r="A1415" s="110" t="s">
        <v>510</v>
      </c>
      <c r="B1415" s="111"/>
      <c r="C1415" s="111"/>
      <c r="D1415" s="111"/>
      <c r="E1415" s="111"/>
      <c r="F1415" s="111"/>
      <c r="G1415" s="111"/>
      <c r="H1415" s="111"/>
      <c r="I1415" s="111"/>
      <c r="J1415" s="111"/>
      <c r="K1415" s="111"/>
      <c r="L1415" s="34"/>
      <c r="M1415" s="48"/>
    </row>
    <row r="1416" spans="1:13" x14ac:dyDescent="0.25">
      <c r="A1416" s="315"/>
      <c r="C1416" s="348"/>
    </row>
    <row r="1417" spans="1:13" x14ac:dyDescent="0.25">
      <c r="A1417" s="315"/>
      <c r="C1417" s="348"/>
    </row>
    <row r="1418" spans="1:13" x14ac:dyDescent="0.25">
      <c r="A1418" s="6" t="s">
        <v>12</v>
      </c>
      <c r="B1418" s="7" t="s">
        <v>398</v>
      </c>
    </row>
    <row r="1419" spans="1:13" s="202" customFormat="1" x14ac:dyDescent="0.25">
      <c r="A1419" s="6" t="s">
        <v>14</v>
      </c>
      <c r="B1419" s="7" t="s">
        <v>623</v>
      </c>
      <c r="C1419" s="7" t="s">
        <v>152</v>
      </c>
      <c r="D1419" s="3"/>
      <c r="E1419" s="3"/>
      <c r="F1419" s="3"/>
      <c r="G1419" s="3"/>
      <c r="H1419" s="3"/>
      <c r="I1419" s="3"/>
      <c r="J1419" s="3"/>
    </row>
    <row r="1420" spans="1:13" s="202" customFormat="1" x14ac:dyDescent="0.25">
      <c r="A1420" s="41" t="s">
        <v>16</v>
      </c>
      <c r="B1420" s="274">
        <v>2016</v>
      </c>
      <c r="C1420" s="154">
        <v>2017</v>
      </c>
      <c r="D1420" s="154">
        <v>2018</v>
      </c>
      <c r="E1420" s="154">
        <v>2019</v>
      </c>
      <c r="F1420" s="154">
        <v>2020</v>
      </c>
      <c r="G1420" s="154">
        <v>2021</v>
      </c>
      <c r="H1420" s="154">
        <v>2022</v>
      </c>
      <c r="I1420" s="154">
        <v>2023</v>
      </c>
      <c r="J1420" s="154">
        <v>2024</v>
      </c>
      <c r="K1420" s="154">
        <v>2025</v>
      </c>
    </row>
    <row r="1421" spans="1:13" s="202" customFormat="1" x14ac:dyDescent="0.25">
      <c r="A1421" s="10" t="s">
        <v>17</v>
      </c>
      <c r="B1421" s="12"/>
      <c r="C1421" s="12"/>
      <c r="D1421" s="12"/>
      <c r="E1421" s="12"/>
      <c r="F1421" s="12"/>
      <c r="G1421" s="12"/>
      <c r="H1421" s="12"/>
      <c r="I1421" s="12"/>
      <c r="J1421" s="12"/>
      <c r="K1421" s="12"/>
    </row>
    <row r="1422" spans="1:13" s="202" customFormat="1" x14ac:dyDescent="0.25">
      <c r="A1422" s="10" t="s">
        <v>18</v>
      </c>
      <c r="B1422" s="12"/>
      <c r="C1422" s="12"/>
      <c r="D1422" s="12">
        <f>D1421-C1424</f>
        <v>-94.685890000000001</v>
      </c>
      <c r="E1422" s="12">
        <f t="shared" ref="E1422:I1422" si="56">E1421+D1425</f>
        <v>-97.335890000000006</v>
      </c>
      <c r="F1422" s="12">
        <f t="shared" si="56"/>
        <v>-104.01589000000001</v>
      </c>
      <c r="G1422" s="12">
        <f t="shared" si="56"/>
        <v>-110.74589000000002</v>
      </c>
      <c r="H1422" s="12">
        <f t="shared" si="56"/>
        <v>-114.20589000000001</v>
      </c>
      <c r="I1422" s="12">
        <f t="shared" si="56"/>
        <v>-114.69860000000001</v>
      </c>
      <c r="J1422" s="12">
        <f>J1421+I1425</f>
        <v>-115.27760000000001</v>
      </c>
      <c r="K1422" s="12">
        <f>K1421+J1425</f>
        <v>-118.1876</v>
      </c>
    </row>
    <row r="1423" spans="1:13" s="202" customFormat="1" x14ac:dyDescent="0.25">
      <c r="A1423" s="10" t="s">
        <v>19</v>
      </c>
      <c r="B1423" s="156"/>
      <c r="C1423" s="730" t="s">
        <v>863</v>
      </c>
      <c r="D1423" s="731"/>
      <c r="E1423" s="731"/>
      <c r="F1423" s="731"/>
      <c r="G1423" s="731"/>
      <c r="H1423" s="731"/>
      <c r="I1423" s="731"/>
      <c r="J1423" s="732"/>
      <c r="K1423" s="219"/>
    </row>
    <row r="1424" spans="1:13" s="202" customFormat="1" x14ac:dyDescent="0.25">
      <c r="A1424" s="10" t="s">
        <v>20</v>
      </c>
      <c r="B1424" s="156"/>
      <c r="C1424" s="454">
        <v>94.685890000000001</v>
      </c>
      <c r="D1424" s="454">
        <v>2.65</v>
      </c>
      <c r="E1424" s="455">
        <v>6.68</v>
      </c>
      <c r="F1424" s="156">
        <v>6.73</v>
      </c>
      <c r="G1424" s="156">
        <v>3.46</v>
      </c>
      <c r="H1424" s="12">
        <v>0.49270999999999998</v>
      </c>
      <c r="I1424" s="12">
        <v>0.57899999999999996</v>
      </c>
      <c r="J1424" s="15">
        <v>2.91</v>
      </c>
      <c r="K1424" s="219"/>
    </row>
    <row r="1425" spans="1:11" s="202" customFormat="1" x14ac:dyDescent="0.25">
      <c r="A1425" s="10" t="s">
        <v>21</v>
      </c>
      <c r="B1425" s="12"/>
      <c r="C1425" s="12">
        <f>C1421-C1424</f>
        <v>-94.685890000000001</v>
      </c>
      <c r="D1425" s="12">
        <f t="shared" ref="D1425:I1425" si="57">D1422-D1424</f>
        <v>-97.335890000000006</v>
      </c>
      <c r="E1425" s="12">
        <f t="shared" si="57"/>
        <v>-104.01589000000001</v>
      </c>
      <c r="F1425" s="12">
        <f t="shared" si="57"/>
        <v>-110.74589000000002</v>
      </c>
      <c r="G1425" s="12">
        <f t="shared" si="57"/>
        <v>-114.20589000000001</v>
      </c>
      <c r="H1425" s="12">
        <f t="shared" si="57"/>
        <v>-114.69860000000001</v>
      </c>
      <c r="I1425" s="12">
        <f t="shared" si="57"/>
        <v>-115.27760000000001</v>
      </c>
      <c r="J1425" s="12">
        <f>J1422-J1424</f>
        <v>-118.1876</v>
      </c>
      <c r="K1425" s="219"/>
    </row>
    <row r="1426" spans="1:11" s="202" customFormat="1" x14ac:dyDescent="0.25">
      <c r="A1426" s="16" t="s">
        <v>22</v>
      </c>
      <c r="B1426" s="642">
        <v>2017</v>
      </c>
      <c r="C1426" s="642">
        <v>2018</v>
      </c>
      <c r="D1426" s="642">
        <v>2019</v>
      </c>
      <c r="E1426" s="642">
        <v>2020</v>
      </c>
      <c r="F1426" s="642">
        <v>2021</v>
      </c>
      <c r="G1426" s="642">
        <v>2022</v>
      </c>
      <c r="H1426" s="642">
        <v>2023</v>
      </c>
      <c r="I1426" s="642">
        <v>2024</v>
      </c>
      <c r="J1426" s="642">
        <v>2025</v>
      </c>
      <c r="K1426" s="642">
        <v>2026</v>
      </c>
    </row>
    <row r="1427" spans="1:11" s="202" customFormat="1" x14ac:dyDescent="0.25">
      <c r="A1427" s="18" t="s">
        <v>179</v>
      </c>
      <c r="B1427" s="19"/>
      <c r="C1427" s="19"/>
      <c r="D1427" s="19"/>
      <c r="E1427" s="19"/>
      <c r="F1427" s="19"/>
      <c r="G1427" s="19"/>
      <c r="H1427" s="19"/>
      <c r="I1427" s="19"/>
      <c r="J1427" s="19"/>
      <c r="K1427" s="232"/>
    </row>
    <row r="1428" spans="1:11" s="202" customFormat="1" x14ac:dyDescent="0.25">
      <c r="A1428" s="29" t="s">
        <v>1016</v>
      </c>
      <c r="B1428" s="30"/>
      <c r="C1428" s="30"/>
      <c r="D1428" s="30"/>
      <c r="E1428" s="30"/>
      <c r="F1428" s="30"/>
      <c r="G1428" s="30"/>
      <c r="H1428" s="30"/>
      <c r="I1428" s="30"/>
      <c r="J1428" s="30"/>
      <c r="K1428" s="228"/>
    </row>
    <row r="1429" spans="1:11" s="202" customFormat="1" x14ac:dyDescent="0.25">
      <c r="A1429" s="39"/>
      <c r="B1429" s="3"/>
      <c r="C1429" s="3"/>
      <c r="D1429" s="3"/>
      <c r="E1429" s="3"/>
      <c r="F1429" s="3"/>
      <c r="G1429" s="3"/>
      <c r="H1429" s="3"/>
      <c r="I1429" s="3"/>
      <c r="J1429" s="3"/>
    </row>
    <row r="1430" spans="1:11" s="202" customFormat="1" x14ac:dyDescent="0.25">
      <c r="A1430" s="39"/>
      <c r="B1430" s="3"/>
      <c r="C1430" s="3"/>
      <c r="D1430" s="3"/>
      <c r="E1430" s="3"/>
      <c r="F1430" s="3"/>
      <c r="G1430" s="3"/>
      <c r="H1430" s="3"/>
      <c r="I1430" s="3"/>
      <c r="J1430" s="3"/>
    </row>
    <row r="1431" spans="1:11" x14ac:dyDescent="0.25">
      <c r="A1431" s="6" t="s">
        <v>14</v>
      </c>
      <c r="B1431" s="7" t="s">
        <v>74</v>
      </c>
      <c r="C1431" s="9" t="s">
        <v>152</v>
      </c>
    </row>
    <row r="1432" spans="1:11" x14ac:dyDescent="0.25">
      <c r="A1432" s="41" t="s">
        <v>16</v>
      </c>
      <c r="B1432" s="274">
        <v>2016</v>
      </c>
      <c r="C1432" s="154">
        <v>2017</v>
      </c>
      <c r="D1432" s="154">
        <v>2018</v>
      </c>
      <c r="E1432" s="154">
        <v>2019</v>
      </c>
      <c r="F1432" s="154">
        <v>2020</v>
      </c>
      <c r="G1432" s="154">
        <v>2021</v>
      </c>
      <c r="H1432" s="154">
        <v>2022</v>
      </c>
      <c r="I1432" s="154">
        <v>2023</v>
      </c>
      <c r="J1432" s="154">
        <v>2024</v>
      </c>
      <c r="K1432" s="154">
        <v>2025</v>
      </c>
    </row>
    <row r="1433" spans="1:11" x14ac:dyDescent="0.25">
      <c r="A1433" s="10" t="s">
        <v>17</v>
      </c>
      <c r="B1433" s="12">
        <v>10</v>
      </c>
      <c r="C1433" s="12">
        <v>10</v>
      </c>
      <c r="D1433" s="12">
        <v>10</v>
      </c>
      <c r="E1433" s="12">
        <v>10</v>
      </c>
      <c r="F1433" s="12">
        <v>10</v>
      </c>
      <c r="G1433" s="12">
        <v>10</v>
      </c>
      <c r="H1433" s="12">
        <v>10</v>
      </c>
      <c r="I1433" s="12">
        <v>10</v>
      </c>
      <c r="J1433" s="12">
        <v>10</v>
      </c>
      <c r="K1433" s="12">
        <v>10</v>
      </c>
    </row>
    <row r="1434" spans="1:11" x14ac:dyDescent="0.25">
      <c r="A1434" s="10" t="s">
        <v>18</v>
      </c>
      <c r="B1434" s="12">
        <v>10</v>
      </c>
      <c r="C1434" s="12">
        <f>C1433+B1437</f>
        <v>-106.85</v>
      </c>
      <c r="D1434" s="12">
        <f>D1433+C1437</f>
        <v>-107.18599999999999</v>
      </c>
      <c r="E1434" s="12">
        <f>E1433+D1437</f>
        <v>-97.965349999999987</v>
      </c>
      <c r="F1434" s="12">
        <f>F1433+E1437</f>
        <v>-89.945349999999991</v>
      </c>
      <c r="G1434" s="12">
        <f>F1437+G1433</f>
        <v>-81.765349999999984</v>
      </c>
      <c r="H1434" s="12">
        <f xml:space="preserve"> 1.25*G1437+H1433</f>
        <v>-94.519187499999973</v>
      </c>
      <c r="I1434" s="12">
        <f xml:space="preserve"> 1.25*H1437+I1433</f>
        <v>-115.64898437499997</v>
      </c>
      <c r="J1434" s="12">
        <f xml:space="preserve"> 1.25*I1437+J1433</f>
        <v>-136.97123046874995</v>
      </c>
      <c r="K1434" s="12">
        <f xml:space="preserve"> 1.25*J1437+K1433</f>
        <v>-161.21403808593743</v>
      </c>
    </row>
    <row r="1435" spans="1:11" x14ac:dyDescent="0.25">
      <c r="A1435" s="10" t="s">
        <v>19</v>
      </c>
      <c r="B1435" s="156"/>
      <c r="C1435" s="156" t="s">
        <v>399</v>
      </c>
      <c r="D1435" s="156" t="s">
        <v>400</v>
      </c>
      <c r="E1435" s="156" t="s">
        <v>401</v>
      </c>
      <c r="F1435" s="156" t="s">
        <v>402</v>
      </c>
      <c r="G1435" s="156" t="s">
        <v>566</v>
      </c>
      <c r="H1435" s="156" t="s">
        <v>604</v>
      </c>
      <c r="I1435" s="156" t="s">
        <v>625</v>
      </c>
      <c r="J1435" s="156" t="s">
        <v>784</v>
      </c>
      <c r="K1435" s="156" t="s">
        <v>999</v>
      </c>
    </row>
    <row r="1436" spans="1:11" x14ac:dyDescent="0.25">
      <c r="A1436" s="10" t="s">
        <v>20</v>
      </c>
      <c r="B1436" s="156">
        <v>126.85</v>
      </c>
      <c r="C1436" s="156">
        <v>10.336</v>
      </c>
      <c r="D1436" s="156">
        <v>0.77934999999999999</v>
      </c>
      <c r="E1436" s="156">
        <v>1.98</v>
      </c>
      <c r="F1436" s="156">
        <v>1.82</v>
      </c>
      <c r="G1436" s="156">
        <v>1.85</v>
      </c>
      <c r="H1436" s="156">
        <v>6</v>
      </c>
      <c r="I1436" s="156">
        <v>1.9279999999999999</v>
      </c>
      <c r="J1436" s="674"/>
      <c r="K1436" s="156"/>
    </row>
    <row r="1437" spans="1:11" x14ac:dyDescent="0.25">
      <c r="A1437" s="10" t="s">
        <v>21</v>
      </c>
      <c r="B1437" s="12">
        <f t="shared" ref="B1437:J1437" si="58">B1434-B1436</f>
        <v>-116.85</v>
      </c>
      <c r="C1437" s="12">
        <f t="shared" si="58"/>
        <v>-117.18599999999999</v>
      </c>
      <c r="D1437" s="12">
        <f t="shared" si="58"/>
        <v>-107.96534999999999</v>
      </c>
      <c r="E1437" s="12">
        <f t="shared" si="58"/>
        <v>-99.945349999999991</v>
      </c>
      <c r="F1437" s="12">
        <f t="shared" si="58"/>
        <v>-91.765349999999984</v>
      </c>
      <c r="G1437" s="12">
        <f t="shared" si="58"/>
        <v>-83.615349999999978</v>
      </c>
      <c r="H1437" s="12">
        <f t="shared" si="58"/>
        <v>-100.51918749999997</v>
      </c>
      <c r="I1437" s="12">
        <f t="shared" si="58"/>
        <v>-117.57698437499997</v>
      </c>
      <c r="J1437" s="12">
        <f t="shared" si="58"/>
        <v>-136.97123046874995</v>
      </c>
      <c r="K1437" s="12"/>
    </row>
    <row r="1438" spans="1:11" x14ac:dyDescent="0.25">
      <c r="A1438" s="18" t="s">
        <v>22</v>
      </c>
      <c r="B1438" s="642">
        <v>2017</v>
      </c>
      <c r="C1438" s="642">
        <v>2018</v>
      </c>
      <c r="D1438" s="642">
        <v>2019</v>
      </c>
      <c r="E1438" s="642">
        <v>2020</v>
      </c>
      <c r="F1438" s="642">
        <v>2021</v>
      </c>
      <c r="G1438" s="642">
        <v>2022</v>
      </c>
      <c r="H1438" s="642">
        <v>2023</v>
      </c>
      <c r="I1438" s="642">
        <v>2024</v>
      </c>
      <c r="J1438" s="642">
        <v>2025</v>
      </c>
      <c r="K1438" s="642">
        <v>2026</v>
      </c>
    </row>
    <row r="1439" spans="1:11" x14ac:dyDescent="0.25">
      <c r="A1439" s="18" t="s">
        <v>179</v>
      </c>
      <c r="B1439" s="19"/>
      <c r="C1439" s="19"/>
      <c r="D1439" s="19"/>
      <c r="E1439" s="19"/>
      <c r="F1439" s="19"/>
      <c r="G1439" s="19"/>
      <c r="H1439" s="19"/>
      <c r="I1439" s="19"/>
      <c r="J1439" s="19"/>
      <c r="K1439" s="63"/>
    </row>
    <row r="1440" spans="1:11" x14ac:dyDescent="0.25">
      <c r="A1440" s="56" t="s">
        <v>403</v>
      </c>
      <c r="K1440" s="64"/>
    </row>
    <row r="1441" spans="1:11" x14ac:dyDescent="0.25">
      <c r="A1441" s="56" t="s">
        <v>404</v>
      </c>
      <c r="K1441" s="64"/>
    </row>
    <row r="1442" spans="1:11" x14ac:dyDescent="0.25">
      <c r="A1442" s="56" t="s">
        <v>405</v>
      </c>
      <c r="K1442" s="64"/>
    </row>
    <row r="1443" spans="1:11" x14ac:dyDescent="0.25">
      <c r="A1443" s="56" t="s">
        <v>565</v>
      </c>
      <c r="C1443" s="348"/>
      <c r="K1443" s="64"/>
    </row>
    <row r="1444" spans="1:11" x14ac:dyDescent="0.25">
      <c r="A1444" s="56" t="s">
        <v>567</v>
      </c>
      <c r="C1444" s="348"/>
      <c r="K1444" s="64"/>
    </row>
    <row r="1445" spans="1:11" x14ac:dyDescent="0.25">
      <c r="A1445" s="56" t="s">
        <v>895</v>
      </c>
      <c r="C1445" s="348"/>
      <c r="K1445" s="64"/>
    </row>
    <row r="1446" spans="1:11" x14ac:dyDescent="0.25">
      <c r="A1446" s="56" t="s">
        <v>896</v>
      </c>
      <c r="C1446" s="348"/>
      <c r="K1446" s="64"/>
    </row>
    <row r="1447" spans="1:11" x14ac:dyDescent="0.25">
      <c r="A1447" s="56" t="s">
        <v>1026</v>
      </c>
      <c r="C1447" s="348"/>
      <c r="K1447" s="64"/>
    </row>
    <row r="1448" spans="1:11" s="34" customFormat="1" x14ac:dyDescent="0.25">
      <c r="A1448" s="312" t="s">
        <v>1129</v>
      </c>
      <c r="C1448" s="313"/>
      <c r="K1448" s="48"/>
    </row>
    <row r="1449" spans="1:11" x14ac:dyDescent="0.25">
      <c r="A1449" s="315"/>
      <c r="C1449" s="348"/>
    </row>
    <row r="1450" spans="1:11" x14ac:dyDescent="0.25">
      <c r="A1450" s="6" t="s">
        <v>12</v>
      </c>
      <c r="B1450" s="7" t="s">
        <v>1242</v>
      </c>
    </row>
    <row r="1451" spans="1:11" x14ac:dyDescent="0.25">
      <c r="A1451" s="648" t="s">
        <v>14</v>
      </c>
      <c r="B1451" s="649" t="s">
        <v>1238</v>
      </c>
      <c r="C1451" s="66" t="s">
        <v>152</v>
      </c>
      <c r="D1451" s="138"/>
      <c r="E1451" s="119"/>
      <c r="F1451" s="119"/>
    </row>
    <row r="1452" spans="1:11" x14ac:dyDescent="0.25">
      <c r="A1452" s="95" t="s">
        <v>16</v>
      </c>
      <c r="B1452" s="263"/>
      <c r="C1452" s="263">
        <v>2018</v>
      </c>
      <c r="D1452" s="263">
        <v>2019</v>
      </c>
      <c r="E1452" s="263">
        <v>2020</v>
      </c>
      <c r="F1452" s="263">
        <v>2021</v>
      </c>
      <c r="G1452" s="263">
        <v>2022</v>
      </c>
      <c r="H1452" s="263">
        <v>2023</v>
      </c>
      <c r="I1452" s="263">
        <v>2024</v>
      </c>
      <c r="J1452" s="263">
        <v>2025</v>
      </c>
    </row>
    <row r="1453" spans="1:11" x14ac:dyDescent="0.25">
      <c r="A1453" s="68" t="s">
        <v>17</v>
      </c>
      <c r="B1453" s="72"/>
      <c r="C1453" s="130"/>
      <c r="D1453" s="130"/>
      <c r="E1453" s="130"/>
      <c r="F1453" s="130"/>
      <c r="G1453" s="650"/>
      <c r="H1453" s="650"/>
      <c r="I1453" s="651"/>
      <c r="J1453" s="658">
        <v>125</v>
      </c>
    </row>
    <row r="1454" spans="1:11" x14ac:dyDescent="0.25">
      <c r="A1454" s="68" t="s">
        <v>18</v>
      </c>
      <c r="B1454" s="72"/>
      <c r="C1454" s="130"/>
      <c r="D1454" s="130"/>
      <c r="E1454" s="130">
        <v>-4.5005962749999959</v>
      </c>
      <c r="F1454" s="130">
        <v>-95.627388774999986</v>
      </c>
      <c r="G1454" s="652">
        <v>-275.36213877500001</v>
      </c>
      <c r="H1454" s="653">
        <v>-555.68713877499999</v>
      </c>
      <c r="I1454" s="653">
        <v>-786.01213877500004</v>
      </c>
      <c r="J1454" s="653">
        <v>-761.33713877500008</v>
      </c>
    </row>
    <row r="1455" spans="1:11" ht="26.4" x14ac:dyDescent="0.25">
      <c r="A1455" s="68" t="s">
        <v>19</v>
      </c>
      <c r="B1455" s="264"/>
      <c r="C1455" s="132"/>
      <c r="D1455" s="654" t="s">
        <v>1243</v>
      </c>
      <c r="E1455" s="654" t="s">
        <v>1244</v>
      </c>
      <c r="F1455" s="654" t="s">
        <v>1245</v>
      </c>
      <c r="G1455" s="654" t="s">
        <v>1246</v>
      </c>
      <c r="H1455" s="654" t="s">
        <v>1240</v>
      </c>
      <c r="I1455" s="654" t="s">
        <v>1239</v>
      </c>
      <c r="J1455" s="654"/>
    </row>
    <row r="1456" spans="1:11" x14ac:dyDescent="0.25">
      <c r="A1456" s="68" t="s">
        <v>20</v>
      </c>
      <c r="B1456" s="72"/>
      <c r="C1456" s="130">
        <v>70</v>
      </c>
      <c r="D1456" s="130">
        <v>26</v>
      </c>
      <c r="E1456" s="130">
        <v>112</v>
      </c>
      <c r="F1456" s="130">
        <v>200</v>
      </c>
      <c r="G1456" s="130">
        <v>300</v>
      </c>
      <c r="H1456" s="130">
        <v>250</v>
      </c>
      <c r="I1456" s="130">
        <v>120</v>
      </c>
      <c r="J1456" s="130"/>
    </row>
    <row r="1457" spans="1:11" x14ac:dyDescent="0.25">
      <c r="A1457" s="68" t="s">
        <v>21</v>
      </c>
      <c r="B1457" s="72"/>
      <c r="C1457" s="130"/>
      <c r="D1457" s="130">
        <v>-4.5005962749999959</v>
      </c>
      <c r="E1457" s="130">
        <v>-95.627388774999986</v>
      </c>
      <c r="F1457" s="130">
        <v>-275.36213877500001</v>
      </c>
      <c r="G1457" s="130">
        <v>-555.68713877499999</v>
      </c>
      <c r="H1457" s="130">
        <v>-786.01213877500004</v>
      </c>
      <c r="I1457" s="130">
        <v>-886.33713877500008</v>
      </c>
      <c r="J1457" s="651"/>
    </row>
    <row r="1458" spans="1:11" x14ac:dyDescent="0.25">
      <c r="A1458" s="92" t="s">
        <v>22</v>
      </c>
      <c r="B1458" s="272"/>
      <c r="C1458" s="272"/>
      <c r="D1458" s="272"/>
      <c r="E1458" s="272"/>
      <c r="F1458" s="272"/>
      <c r="G1458" s="659"/>
      <c r="H1458" s="659"/>
      <c r="I1458" s="660"/>
      <c r="J1458" s="660"/>
    </row>
    <row r="1459" spans="1:11" x14ac:dyDescent="0.25">
      <c r="A1459" s="436" t="s">
        <v>23</v>
      </c>
      <c r="B1459" s="656"/>
      <c r="C1459" s="647"/>
      <c r="D1459" s="647"/>
      <c r="E1459" s="656"/>
      <c r="F1459" s="656"/>
      <c r="G1459" s="30"/>
      <c r="H1459" s="30"/>
      <c r="I1459" s="30"/>
      <c r="J1459" s="88"/>
    </row>
    <row r="1460" spans="1:11" ht="12.6" customHeight="1" x14ac:dyDescent="0.25">
      <c r="A1460" s="315"/>
      <c r="C1460" s="348"/>
    </row>
    <row r="1462" spans="1:11" x14ac:dyDescent="0.25">
      <c r="A1462" s="6" t="s">
        <v>11</v>
      </c>
      <c r="B1462" s="7" t="s">
        <v>0</v>
      </c>
    </row>
    <row r="1463" spans="1:11" s="202" customFormat="1" x14ac:dyDescent="0.25">
      <c r="A1463" s="6" t="s">
        <v>1</v>
      </c>
      <c r="B1463" s="7" t="s">
        <v>624</v>
      </c>
      <c r="C1463" s="9" t="s">
        <v>2</v>
      </c>
      <c r="D1463" s="3"/>
      <c r="E1463" s="3"/>
      <c r="F1463" s="3"/>
      <c r="G1463" s="3"/>
    </row>
    <row r="1464" spans="1:11" s="202" customFormat="1" x14ac:dyDescent="0.25">
      <c r="A1464" s="10" t="s">
        <v>3</v>
      </c>
      <c r="B1464" s="154">
        <v>2017</v>
      </c>
      <c r="C1464" s="154">
        <v>2018</v>
      </c>
      <c r="D1464" s="172">
        <v>2019</v>
      </c>
      <c r="E1464" s="154">
        <v>2020</v>
      </c>
      <c r="F1464" s="154">
        <v>2021</v>
      </c>
      <c r="G1464" s="154">
        <v>2022</v>
      </c>
      <c r="H1464" s="154">
        <v>2023</v>
      </c>
      <c r="I1464" s="154">
        <v>2024</v>
      </c>
      <c r="J1464" s="154">
        <v>2025</v>
      </c>
      <c r="K1464" s="457">
        <v>2026</v>
      </c>
    </row>
    <row r="1465" spans="1:11" s="202" customFormat="1" x14ac:dyDescent="0.25">
      <c r="A1465" s="10" t="s">
        <v>4</v>
      </c>
      <c r="B1465" s="156">
        <v>200</v>
      </c>
      <c r="C1465" s="156">
        <v>200</v>
      </c>
      <c r="D1465" s="174">
        <v>215</v>
      </c>
      <c r="E1465" s="156">
        <v>215</v>
      </c>
      <c r="F1465" s="175">
        <v>242</v>
      </c>
      <c r="G1465" s="175">
        <v>242</v>
      </c>
      <c r="H1465" s="175">
        <v>242</v>
      </c>
      <c r="I1465" s="175">
        <v>302</v>
      </c>
      <c r="J1465" s="175">
        <v>302</v>
      </c>
      <c r="K1465" s="458">
        <v>302</v>
      </c>
    </row>
    <row r="1466" spans="1:11" s="202" customFormat="1" x14ac:dyDescent="0.25">
      <c r="A1466" s="10" t="s">
        <v>5</v>
      </c>
      <c r="B1466" s="156">
        <v>250</v>
      </c>
      <c r="C1466" s="156">
        <v>250</v>
      </c>
      <c r="D1466" s="174">
        <v>265</v>
      </c>
      <c r="E1466" s="156">
        <v>265</v>
      </c>
      <c r="F1466" s="175">
        <f>F1465+0.25*D1465</f>
        <v>295.75</v>
      </c>
      <c r="G1466" s="175">
        <f>G1465+0.25*E1465</f>
        <v>295.75</v>
      </c>
      <c r="H1466" s="175">
        <f>H1465+0.25*F1465</f>
        <v>302.5</v>
      </c>
      <c r="I1466" s="175">
        <f>I1465+0.25*G1465</f>
        <v>362.5</v>
      </c>
      <c r="J1466" s="175">
        <f>J1465+0.25*H1465</f>
        <v>362.5</v>
      </c>
      <c r="K1466" s="458">
        <f t="shared" ref="K1466" si="59">K1465+0.25*I1465</f>
        <v>377.5</v>
      </c>
    </row>
    <row r="1467" spans="1:11" s="202" customFormat="1" x14ac:dyDescent="0.25">
      <c r="A1467" s="10" t="s">
        <v>6</v>
      </c>
      <c r="B1467" s="156"/>
      <c r="C1467" s="156"/>
      <c r="D1467" s="156"/>
      <c r="E1467" s="156"/>
      <c r="F1467" s="175"/>
      <c r="G1467" s="175"/>
      <c r="H1467" s="175"/>
      <c r="I1467" s="175"/>
      <c r="J1467" s="175"/>
      <c r="K1467" s="458"/>
    </row>
    <row r="1468" spans="1:11" s="202" customFormat="1" x14ac:dyDescent="0.25">
      <c r="A1468" s="10" t="s">
        <v>7</v>
      </c>
      <c r="B1468" s="156">
        <v>20</v>
      </c>
      <c r="C1468" s="156">
        <v>20</v>
      </c>
      <c r="D1468" s="156">
        <v>25</v>
      </c>
      <c r="E1468" s="156">
        <v>29</v>
      </c>
      <c r="F1468" s="175">
        <v>40</v>
      </c>
      <c r="G1468" s="175">
        <v>60</v>
      </c>
      <c r="H1468" s="175">
        <v>90</v>
      </c>
      <c r="I1468" s="175">
        <v>120</v>
      </c>
      <c r="J1468" s="175"/>
      <c r="K1468" s="458"/>
    </row>
    <row r="1469" spans="1:11" s="202" customFormat="1" x14ac:dyDescent="0.25">
      <c r="A1469" s="10" t="s">
        <v>8</v>
      </c>
      <c r="B1469" s="156">
        <v>230</v>
      </c>
      <c r="C1469" s="156">
        <v>230</v>
      </c>
      <c r="D1469" s="156">
        <v>240</v>
      </c>
      <c r="E1469" s="156">
        <v>236</v>
      </c>
      <c r="F1469" s="175">
        <f>F1466-F1468</f>
        <v>255.75</v>
      </c>
      <c r="G1469" s="175">
        <f>G1466-G1468</f>
        <v>235.75</v>
      </c>
      <c r="H1469" s="175">
        <f>H1466-H1468</f>
        <v>212.5</v>
      </c>
      <c r="I1469" s="175">
        <f>I1466-I1468</f>
        <v>242.5</v>
      </c>
      <c r="J1469" s="175"/>
      <c r="K1469" s="458"/>
    </row>
    <row r="1470" spans="1:11" s="202" customFormat="1" x14ac:dyDescent="0.25">
      <c r="A1470" s="16" t="s">
        <v>9</v>
      </c>
      <c r="B1470" s="159">
        <v>2019</v>
      </c>
      <c r="C1470" s="159">
        <v>2020</v>
      </c>
      <c r="D1470" s="178">
        <v>2021</v>
      </c>
      <c r="E1470" s="159">
        <v>2022</v>
      </c>
      <c r="F1470" s="179">
        <v>2023</v>
      </c>
      <c r="G1470" s="179">
        <v>2024</v>
      </c>
      <c r="H1470" s="179">
        <v>2025</v>
      </c>
      <c r="I1470" s="179">
        <v>2026</v>
      </c>
      <c r="J1470" s="179">
        <v>2027</v>
      </c>
      <c r="K1470" s="459">
        <v>2028</v>
      </c>
    </row>
    <row r="1471" spans="1:11" s="202" customFormat="1" x14ac:dyDescent="0.25">
      <c r="A1471" s="29" t="s">
        <v>10</v>
      </c>
      <c r="B1471" s="30"/>
      <c r="C1471" s="30"/>
      <c r="D1471" s="30"/>
      <c r="E1471" s="30"/>
      <c r="F1471" s="30"/>
      <c r="G1471" s="30"/>
      <c r="H1471" s="460"/>
      <c r="I1471" s="460"/>
      <c r="J1471" s="460"/>
      <c r="K1471" s="228"/>
    </row>
    <row r="1472" spans="1:11" s="202" customFormat="1" x14ac:dyDescent="0.25">
      <c r="A1472" s="708" t="s">
        <v>737</v>
      </c>
      <c r="B1472" s="709"/>
      <c r="C1472" s="709"/>
      <c r="D1472" s="709"/>
      <c r="E1472" s="709"/>
      <c r="F1472" s="709"/>
      <c r="G1472" s="709"/>
      <c r="H1472" s="461"/>
      <c r="I1472" s="461"/>
      <c r="J1472" s="461"/>
      <c r="K1472" s="232"/>
    </row>
    <row r="1473" spans="1:11" s="202" customFormat="1" x14ac:dyDescent="0.25">
      <c r="A1473" s="726" t="s">
        <v>738</v>
      </c>
      <c r="B1473" s="727"/>
      <c r="C1473" s="727"/>
      <c r="D1473" s="727"/>
      <c r="E1473" s="727"/>
      <c r="F1473" s="727"/>
      <c r="G1473" s="727"/>
      <c r="K1473" s="234"/>
    </row>
    <row r="1474" spans="1:11" s="202" customFormat="1" x14ac:dyDescent="0.25">
      <c r="A1474" s="726" t="s">
        <v>739</v>
      </c>
      <c r="B1474" s="727"/>
      <c r="C1474" s="727"/>
      <c r="D1474" s="727"/>
      <c r="E1474" s="727"/>
      <c r="F1474" s="727"/>
      <c r="G1474" s="727"/>
      <c r="K1474" s="234"/>
    </row>
    <row r="1475" spans="1:11" x14ac:dyDescent="0.25">
      <c r="A1475" s="726" t="s">
        <v>740</v>
      </c>
      <c r="B1475" s="727"/>
      <c r="C1475" s="727"/>
      <c r="D1475" s="727"/>
      <c r="E1475" s="727"/>
      <c r="F1475" s="727"/>
      <c r="G1475" s="727"/>
      <c r="K1475" s="64"/>
    </row>
    <row r="1476" spans="1:11" x14ac:dyDescent="0.25">
      <c r="A1476" s="462" t="s">
        <v>939</v>
      </c>
      <c r="B1476" s="315"/>
      <c r="C1476" s="315"/>
      <c r="D1476" s="315"/>
      <c r="E1476" s="315"/>
      <c r="F1476" s="315"/>
      <c r="G1476" s="315"/>
      <c r="K1476" s="64"/>
    </row>
    <row r="1477" spans="1:11" x14ac:dyDescent="0.25">
      <c r="A1477" s="462" t="s">
        <v>959</v>
      </c>
      <c r="B1477" s="315"/>
      <c r="C1477" s="315"/>
      <c r="D1477" s="315"/>
      <c r="E1477" s="315"/>
      <c r="F1477" s="315"/>
      <c r="G1477" s="315"/>
      <c r="K1477" s="64"/>
    </row>
    <row r="1478" spans="1:11" x14ac:dyDescent="0.25">
      <c r="A1478" s="428" t="s">
        <v>1190</v>
      </c>
      <c r="B1478" s="463"/>
      <c r="C1478" s="463"/>
      <c r="D1478" s="463"/>
      <c r="E1478" s="463"/>
      <c r="F1478" s="463"/>
      <c r="G1478" s="463"/>
      <c r="H1478" s="34"/>
      <c r="I1478" s="34"/>
      <c r="J1478" s="34"/>
      <c r="K1478" s="48"/>
    </row>
    <row r="1479" spans="1:11" x14ac:dyDescent="0.25">
      <c r="A1479" s="2"/>
      <c r="B1479" s="2"/>
    </row>
    <row r="1480" spans="1:11" x14ac:dyDescent="0.25">
      <c r="A1480" s="6" t="s">
        <v>1</v>
      </c>
      <c r="B1480" s="7" t="s">
        <v>623</v>
      </c>
      <c r="C1480" s="9" t="s">
        <v>2</v>
      </c>
    </row>
    <row r="1481" spans="1:11" x14ac:dyDescent="0.25">
      <c r="A1481" s="10" t="s">
        <v>3</v>
      </c>
      <c r="B1481" s="154">
        <v>2017</v>
      </c>
      <c r="C1481" s="154">
        <v>2018</v>
      </c>
      <c r="D1481" s="172">
        <v>2019</v>
      </c>
      <c r="E1481" s="154">
        <v>2020</v>
      </c>
      <c r="F1481" s="154">
        <v>2021</v>
      </c>
      <c r="G1481" s="154">
        <v>2022</v>
      </c>
      <c r="H1481" s="154">
        <v>2023</v>
      </c>
      <c r="I1481" s="154">
        <v>2024</v>
      </c>
      <c r="J1481" s="154">
        <v>2025</v>
      </c>
      <c r="K1481" s="457">
        <v>2026</v>
      </c>
    </row>
    <row r="1482" spans="1:11" x14ac:dyDescent="0.25">
      <c r="A1482" s="10" t="s">
        <v>4</v>
      </c>
      <c r="B1482" s="156">
        <v>850</v>
      </c>
      <c r="C1482" s="156">
        <v>850</v>
      </c>
      <c r="D1482" s="174">
        <v>850</v>
      </c>
      <c r="E1482" s="156">
        <v>850</v>
      </c>
      <c r="F1482" s="175">
        <v>850</v>
      </c>
      <c r="G1482" s="175">
        <v>850</v>
      </c>
      <c r="H1482" s="175">
        <v>850</v>
      </c>
      <c r="I1482" s="175">
        <v>850</v>
      </c>
      <c r="J1482" s="175">
        <v>850</v>
      </c>
      <c r="K1482" s="464">
        <v>1186</v>
      </c>
    </row>
    <row r="1483" spans="1:11" x14ac:dyDescent="0.25">
      <c r="A1483" s="10" t="s">
        <v>5</v>
      </c>
      <c r="B1483" s="156">
        <v>950</v>
      </c>
      <c r="C1483" s="156">
        <v>900</v>
      </c>
      <c r="D1483" s="174">
        <v>1000</v>
      </c>
      <c r="E1483" s="156">
        <v>995</v>
      </c>
      <c r="F1483" s="175">
        <v>1095</v>
      </c>
      <c r="G1483" s="175">
        <f>G1482+E1486+150+20+25</f>
        <v>1104.1799999999998</v>
      </c>
      <c r="H1483" s="175">
        <f>H1482+0.15*F1482+150+20+25</f>
        <v>1172.5</v>
      </c>
      <c r="I1483" s="175">
        <f>I1482+G1486+150+20+25+200</f>
        <v>1263.81</v>
      </c>
      <c r="J1483" s="175">
        <f>J1482+H1486+150+20+25+200</f>
        <v>1272.43</v>
      </c>
      <c r="K1483" s="464">
        <f>K1482+I1482*0.15+150+25</f>
        <v>1488.5</v>
      </c>
    </row>
    <row r="1484" spans="1:11" x14ac:dyDescent="0.25">
      <c r="A1484" s="10" t="s">
        <v>6</v>
      </c>
      <c r="B1484" s="156"/>
      <c r="C1484" s="156"/>
      <c r="D1484" s="174"/>
      <c r="E1484" s="156"/>
      <c r="F1484" s="175"/>
      <c r="G1484" s="175"/>
      <c r="H1484" s="175"/>
      <c r="I1484" s="175"/>
      <c r="J1484" s="175"/>
      <c r="K1484" s="458"/>
    </row>
    <row r="1485" spans="1:11" x14ac:dyDescent="0.25">
      <c r="A1485" s="10" t="s">
        <v>7</v>
      </c>
      <c r="B1485" s="156">
        <v>900</v>
      </c>
      <c r="C1485" s="156">
        <v>950</v>
      </c>
      <c r="D1485" s="174">
        <v>950</v>
      </c>
      <c r="E1485" s="156">
        <v>935.82</v>
      </c>
      <c r="F1485" s="175">
        <v>955.3</v>
      </c>
      <c r="G1485" s="175">
        <v>1085.3699999999999</v>
      </c>
      <c r="H1485" s="175">
        <v>1145.07</v>
      </c>
      <c r="I1485" s="175">
        <v>886.85</v>
      </c>
      <c r="J1485" s="175"/>
      <c r="K1485" s="458"/>
    </row>
    <row r="1486" spans="1:11" x14ac:dyDescent="0.25">
      <c r="A1486" s="10" t="s">
        <v>8</v>
      </c>
      <c r="B1486" s="156">
        <f t="shared" ref="B1486:I1486" si="60">B1483-B1485</f>
        <v>50</v>
      </c>
      <c r="C1486" s="156">
        <f t="shared" si="60"/>
        <v>-50</v>
      </c>
      <c r="D1486" s="156">
        <f t="shared" si="60"/>
        <v>50</v>
      </c>
      <c r="E1486" s="156">
        <f t="shared" si="60"/>
        <v>59.17999999999995</v>
      </c>
      <c r="F1486" s="175">
        <f t="shared" si="60"/>
        <v>139.70000000000005</v>
      </c>
      <c r="G1486" s="175">
        <f t="shared" si="60"/>
        <v>18.809999999999945</v>
      </c>
      <c r="H1486" s="175">
        <f t="shared" si="60"/>
        <v>27.430000000000064</v>
      </c>
      <c r="I1486" s="175">
        <f t="shared" si="60"/>
        <v>376.95999999999992</v>
      </c>
      <c r="J1486" s="175"/>
      <c r="K1486" s="458"/>
    </row>
    <row r="1487" spans="1:11" ht="13.2" customHeight="1" x14ac:dyDescent="0.25">
      <c r="A1487" s="16" t="s">
        <v>9</v>
      </c>
      <c r="B1487" s="159">
        <v>2019</v>
      </c>
      <c r="C1487" s="159">
        <v>2020</v>
      </c>
      <c r="D1487" s="178">
        <v>2021</v>
      </c>
      <c r="E1487" s="159">
        <v>2022</v>
      </c>
      <c r="F1487" s="179">
        <v>2023</v>
      </c>
      <c r="G1487" s="179">
        <v>2024</v>
      </c>
      <c r="H1487" s="179">
        <v>2025</v>
      </c>
      <c r="I1487" s="179">
        <v>2026</v>
      </c>
      <c r="J1487" s="179">
        <v>2027</v>
      </c>
      <c r="K1487" s="459">
        <v>2028</v>
      </c>
    </row>
    <row r="1488" spans="1:11" ht="13.2" customHeight="1" x14ac:dyDescent="0.25">
      <c r="A1488" s="29" t="s">
        <v>10</v>
      </c>
      <c r="B1488" s="30"/>
      <c r="C1488" s="30"/>
      <c r="D1488" s="30"/>
      <c r="E1488" s="30"/>
      <c r="F1488" s="30"/>
      <c r="G1488" s="30"/>
      <c r="H1488" s="30"/>
      <c r="I1488" s="30"/>
      <c r="J1488" s="30"/>
      <c r="K1488" s="88"/>
    </row>
    <row r="1489" spans="1:11" x14ac:dyDescent="0.25">
      <c r="A1489" s="18" t="s">
        <v>741</v>
      </c>
      <c r="B1489" s="19"/>
      <c r="C1489" s="19"/>
      <c r="D1489" s="19"/>
      <c r="E1489" s="19"/>
      <c r="F1489" s="19"/>
      <c r="G1489" s="19"/>
      <c r="H1489" s="19"/>
      <c r="I1489" s="19"/>
      <c r="J1489" s="19"/>
      <c r="K1489" s="63"/>
    </row>
    <row r="1490" spans="1:11" x14ac:dyDescent="0.25">
      <c r="A1490" s="39" t="s">
        <v>742</v>
      </c>
      <c r="K1490" s="64"/>
    </row>
    <row r="1491" spans="1:11" x14ac:dyDescent="0.25">
      <c r="A1491" s="56" t="s">
        <v>743</v>
      </c>
      <c r="B1491" s="49"/>
      <c r="C1491" s="49"/>
      <c r="D1491" s="49"/>
      <c r="E1491" s="49"/>
      <c r="F1491" s="49"/>
      <c r="G1491" s="49"/>
      <c r="H1491" s="49"/>
      <c r="K1491" s="64"/>
    </row>
    <row r="1492" spans="1:11" x14ac:dyDescent="0.25">
      <c r="A1492" s="39" t="s">
        <v>744</v>
      </c>
      <c r="K1492" s="64"/>
    </row>
    <row r="1493" spans="1:11" x14ac:dyDescent="0.25">
      <c r="A1493" s="39" t="s">
        <v>745</v>
      </c>
      <c r="K1493" s="64"/>
    </row>
    <row r="1494" spans="1:11" x14ac:dyDescent="0.25">
      <c r="A1494" s="39" t="s">
        <v>746</v>
      </c>
      <c r="K1494" s="64"/>
    </row>
    <row r="1495" spans="1:11" x14ac:dyDescent="0.25">
      <c r="A1495" s="161" t="s">
        <v>960</v>
      </c>
      <c r="B1495" s="32"/>
      <c r="C1495" s="32"/>
      <c r="D1495" s="32"/>
      <c r="E1495" s="32"/>
      <c r="F1495" s="32"/>
      <c r="G1495" s="32"/>
      <c r="H1495" s="32"/>
      <c r="K1495" s="64"/>
    </row>
    <row r="1496" spans="1:11" x14ac:dyDescent="0.25">
      <c r="A1496" s="161" t="s">
        <v>961</v>
      </c>
      <c r="B1496" s="32"/>
      <c r="C1496" s="32"/>
      <c r="D1496" s="32"/>
      <c r="E1496" s="32"/>
      <c r="F1496" s="32"/>
      <c r="G1496" s="32"/>
      <c r="H1496" s="32"/>
      <c r="K1496" s="64"/>
    </row>
    <row r="1497" spans="1:11" x14ac:dyDescent="0.25">
      <c r="A1497" s="162" t="s">
        <v>1191</v>
      </c>
      <c r="B1497" s="22"/>
      <c r="C1497" s="22"/>
      <c r="D1497" s="22"/>
      <c r="E1497" s="22"/>
      <c r="F1497" s="22"/>
      <c r="G1497" s="22"/>
      <c r="H1497" s="22"/>
      <c r="I1497" s="34"/>
      <c r="J1497" s="34"/>
      <c r="K1497" s="48"/>
    </row>
    <row r="1499" spans="1:11" x14ac:dyDescent="0.25">
      <c r="A1499" s="6" t="s">
        <v>1</v>
      </c>
      <c r="B1499" s="7" t="s">
        <v>642</v>
      </c>
      <c r="C1499" s="9" t="s">
        <v>2</v>
      </c>
    </row>
    <row r="1500" spans="1:11" x14ac:dyDescent="0.25">
      <c r="A1500" s="10" t="s">
        <v>3</v>
      </c>
      <c r="B1500" s="11"/>
      <c r="C1500" s="197"/>
      <c r="D1500" s="36"/>
      <c r="E1500" s="154">
        <v>2020</v>
      </c>
      <c r="F1500" s="154">
        <v>2021</v>
      </c>
      <c r="G1500" s="154">
        <v>2022</v>
      </c>
      <c r="H1500" s="154">
        <v>2023</v>
      </c>
      <c r="I1500" s="465">
        <v>2024</v>
      </c>
      <c r="J1500" s="465">
        <v>2025</v>
      </c>
    </row>
    <row r="1501" spans="1:11" x14ac:dyDescent="0.25">
      <c r="A1501" s="10" t="s">
        <v>4</v>
      </c>
      <c r="B1501" s="11"/>
      <c r="C1501" s="466"/>
      <c r="D1501" s="188"/>
      <c r="E1501" s="12">
        <v>3284</v>
      </c>
      <c r="F1501" s="189">
        <v>3284</v>
      </c>
      <c r="G1501" s="189">
        <v>3284</v>
      </c>
      <c r="H1501" s="189">
        <v>3700</v>
      </c>
      <c r="I1501" s="467">
        <v>3700</v>
      </c>
      <c r="J1501" s="467">
        <v>3700</v>
      </c>
    </row>
    <row r="1502" spans="1:11" x14ac:dyDescent="0.25">
      <c r="A1502" s="10" t="s">
        <v>5</v>
      </c>
      <c r="B1502" s="11"/>
      <c r="C1502" s="466"/>
      <c r="D1502" s="188"/>
      <c r="E1502" s="12">
        <v>3488.62</v>
      </c>
      <c r="F1502" s="189">
        <v>3318.91</v>
      </c>
      <c r="G1502" s="189">
        <f>G1501+F1505+259.62</f>
        <v>3568.2699999999995</v>
      </c>
      <c r="H1502" s="189">
        <f>H1501+3</f>
        <v>3703</v>
      </c>
      <c r="I1502" s="467">
        <f>I1501+H1505</f>
        <v>3739</v>
      </c>
      <c r="J1502" s="468">
        <f>J1501+I1505+50</f>
        <v>3870.13</v>
      </c>
    </row>
    <row r="1503" spans="1:11" x14ac:dyDescent="0.25">
      <c r="A1503" s="10" t="s">
        <v>6</v>
      </c>
      <c r="B1503" s="11"/>
      <c r="C1503" s="466"/>
      <c r="D1503" s="188"/>
      <c r="E1503" s="12"/>
      <c r="F1503" s="189"/>
      <c r="G1503" s="189"/>
      <c r="H1503" s="189"/>
      <c r="I1503" s="467"/>
      <c r="J1503" s="467"/>
    </row>
    <row r="1504" spans="1:11" x14ac:dyDescent="0.25">
      <c r="A1504" s="10" t="s">
        <v>7</v>
      </c>
      <c r="B1504" s="11"/>
      <c r="C1504" s="466"/>
      <c r="D1504" s="188"/>
      <c r="E1504" s="12">
        <v>3453.71</v>
      </c>
      <c r="F1504" s="189">
        <v>3294.26</v>
      </c>
      <c r="G1504" s="189">
        <v>3565.05</v>
      </c>
      <c r="H1504" s="189">
        <v>3664</v>
      </c>
      <c r="I1504" s="467">
        <v>3618.87</v>
      </c>
      <c r="J1504" s="467"/>
    </row>
    <row r="1505" spans="1:10" x14ac:dyDescent="0.25">
      <c r="A1505" s="10" t="s">
        <v>8</v>
      </c>
      <c r="B1505" s="11"/>
      <c r="C1505" s="466"/>
      <c r="D1505" s="188"/>
      <c r="E1505" s="12">
        <v>34.909999999999997</v>
      </c>
      <c r="F1505" s="189">
        <f>F1502-F1504</f>
        <v>24.649999999999636</v>
      </c>
      <c r="G1505" s="189">
        <f>G1502-G1504</f>
        <v>3.2199999999993452</v>
      </c>
      <c r="H1505" s="189">
        <f>H1502-H1504</f>
        <v>39</v>
      </c>
      <c r="I1505" s="467">
        <f>I1502-I1504</f>
        <v>120.13000000000011</v>
      </c>
      <c r="J1505" s="467"/>
    </row>
    <row r="1506" spans="1:10" x14ac:dyDescent="0.25">
      <c r="A1506" s="16" t="s">
        <v>9</v>
      </c>
      <c r="B1506" s="17"/>
      <c r="C1506" s="159"/>
      <c r="D1506" s="46"/>
      <c r="E1506" s="159">
        <v>2021</v>
      </c>
      <c r="F1506" s="179">
        <v>2022</v>
      </c>
      <c r="G1506" s="179">
        <v>2023</v>
      </c>
      <c r="H1506" s="179">
        <v>2024</v>
      </c>
      <c r="I1506" s="179">
        <v>2025</v>
      </c>
      <c r="J1506" s="179">
        <v>2026</v>
      </c>
    </row>
    <row r="1507" spans="1:10" x14ac:dyDescent="0.25">
      <c r="A1507" s="29" t="s">
        <v>10</v>
      </c>
      <c r="B1507" s="30"/>
      <c r="C1507" s="30"/>
      <c r="D1507" s="30"/>
      <c r="E1507" s="30"/>
      <c r="F1507" s="30"/>
      <c r="G1507" s="30"/>
      <c r="H1507" s="30"/>
      <c r="I1507" s="30"/>
      <c r="J1507" s="88"/>
    </row>
    <row r="1508" spans="1:10" x14ac:dyDescent="0.25">
      <c r="A1508" s="56" t="s">
        <v>748</v>
      </c>
      <c r="I1508" s="64"/>
    </row>
    <row r="1509" spans="1:10" x14ac:dyDescent="0.25">
      <c r="A1509" s="462" t="s">
        <v>749</v>
      </c>
      <c r="I1509" s="64"/>
    </row>
    <row r="1510" spans="1:10" x14ac:dyDescent="0.25">
      <c r="A1510" s="462" t="s">
        <v>750</v>
      </c>
      <c r="B1510" s="429"/>
      <c r="C1510" s="429"/>
      <c r="D1510" s="429"/>
      <c r="E1510" s="429"/>
      <c r="F1510" s="429"/>
      <c r="G1510" s="429"/>
      <c r="I1510" s="64"/>
    </row>
    <row r="1511" spans="1:10" x14ac:dyDescent="0.25">
      <c r="A1511" s="39" t="s">
        <v>747</v>
      </c>
      <c r="I1511" s="64"/>
    </row>
    <row r="1512" spans="1:10" x14ac:dyDescent="0.25">
      <c r="A1512" s="39" t="s">
        <v>962</v>
      </c>
      <c r="I1512" s="64"/>
    </row>
    <row r="1513" spans="1:10" s="34" customFormat="1" x14ac:dyDescent="0.25">
      <c r="A1513" s="43" t="s">
        <v>1140</v>
      </c>
    </row>
    <row r="1514" spans="1:10" x14ac:dyDescent="0.25">
      <c r="A1514" s="41"/>
      <c r="B1514" s="34"/>
      <c r="C1514" s="34"/>
    </row>
    <row r="1515" spans="1:10" x14ac:dyDescent="0.25">
      <c r="A1515" s="151" t="s">
        <v>1</v>
      </c>
      <c r="B1515" s="24" t="s">
        <v>74</v>
      </c>
      <c r="C1515" s="469" t="s">
        <v>2</v>
      </c>
    </row>
    <row r="1516" spans="1:10" x14ac:dyDescent="0.25">
      <c r="A1516" s="10" t="s">
        <v>3</v>
      </c>
      <c r="B1516" s="154">
        <v>2017</v>
      </c>
      <c r="C1516" s="154">
        <v>2018</v>
      </c>
      <c r="D1516" s="172">
        <v>2019</v>
      </c>
      <c r="E1516" s="154">
        <v>2020</v>
      </c>
      <c r="F1516" s="154">
        <v>2021</v>
      </c>
      <c r="G1516" s="154">
        <v>2022</v>
      </c>
      <c r="H1516" s="154">
        <v>2023</v>
      </c>
      <c r="I1516" s="154">
        <v>2024</v>
      </c>
      <c r="J1516" s="457">
        <v>2025</v>
      </c>
    </row>
    <row r="1517" spans="1:10" x14ac:dyDescent="0.25">
      <c r="A1517" s="10" t="s">
        <v>4</v>
      </c>
      <c r="B1517" s="12">
        <v>10</v>
      </c>
      <c r="C1517" s="466">
        <v>10</v>
      </c>
      <c r="D1517" s="188">
        <v>10</v>
      </c>
      <c r="E1517" s="12">
        <v>10</v>
      </c>
      <c r="F1517" s="189">
        <v>10</v>
      </c>
      <c r="G1517" s="189">
        <v>10</v>
      </c>
      <c r="H1517" s="189">
        <v>10</v>
      </c>
      <c r="I1517" s="189">
        <v>10</v>
      </c>
      <c r="J1517" s="470">
        <v>10</v>
      </c>
    </row>
    <row r="1518" spans="1:10" x14ac:dyDescent="0.25">
      <c r="A1518" s="10" t="s">
        <v>5</v>
      </c>
      <c r="B1518" s="12">
        <v>10</v>
      </c>
      <c r="C1518" s="466">
        <v>-62</v>
      </c>
      <c r="D1518" s="188">
        <v>-52</v>
      </c>
      <c r="E1518" s="12">
        <v>-42</v>
      </c>
      <c r="F1518" s="189">
        <v>-32</v>
      </c>
      <c r="G1518" s="189">
        <v>-22</v>
      </c>
      <c r="H1518" s="189">
        <v>-12</v>
      </c>
      <c r="I1518" s="189">
        <f>H1521+I1517</f>
        <v>-2</v>
      </c>
      <c r="J1518" s="470">
        <f>I1521+J1517</f>
        <v>8</v>
      </c>
    </row>
    <row r="1519" spans="1:10" x14ac:dyDescent="0.25">
      <c r="A1519" s="10" t="s">
        <v>6</v>
      </c>
      <c r="B1519" s="12"/>
      <c r="C1519" s="466"/>
      <c r="D1519" s="188"/>
      <c r="E1519" s="12"/>
      <c r="F1519" s="189"/>
      <c r="G1519" s="189"/>
      <c r="H1519" s="189"/>
      <c r="I1519" s="189"/>
      <c r="J1519" s="470"/>
    </row>
    <row r="1520" spans="1:10" x14ac:dyDescent="0.25">
      <c r="A1520" s="10" t="s">
        <v>7</v>
      </c>
      <c r="B1520" s="12">
        <v>82</v>
      </c>
      <c r="C1520" s="466">
        <v>0</v>
      </c>
      <c r="D1520" s="188">
        <v>0</v>
      </c>
      <c r="E1520" s="12">
        <v>0</v>
      </c>
      <c r="F1520" s="189">
        <v>0</v>
      </c>
      <c r="G1520" s="189">
        <v>0</v>
      </c>
      <c r="H1520" s="189">
        <v>0</v>
      </c>
      <c r="I1520" s="189">
        <v>0</v>
      </c>
      <c r="J1520" s="470"/>
    </row>
    <row r="1521" spans="1:11" x14ac:dyDescent="0.25">
      <c r="A1521" s="10" t="s">
        <v>8</v>
      </c>
      <c r="B1521" s="12">
        <v>-72</v>
      </c>
      <c r="C1521" s="466">
        <v>-62</v>
      </c>
      <c r="D1521" s="188">
        <v>-52</v>
      </c>
      <c r="E1521" s="12">
        <v>-42</v>
      </c>
      <c r="F1521" s="189">
        <v>-32</v>
      </c>
      <c r="G1521" s="189">
        <v>-22</v>
      </c>
      <c r="H1521" s="189">
        <f>H1518-H1520</f>
        <v>-12</v>
      </c>
      <c r="I1521" s="189">
        <f>I1518-I1520</f>
        <v>-2</v>
      </c>
      <c r="J1521" s="470"/>
    </row>
    <row r="1522" spans="1:11" x14ac:dyDescent="0.25">
      <c r="A1522" s="16" t="s">
        <v>9</v>
      </c>
      <c r="B1522" s="159">
        <v>2018</v>
      </c>
      <c r="C1522" s="159">
        <v>2019</v>
      </c>
      <c r="D1522" s="159">
        <v>2020</v>
      </c>
      <c r="E1522" s="159">
        <v>2021</v>
      </c>
      <c r="F1522" s="159">
        <v>2022</v>
      </c>
      <c r="G1522" s="159">
        <v>2023</v>
      </c>
      <c r="H1522" s="159">
        <v>2024</v>
      </c>
      <c r="I1522" s="159">
        <v>2025</v>
      </c>
      <c r="J1522" s="295">
        <v>2026</v>
      </c>
    </row>
    <row r="1523" spans="1:11" x14ac:dyDescent="0.25">
      <c r="A1523" s="18" t="s">
        <v>10</v>
      </c>
      <c r="B1523" s="19"/>
      <c r="C1523" s="19"/>
      <c r="D1523" s="19"/>
      <c r="E1523" s="19"/>
      <c r="F1523" s="19"/>
      <c r="G1523" s="19"/>
      <c r="H1523" s="19"/>
      <c r="I1523" s="63"/>
      <c r="J1523" s="471"/>
    </row>
    <row r="1524" spans="1:11" x14ac:dyDescent="0.25">
      <c r="A1524" s="472" t="s">
        <v>752</v>
      </c>
      <c r="B1524" s="53"/>
      <c r="C1524" s="53"/>
      <c r="D1524" s="53"/>
      <c r="E1524" s="53"/>
      <c r="F1524" s="53"/>
      <c r="G1524" s="19"/>
      <c r="H1524" s="19"/>
      <c r="I1524" s="19"/>
      <c r="J1524" s="63"/>
    </row>
    <row r="1525" spans="1:11" x14ac:dyDescent="0.25">
      <c r="A1525" s="39" t="s">
        <v>753</v>
      </c>
      <c r="B1525" s="49"/>
      <c r="C1525" s="49"/>
      <c r="D1525" s="49"/>
      <c r="E1525" s="49"/>
      <c r="F1525" s="49"/>
      <c r="J1525" s="64"/>
    </row>
    <row r="1526" spans="1:11" x14ac:dyDescent="0.25">
      <c r="A1526" s="56" t="s">
        <v>754</v>
      </c>
      <c r="B1526" s="49"/>
      <c r="C1526" s="49"/>
      <c r="D1526" s="49"/>
      <c r="E1526" s="49"/>
      <c r="F1526" s="49"/>
      <c r="J1526" s="64"/>
    </row>
    <row r="1527" spans="1:11" x14ac:dyDescent="0.25">
      <c r="A1527" s="39" t="s">
        <v>755</v>
      </c>
      <c r="J1527" s="64"/>
    </row>
    <row r="1528" spans="1:11" x14ac:dyDescent="0.25">
      <c r="A1528" s="41" t="s">
        <v>751</v>
      </c>
      <c r="J1528" s="64"/>
    </row>
    <row r="1529" spans="1:11" x14ac:dyDescent="0.25">
      <c r="A1529" s="42" t="s">
        <v>1192</v>
      </c>
      <c r="B1529" s="34"/>
      <c r="C1529" s="34"/>
      <c r="D1529" s="34"/>
      <c r="E1529" s="34"/>
      <c r="F1529" s="34"/>
      <c r="G1529" s="34"/>
      <c r="H1529" s="34"/>
      <c r="I1529" s="34"/>
      <c r="J1529" s="48"/>
    </row>
    <row r="1532" spans="1:11" x14ac:dyDescent="0.25">
      <c r="A1532" s="6" t="s">
        <v>24</v>
      </c>
      <c r="B1532" s="7" t="s">
        <v>25</v>
      </c>
    </row>
    <row r="1533" spans="1:11" x14ac:dyDescent="0.25">
      <c r="A1533" s="151" t="s">
        <v>14</v>
      </c>
      <c r="B1533" s="24" t="s">
        <v>624</v>
      </c>
      <c r="C1533" s="473" t="s">
        <v>26</v>
      </c>
    </row>
    <row r="1534" spans="1:11" x14ac:dyDescent="0.25">
      <c r="A1534" s="170" t="s">
        <v>27</v>
      </c>
      <c r="B1534" s="274">
        <v>2016</v>
      </c>
      <c r="C1534" s="154">
        <v>2017</v>
      </c>
      <c r="D1534" s="474">
        <v>2018</v>
      </c>
      <c r="E1534" s="154">
        <v>2019</v>
      </c>
      <c r="F1534" s="154">
        <v>2020</v>
      </c>
      <c r="G1534" s="154">
        <v>2021</v>
      </c>
      <c r="H1534" s="154">
        <v>2022</v>
      </c>
      <c r="I1534" s="154">
        <v>2023</v>
      </c>
      <c r="J1534" s="154">
        <v>2024</v>
      </c>
      <c r="K1534" s="154">
        <v>2025</v>
      </c>
    </row>
    <row r="1535" spans="1:11" x14ac:dyDescent="0.25">
      <c r="A1535" s="11" t="s">
        <v>28</v>
      </c>
      <c r="B1535" s="72">
        <v>200</v>
      </c>
      <c r="C1535" s="72">
        <v>200</v>
      </c>
      <c r="D1535" s="72">
        <v>200</v>
      </c>
      <c r="E1535" s="72">
        <v>215</v>
      </c>
      <c r="F1535" s="12">
        <v>215</v>
      </c>
      <c r="G1535" s="11">
        <v>242</v>
      </c>
      <c r="H1535" s="11">
        <v>242</v>
      </c>
      <c r="I1535" s="11">
        <v>242</v>
      </c>
      <c r="J1535" s="11">
        <v>302</v>
      </c>
      <c r="K1535" s="11">
        <v>302</v>
      </c>
    </row>
    <row r="1536" spans="1:11" x14ac:dyDescent="0.25">
      <c r="A1536" s="11" t="s">
        <v>29</v>
      </c>
      <c r="B1536" s="72">
        <f>200+200*0.25</f>
        <v>250</v>
      </c>
      <c r="C1536" s="72">
        <f>200+200*0.25</f>
        <v>250</v>
      </c>
      <c r="D1536" s="72">
        <f t="shared" ref="D1536:K1536" si="61">D1535+B1535*0.25</f>
        <v>250</v>
      </c>
      <c r="E1536" s="72">
        <f t="shared" si="61"/>
        <v>265</v>
      </c>
      <c r="F1536" s="72">
        <f t="shared" si="61"/>
        <v>265</v>
      </c>
      <c r="G1536" s="72">
        <f t="shared" si="61"/>
        <v>295.75</v>
      </c>
      <c r="H1536" s="72">
        <f t="shared" si="61"/>
        <v>295.75</v>
      </c>
      <c r="I1536" s="72">
        <f t="shared" si="61"/>
        <v>302.5</v>
      </c>
      <c r="J1536" s="72">
        <f t="shared" si="61"/>
        <v>362.5</v>
      </c>
      <c r="K1536" s="72">
        <f t="shared" si="61"/>
        <v>362.5</v>
      </c>
    </row>
    <row r="1537" spans="1:14" x14ac:dyDescent="0.25">
      <c r="A1537" s="11" t="s">
        <v>30</v>
      </c>
      <c r="B1537" s="252" t="s">
        <v>410</v>
      </c>
      <c r="C1537" s="252" t="s">
        <v>410</v>
      </c>
      <c r="D1537" s="252" t="s">
        <v>410</v>
      </c>
      <c r="E1537" s="252" t="s">
        <v>411</v>
      </c>
      <c r="F1537" s="252" t="s">
        <v>411</v>
      </c>
      <c r="G1537" s="252" t="s">
        <v>430</v>
      </c>
      <c r="H1537" s="252" t="s">
        <v>430</v>
      </c>
      <c r="I1537" s="252" t="s">
        <v>803</v>
      </c>
      <c r="J1537" s="252" t="s">
        <v>1049</v>
      </c>
      <c r="K1537" s="252" t="s">
        <v>1049</v>
      </c>
    </row>
    <row r="1538" spans="1:14" x14ac:dyDescent="0.25">
      <c r="A1538" s="11" t="s">
        <v>31</v>
      </c>
      <c r="B1538" s="72">
        <v>2.19</v>
      </c>
      <c r="C1538" s="72">
        <v>0.38</v>
      </c>
      <c r="D1538" s="72">
        <v>7.19</v>
      </c>
      <c r="E1538" s="72">
        <v>0.28999999999999998</v>
      </c>
      <c r="F1538" s="12">
        <v>1.45</v>
      </c>
      <c r="G1538" s="11">
        <v>0.72</v>
      </c>
      <c r="H1538" s="11">
        <v>0.64</v>
      </c>
      <c r="I1538" s="11">
        <v>0.2</v>
      </c>
      <c r="J1538" s="11">
        <v>0</v>
      </c>
      <c r="K1538" s="11"/>
    </row>
    <row r="1539" spans="1:14" x14ac:dyDescent="0.25">
      <c r="A1539" s="11" t="s">
        <v>32</v>
      </c>
      <c r="B1539" s="72">
        <f t="shared" ref="B1539:J1539" si="62">B1536-B1538</f>
        <v>247.81</v>
      </c>
      <c r="C1539" s="72">
        <f t="shared" si="62"/>
        <v>249.62</v>
      </c>
      <c r="D1539" s="72">
        <f t="shared" si="62"/>
        <v>242.81</v>
      </c>
      <c r="E1539" s="72">
        <f t="shared" si="62"/>
        <v>264.70999999999998</v>
      </c>
      <c r="F1539" s="72">
        <f t="shared" si="62"/>
        <v>263.55</v>
      </c>
      <c r="G1539" s="12">
        <f t="shared" si="62"/>
        <v>295.02999999999997</v>
      </c>
      <c r="H1539" s="12">
        <f t="shared" si="62"/>
        <v>295.11</v>
      </c>
      <c r="I1539" s="12">
        <f t="shared" si="62"/>
        <v>302.3</v>
      </c>
      <c r="J1539" s="12">
        <f t="shared" si="62"/>
        <v>362.5</v>
      </c>
      <c r="K1539" s="12"/>
    </row>
    <row r="1540" spans="1:14" x14ac:dyDescent="0.25">
      <c r="A1540" s="16" t="s">
        <v>33</v>
      </c>
      <c r="B1540" s="159">
        <v>2018</v>
      </c>
      <c r="C1540" s="159">
        <v>2019</v>
      </c>
      <c r="D1540" s="475">
        <v>2020</v>
      </c>
      <c r="E1540" s="159">
        <v>2021</v>
      </c>
      <c r="F1540" s="159">
        <v>2022</v>
      </c>
      <c r="G1540" s="17">
        <v>2023</v>
      </c>
      <c r="H1540" s="17">
        <v>2024</v>
      </c>
      <c r="I1540" s="17">
        <v>2025</v>
      </c>
      <c r="J1540" s="17">
        <v>2026</v>
      </c>
      <c r="K1540" s="17">
        <v>2027</v>
      </c>
    </row>
    <row r="1541" spans="1:14" ht="13.2" customHeight="1" x14ac:dyDescent="0.25">
      <c r="A1541" s="10" t="s">
        <v>135</v>
      </c>
      <c r="B1541" s="36"/>
      <c r="C1541" s="36"/>
      <c r="D1541" s="36"/>
      <c r="E1541" s="36"/>
      <c r="F1541" s="36"/>
      <c r="G1541" s="36"/>
      <c r="H1541" s="37"/>
      <c r="I1541" s="37"/>
      <c r="J1541" s="37"/>
      <c r="K1541" s="37"/>
    </row>
    <row r="1542" spans="1:14" x14ac:dyDescent="0.25">
      <c r="A1542" s="2"/>
      <c r="B1542" s="2"/>
    </row>
    <row r="1543" spans="1:14" x14ac:dyDescent="0.25">
      <c r="A1543" s="6" t="s">
        <v>14</v>
      </c>
      <c r="B1543" s="7" t="s">
        <v>623</v>
      </c>
      <c r="C1543" s="473" t="s">
        <v>26</v>
      </c>
    </row>
    <row r="1544" spans="1:14" x14ac:dyDescent="0.25">
      <c r="A1544" s="170" t="s">
        <v>27</v>
      </c>
      <c r="B1544" s="274">
        <v>2013</v>
      </c>
      <c r="C1544" s="154">
        <v>2014</v>
      </c>
      <c r="D1544" s="474">
        <v>2015</v>
      </c>
      <c r="E1544" s="154">
        <v>2016</v>
      </c>
      <c r="F1544" s="154">
        <v>2017</v>
      </c>
      <c r="G1544" s="474">
        <v>2018</v>
      </c>
      <c r="H1544" s="154">
        <v>2019</v>
      </c>
      <c r="I1544" s="154">
        <v>2020</v>
      </c>
      <c r="J1544" s="154">
        <v>2021</v>
      </c>
      <c r="K1544" s="154">
        <v>2022</v>
      </c>
      <c r="L1544" s="154">
        <v>2023</v>
      </c>
      <c r="M1544" s="154">
        <v>2024</v>
      </c>
      <c r="N1544" s="154">
        <v>2025</v>
      </c>
    </row>
    <row r="1545" spans="1:14" x14ac:dyDescent="0.25">
      <c r="A1545" s="11" t="s">
        <v>28</v>
      </c>
      <c r="B1545" s="12">
        <v>200</v>
      </c>
      <c r="C1545" s="12">
        <v>200</v>
      </c>
      <c r="D1545" s="72">
        <v>200</v>
      </c>
      <c r="E1545" s="72">
        <v>200</v>
      </c>
      <c r="F1545" s="72">
        <v>200</v>
      </c>
      <c r="G1545" s="72">
        <v>200</v>
      </c>
      <c r="H1545" s="72">
        <v>200</v>
      </c>
      <c r="I1545" s="12">
        <v>200</v>
      </c>
      <c r="J1545" s="12">
        <v>200</v>
      </c>
      <c r="K1545" s="12">
        <v>200</v>
      </c>
      <c r="L1545" s="12">
        <v>200</v>
      </c>
      <c r="M1545" s="12">
        <v>200</v>
      </c>
      <c r="N1545" s="12">
        <v>200</v>
      </c>
    </row>
    <row r="1546" spans="1:14" x14ac:dyDescent="0.25">
      <c r="A1546" s="11" t="s">
        <v>29</v>
      </c>
      <c r="B1546" s="156">
        <f>(B1547)</f>
        <v>300</v>
      </c>
      <c r="C1546" s="156">
        <f>(C1547)</f>
        <v>300</v>
      </c>
      <c r="D1546" s="72">
        <v>300</v>
      </c>
      <c r="E1546" s="72">
        <v>300</v>
      </c>
      <c r="F1546" s="72">
        <v>300</v>
      </c>
      <c r="G1546" s="72">
        <v>280</v>
      </c>
      <c r="H1546" s="72">
        <v>280</v>
      </c>
      <c r="I1546" s="12">
        <v>280</v>
      </c>
      <c r="J1546" s="12">
        <v>280</v>
      </c>
      <c r="K1546" s="12">
        <v>280</v>
      </c>
      <c r="L1546" s="12">
        <v>280</v>
      </c>
      <c r="M1546" s="12">
        <v>280</v>
      </c>
      <c r="N1546" s="12">
        <f>(200+(200*0.4))</f>
        <v>280</v>
      </c>
    </row>
    <row r="1547" spans="1:14" x14ac:dyDescent="0.25">
      <c r="A1547" s="11" t="s">
        <v>30</v>
      </c>
      <c r="B1547" s="12">
        <f>(B1545*50%)+B1545</f>
        <v>300</v>
      </c>
      <c r="C1547" s="12">
        <f>(C1545*50%)+C1545</f>
        <v>300</v>
      </c>
      <c r="D1547" s="252" t="s">
        <v>247</v>
      </c>
      <c r="E1547" s="252" t="s">
        <v>247</v>
      </c>
      <c r="F1547" s="252" t="s">
        <v>247</v>
      </c>
      <c r="G1547" s="252" t="s">
        <v>248</v>
      </c>
      <c r="H1547" s="252" t="s">
        <v>248</v>
      </c>
      <c r="I1547" s="252" t="s">
        <v>248</v>
      </c>
      <c r="J1547" s="252" t="s">
        <v>248</v>
      </c>
      <c r="K1547" s="252" t="s">
        <v>248</v>
      </c>
      <c r="L1547" s="252" t="s">
        <v>248</v>
      </c>
      <c r="M1547" s="252" t="s">
        <v>248</v>
      </c>
      <c r="N1547" s="156" t="s">
        <v>248</v>
      </c>
    </row>
    <row r="1548" spans="1:14" x14ac:dyDescent="0.25">
      <c r="A1548" s="11" t="s">
        <v>31</v>
      </c>
      <c r="B1548" s="12">
        <v>32</v>
      </c>
      <c r="C1548" s="12">
        <v>32</v>
      </c>
      <c r="D1548" s="72">
        <v>31</v>
      </c>
      <c r="E1548" s="72">
        <v>36</v>
      </c>
      <c r="F1548" s="72">
        <v>64</v>
      </c>
      <c r="G1548" s="72">
        <v>45</v>
      </c>
      <c r="H1548" s="72">
        <v>30</v>
      </c>
      <c r="I1548" s="12">
        <v>21</v>
      </c>
      <c r="J1548" s="12">
        <v>25</v>
      </c>
      <c r="K1548" s="12">
        <v>22</v>
      </c>
      <c r="L1548" s="12">
        <v>26</v>
      </c>
      <c r="M1548" s="12">
        <v>20</v>
      </c>
      <c r="N1548" s="12"/>
    </row>
    <row r="1549" spans="1:14" x14ac:dyDescent="0.25">
      <c r="A1549" s="11" t="s">
        <v>32</v>
      </c>
      <c r="B1549" s="156">
        <f>(B1546-B1548)</f>
        <v>268</v>
      </c>
      <c r="C1549" s="156">
        <f>(C1546-C1548)</f>
        <v>268</v>
      </c>
      <c r="D1549" s="72">
        <f t="shared" ref="D1549:M1549" si="63">D1546-D1548</f>
        <v>269</v>
      </c>
      <c r="E1549" s="72">
        <f t="shared" si="63"/>
        <v>264</v>
      </c>
      <c r="F1549" s="72">
        <f t="shared" si="63"/>
        <v>236</v>
      </c>
      <c r="G1549" s="72">
        <f t="shared" si="63"/>
        <v>235</v>
      </c>
      <c r="H1549" s="72">
        <f t="shared" si="63"/>
        <v>250</v>
      </c>
      <c r="I1549" s="72">
        <f t="shared" si="63"/>
        <v>259</v>
      </c>
      <c r="J1549" s="72">
        <f t="shared" si="63"/>
        <v>255</v>
      </c>
      <c r="K1549" s="72">
        <f t="shared" si="63"/>
        <v>258</v>
      </c>
      <c r="L1549" s="72">
        <f t="shared" si="63"/>
        <v>254</v>
      </c>
      <c r="M1549" s="72">
        <f t="shared" si="63"/>
        <v>260</v>
      </c>
      <c r="N1549" s="12"/>
    </row>
    <row r="1550" spans="1:14" ht="13.2" customHeight="1" x14ac:dyDescent="0.25">
      <c r="A1550" s="16" t="s">
        <v>33</v>
      </c>
      <c r="B1550" s="159">
        <v>2015</v>
      </c>
      <c r="C1550" s="159">
        <v>2016</v>
      </c>
      <c r="D1550" s="159">
        <v>2017</v>
      </c>
      <c r="E1550" s="159">
        <v>2018</v>
      </c>
      <c r="F1550" s="159">
        <v>2019</v>
      </c>
      <c r="G1550" s="475">
        <v>2020</v>
      </c>
      <c r="H1550" s="159">
        <v>2021</v>
      </c>
      <c r="I1550" s="159">
        <v>2022</v>
      </c>
      <c r="J1550" s="159">
        <v>2023</v>
      </c>
      <c r="K1550" s="159">
        <v>2024</v>
      </c>
      <c r="L1550" s="159">
        <v>2025</v>
      </c>
      <c r="M1550" s="159">
        <v>2026</v>
      </c>
      <c r="N1550" s="180">
        <v>2027</v>
      </c>
    </row>
    <row r="1551" spans="1:14" ht="13.2" customHeight="1" x14ac:dyDescent="0.25">
      <c r="A1551" s="18" t="s">
        <v>502</v>
      </c>
      <c r="B1551" s="439"/>
      <c r="C1551" s="439"/>
      <c r="D1551" s="439"/>
      <c r="E1551" s="439"/>
      <c r="F1551" s="439"/>
      <c r="G1551" s="439"/>
      <c r="H1551" s="439"/>
      <c r="I1551" s="439"/>
      <c r="J1551" s="439"/>
      <c r="K1551" s="439"/>
      <c r="L1551" s="439"/>
      <c r="M1551" s="439"/>
      <c r="N1551" s="63"/>
    </row>
    <row r="1552" spans="1:14" x14ac:dyDescent="0.25">
      <c r="A1552" s="41" t="s">
        <v>503</v>
      </c>
      <c r="B1552" s="337"/>
      <c r="C1552" s="337"/>
      <c r="D1552" s="337"/>
      <c r="E1552" s="337"/>
      <c r="F1552" s="337"/>
      <c r="G1552" s="337"/>
      <c r="H1552" s="337"/>
      <c r="I1552" s="337"/>
      <c r="J1552" s="337"/>
      <c r="K1552" s="337"/>
      <c r="L1552" s="337"/>
      <c r="M1552" s="337"/>
      <c r="N1552" s="48"/>
    </row>
    <row r="1554" spans="1:17" ht="13.8" x14ac:dyDescent="0.25">
      <c r="A1554" s="6" t="s">
        <v>14</v>
      </c>
      <c r="B1554" s="7" t="s">
        <v>645</v>
      </c>
      <c r="C1554" s="7" t="s">
        <v>26</v>
      </c>
      <c r="O1554" s="476"/>
    </row>
    <row r="1555" spans="1:17" x14ac:dyDescent="0.25">
      <c r="A1555" s="41" t="s">
        <v>27</v>
      </c>
      <c r="B1555" s="274">
        <v>2010</v>
      </c>
      <c r="C1555" s="154">
        <v>2011</v>
      </c>
      <c r="D1555" s="154">
        <v>2012</v>
      </c>
      <c r="E1555" s="154">
        <v>2013</v>
      </c>
      <c r="F1555" s="154">
        <v>2014</v>
      </c>
      <c r="G1555" s="154">
        <v>2015</v>
      </c>
      <c r="H1555" s="154">
        <v>2016</v>
      </c>
      <c r="I1555" s="474">
        <v>2017</v>
      </c>
      <c r="J1555" s="154">
        <v>2018</v>
      </c>
      <c r="K1555" s="154">
        <v>2019</v>
      </c>
      <c r="L1555" s="154">
        <v>2020</v>
      </c>
      <c r="M1555" s="154">
        <v>2021</v>
      </c>
      <c r="N1555" s="154">
        <v>2022</v>
      </c>
      <c r="O1555" s="154">
        <v>2023</v>
      </c>
      <c r="P1555" s="154">
        <v>2024</v>
      </c>
      <c r="Q1555" s="154">
        <v>2025</v>
      </c>
    </row>
    <row r="1556" spans="1:17" x14ac:dyDescent="0.25">
      <c r="A1556" s="10" t="s">
        <v>28</v>
      </c>
      <c r="B1556" s="12">
        <v>95</v>
      </c>
      <c r="C1556" s="12">
        <v>95</v>
      </c>
      <c r="D1556" s="12">
        <v>95</v>
      </c>
      <c r="E1556" s="12">
        <v>95</v>
      </c>
      <c r="F1556" s="156">
        <v>95</v>
      </c>
      <c r="G1556" s="155">
        <v>108.98</v>
      </c>
      <c r="H1556" s="155">
        <v>108.98</v>
      </c>
      <c r="I1556" s="477">
        <v>108.98</v>
      </c>
      <c r="J1556" s="155">
        <v>128.44</v>
      </c>
      <c r="K1556" s="155">
        <v>128.44</v>
      </c>
      <c r="L1556" s="155">
        <v>128.44</v>
      </c>
      <c r="M1556" s="155">
        <v>128.44</v>
      </c>
      <c r="N1556" s="155">
        <v>149.34</v>
      </c>
      <c r="O1556" s="155">
        <v>149.34</v>
      </c>
      <c r="P1556" s="155">
        <v>149.34</v>
      </c>
      <c r="Q1556" s="155">
        <v>149.34</v>
      </c>
    </row>
    <row r="1557" spans="1:17" x14ac:dyDescent="0.25">
      <c r="A1557" s="10" t="s">
        <v>29</v>
      </c>
      <c r="B1557" s="156">
        <f>(B1558)</f>
        <v>56</v>
      </c>
      <c r="C1557" s="156">
        <f t="shared" ref="C1557:J1557" si="64">(C1558)</f>
        <v>137</v>
      </c>
      <c r="D1557" s="156">
        <f t="shared" si="64"/>
        <v>103.5</v>
      </c>
      <c r="E1557" s="156">
        <f t="shared" si="64"/>
        <v>147.9</v>
      </c>
      <c r="F1557" s="156">
        <f t="shared" si="64"/>
        <v>103.5</v>
      </c>
      <c r="G1557" s="155">
        <f t="shared" si="64"/>
        <v>74.980000000000018</v>
      </c>
      <c r="H1557" s="155">
        <f t="shared" si="64"/>
        <v>78.980000000000047</v>
      </c>
      <c r="I1557" s="477">
        <f t="shared" si="64"/>
        <v>76.980000000000047</v>
      </c>
      <c r="J1557" s="155">
        <f t="shared" si="64"/>
        <v>97.44000000000004</v>
      </c>
      <c r="K1557" s="155">
        <f t="shared" ref="K1557:O1557" si="65">K1558</f>
        <v>85.440000000000055</v>
      </c>
      <c r="L1557" s="12">
        <f t="shared" si="65"/>
        <v>95.440000000000055</v>
      </c>
      <c r="M1557" s="12">
        <f t="shared" si="65"/>
        <v>95.440000000000055</v>
      </c>
      <c r="N1557" s="12">
        <f t="shared" si="65"/>
        <v>122.78000000000006</v>
      </c>
      <c r="O1557" s="12">
        <f t="shared" si="65"/>
        <v>152.12000000000006</v>
      </c>
      <c r="P1557" s="12">
        <f>P1558</f>
        <v>202.46000000000006</v>
      </c>
      <c r="Q1557" s="155">
        <f>Q1558</f>
        <v>238.68</v>
      </c>
    </row>
    <row r="1558" spans="1:17" x14ac:dyDescent="0.25">
      <c r="A1558" s="10" t="s">
        <v>30</v>
      </c>
      <c r="B1558" s="155">
        <f>(B1556+47.5)-86.5</f>
        <v>56</v>
      </c>
      <c r="C1558" s="155">
        <f>(C1556+B1560)</f>
        <v>137</v>
      </c>
      <c r="D1558" s="155">
        <f>D1556+95-86.5</f>
        <v>103.5</v>
      </c>
      <c r="E1558" s="155">
        <f>E1556+D1560</f>
        <v>147.9</v>
      </c>
      <c r="F1558" s="155">
        <f>(F1556+95)-86.5</f>
        <v>103.5</v>
      </c>
      <c r="G1558" s="155">
        <f>(G1556+F1560)-86.5</f>
        <v>74.980000000000018</v>
      </c>
      <c r="H1558" s="155">
        <f>(H1556+G1560)-51.98</f>
        <v>78.980000000000047</v>
      </c>
      <c r="I1558" s="477">
        <f>(I1556+H1560)-55.98</f>
        <v>76.980000000000047</v>
      </c>
      <c r="J1558" s="155">
        <f>(J1556+I1560)-73.98</f>
        <v>97.44000000000004</v>
      </c>
      <c r="K1558" s="155">
        <f>K1556+J1560-60.44</f>
        <v>85.440000000000055</v>
      </c>
      <c r="L1558" s="12">
        <f>L1556+K1560-79.44</f>
        <v>95.440000000000055</v>
      </c>
      <c r="M1558" s="12">
        <f>M1556+L1560-100.44</f>
        <v>95.440000000000055</v>
      </c>
      <c r="N1558" s="12">
        <f>N1556+M1560-60</f>
        <v>122.78000000000006</v>
      </c>
      <c r="O1558" s="12">
        <f>O1556+N1560-60</f>
        <v>152.12000000000006</v>
      </c>
      <c r="P1558" s="12">
        <f>P1556-60+O1560</f>
        <v>202.46000000000006</v>
      </c>
      <c r="Q1558" s="131">
        <f>Q1556-60+P1556</f>
        <v>238.68</v>
      </c>
    </row>
    <row r="1559" spans="1:17" x14ac:dyDescent="0.25">
      <c r="A1559" s="10" t="s">
        <v>31</v>
      </c>
      <c r="B1559" s="156">
        <v>14</v>
      </c>
      <c r="C1559" s="156">
        <v>14</v>
      </c>
      <c r="D1559" s="156">
        <v>50.6</v>
      </c>
      <c r="E1559" s="156">
        <v>22</v>
      </c>
      <c r="F1559" s="156">
        <v>51</v>
      </c>
      <c r="G1559" s="156">
        <v>53</v>
      </c>
      <c r="H1559" s="156">
        <v>55</v>
      </c>
      <c r="I1559" s="478">
        <v>34</v>
      </c>
      <c r="J1559" s="156">
        <v>80</v>
      </c>
      <c r="K1559" s="156">
        <v>39</v>
      </c>
      <c r="L1559" s="12">
        <v>28</v>
      </c>
      <c r="M1559" s="12">
        <v>62</v>
      </c>
      <c r="N1559" s="12">
        <v>60</v>
      </c>
      <c r="O1559" s="12">
        <v>39</v>
      </c>
      <c r="P1559" s="12">
        <v>16</v>
      </c>
      <c r="Q1559" s="155"/>
    </row>
    <row r="1560" spans="1:17" x14ac:dyDescent="0.25">
      <c r="A1560" s="10" t="s">
        <v>32</v>
      </c>
      <c r="B1560" s="156">
        <f>(B1557-B1559)</f>
        <v>42</v>
      </c>
      <c r="C1560" s="156">
        <f t="shared" ref="C1560:J1560" si="66">(C1557-C1559)</f>
        <v>123</v>
      </c>
      <c r="D1560" s="156">
        <f t="shared" si="66"/>
        <v>52.9</v>
      </c>
      <c r="E1560" s="156">
        <f t="shared" si="66"/>
        <v>125.9</v>
      </c>
      <c r="F1560" s="156">
        <f t="shared" si="66"/>
        <v>52.5</v>
      </c>
      <c r="G1560" s="156">
        <f t="shared" si="66"/>
        <v>21.980000000000018</v>
      </c>
      <c r="H1560" s="156">
        <f t="shared" si="66"/>
        <v>23.980000000000047</v>
      </c>
      <c r="I1560" s="478">
        <f t="shared" si="66"/>
        <v>42.980000000000047</v>
      </c>
      <c r="J1560" s="156">
        <f t="shared" si="66"/>
        <v>17.44000000000004</v>
      </c>
      <c r="K1560" s="156">
        <f t="shared" ref="K1560:P1560" si="67">K1557-K1559</f>
        <v>46.440000000000055</v>
      </c>
      <c r="L1560" s="12">
        <f t="shared" si="67"/>
        <v>67.440000000000055</v>
      </c>
      <c r="M1560" s="12">
        <f t="shared" si="67"/>
        <v>33.440000000000055</v>
      </c>
      <c r="N1560" s="12">
        <f t="shared" si="67"/>
        <v>62.780000000000058</v>
      </c>
      <c r="O1560" s="12">
        <f t="shared" si="67"/>
        <v>113.12000000000006</v>
      </c>
      <c r="P1560" s="12">
        <f t="shared" si="67"/>
        <v>186.46000000000006</v>
      </c>
      <c r="Q1560" s="155"/>
    </row>
    <row r="1561" spans="1:17" x14ac:dyDescent="0.25">
      <c r="A1561" s="16" t="s">
        <v>33</v>
      </c>
      <c r="B1561" s="159">
        <v>2011</v>
      </c>
      <c r="C1561" s="159">
        <v>2012</v>
      </c>
      <c r="D1561" s="159">
        <v>2013</v>
      </c>
      <c r="E1561" s="159">
        <v>2014</v>
      </c>
      <c r="F1561" s="159">
        <v>2015</v>
      </c>
      <c r="G1561" s="159">
        <v>2016</v>
      </c>
      <c r="H1561" s="159">
        <v>2017</v>
      </c>
      <c r="I1561" s="475">
        <v>2018</v>
      </c>
      <c r="J1561" s="159">
        <v>2019</v>
      </c>
      <c r="K1561" s="159">
        <v>2020</v>
      </c>
      <c r="L1561" s="159">
        <v>2021</v>
      </c>
      <c r="M1561" s="159">
        <v>2022</v>
      </c>
      <c r="N1561" s="159">
        <v>2023</v>
      </c>
      <c r="O1561" s="159">
        <v>2024</v>
      </c>
      <c r="P1561" s="159">
        <v>2025</v>
      </c>
      <c r="Q1561" s="180">
        <v>2026</v>
      </c>
    </row>
    <row r="1562" spans="1:17" x14ac:dyDescent="0.25">
      <c r="A1562" s="29" t="s">
        <v>34</v>
      </c>
      <c r="B1562" s="30"/>
      <c r="C1562" s="30"/>
      <c r="D1562" s="30"/>
      <c r="E1562" s="30"/>
      <c r="F1562" s="30"/>
      <c r="G1562" s="30"/>
      <c r="H1562" s="30"/>
      <c r="I1562" s="30"/>
      <c r="J1562" s="30"/>
      <c r="K1562" s="30"/>
      <c r="L1562" s="30"/>
      <c r="M1562" s="30"/>
      <c r="N1562" s="30"/>
      <c r="O1562" s="30"/>
      <c r="P1562" s="30"/>
      <c r="Q1562" s="88"/>
    </row>
    <row r="1563" spans="1:17" x14ac:dyDescent="0.25">
      <c r="A1563" s="472" t="s">
        <v>35</v>
      </c>
      <c r="B1563" s="19"/>
      <c r="C1563" s="19"/>
      <c r="D1563" s="19"/>
      <c r="E1563" s="19"/>
      <c r="F1563" s="19"/>
      <c r="G1563" s="19"/>
      <c r="H1563" s="19"/>
      <c r="I1563" s="19"/>
      <c r="J1563" s="19"/>
      <c r="K1563" s="19"/>
      <c r="L1563" s="19"/>
      <c r="M1563" s="19"/>
      <c r="N1563" s="19"/>
      <c r="O1563" s="19"/>
      <c r="P1563" s="19"/>
      <c r="Q1563" s="63"/>
    </row>
    <row r="1564" spans="1:17" x14ac:dyDescent="0.25">
      <c r="A1564" s="56" t="s">
        <v>717</v>
      </c>
      <c r="Q1564" s="64"/>
    </row>
    <row r="1565" spans="1:17" x14ac:dyDescent="0.25">
      <c r="A1565" s="56" t="s">
        <v>718</v>
      </c>
      <c r="Q1565" s="64"/>
    </row>
    <row r="1566" spans="1:17" x14ac:dyDescent="0.25">
      <c r="A1566" s="56" t="s">
        <v>719</v>
      </c>
      <c r="Q1566" s="64"/>
    </row>
    <row r="1567" spans="1:17" x14ac:dyDescent="0.25">
      <c r="A1567" s="56" t="s">
        <v>720</v>
      </c>
      <c r="Q1567" s="64"/>
    </row>
    <row r="1568" spans="1:17" x14ac:dyDescent="0.25">
      <c r="A1568" s="39" t="s">
        <v>721</v>
      </c>
      <c r="Q1568" s="64"/>
    </row>
    <row r="1569" spans="1:17" x14ac:dyDescent="0.25">
      <c r="A1569" s="39" t="s">
        <v>722</v>
      </c>
      <c r="Q1569" s="64"/>
    </row>
    <row r="1570" spans="1:17" x14ac:dyDescent="0.25">
      <c r="A1570" s="39" t="s">
        <v>723</v>
      </c>
      <c r="Q1570" s="64"/>
    </row>
    <row r="1571" spans="1:17" x14ac:dyDescent="0.25">
      <c r="A1571" s="39" t="s">
        <v>724</v>
      </c>
      <c r="Q1571" s="64"/>
    </row>
    <row r="1572" spans="1:17" x14ac:dyDescent="0.25">
      <c r="A1572" s="39" t="s">
        <v>725</v>
      </c>
      <c r="Q1572" s="64"/>
    </row>
    <row r="1573" spans="1:17" x14ac:dyDescent="0.25">
      <c r="A1573" s="39" t="s">
        <v>726</v>
      </c>
      <c r="Q1573" s="64"/>
    </row>
    <row r="1574" spans="1:17" x14ac:dyDescent="0.25">
      <c r="A1574" s="39" t="s">
        <v>727</v>
      </c>
      <c r="Q1574" s="64"/>
    </row>
    <row r="1575" spans="1:17" x14ac:dyDescent="0.25">
      <c r="A1575" s="39" t="s">
        <v>804</v>
      </c>
      <c r="Q1575" s="64"/>
    </row>
    <row r="1576" spans="1:17" x14ac:dyDescent="0.25">
      <c r="A1576" s="39" t="s">
        <v>885</v>
      </c>
      <c r="Q1576" s="64"/>
    </row>
    <row r="1577" spans="1:17" x14ac:dyDescent="0.25">
      <c r="A1577" s="39" t="s">
        <v>1050</v>
      </c>
      <c r="Q1577" s="64"/>
    </row>
    <row r="1578" spans="1:17" x14ac:dyDescent="0.25">
      <c r="A1578" s="42" t="s">
        <v>1268</v>
      </c>
      <c r="B1578" s="34"/>
      <c r="C1578" s="34"/>
      <c r="D1578" s="34"/>
      <c r="E1578" s="34"/>
      <c r="F1578" s="34"/>
      <c r="G1578" s="34"/>
      <c r="H1578" s="34"/>
      <c r="I1578" s="34"/>
      <c r="J1578" s="34"/>
      <c r="K1578" s="34"/>
      <c r="L1578" s="34"/>
      <c r="M1578" s="34"/>
      <c r="N1578" s="34"/>
      <c r="O1578" s="34"/>
      <c r="P1578" s="34"/>
      <c r="Q1578" s="48"/>
    </row>
    <row r="1580" spans="1:17" x14ac:dyDescent="0.25">
      <c r="A1580" s="6" t="s">
        <v>14</v>
      </c>
      <c r="B1580" s="7" t="s">
        <v>74</v>
      </c>
      <c r="C1580" s="7" t="s">
        <v>26</v>
      </c>
    </row>
    <row r="1581" spans="1:17" x14ac:dyDescent="0.25">
      <c r="A1581" s="41" t="s">
        <v>27</v>
      </c>
      <c r="B1581" s="274">
        <v>2013</v>
      </c>
      <c r="C1581" s="154">
        <v>2014</v>
      </c>
      <c r="D1581" s="154">
        <v>2015</v>
      </c>
      <c r="E1581" s="474">
        <v>2016</v>
      </c>
      <c r="F1581" s="154">
        <v>2017</v>
      </c>
      <c r="G1581" s="474">
        <v>2018</v>
      </c>
      <c r="H1581" s="154">
        <v>2019</v>
      </c>
      <c r="I1581" s="154">
        <v>2020</v>
      </c>
      <c r="J1581" s="154">
        <v>2021</v>
      </c>
      <c r="K1581" s="154">
        <v>2022</v>
      </c>
      <c r="L1581" s="154">
        <v>2023</v>
      </c>
      <c r="M1581" s="154">
        <v>2024</v>
      </c>
      <c r="N1581" s="154">
        <v>2025</v>
      </c>
    </row>
    <row r="1582" spans="1:17" x14ac:dyDescent="0.25">
      <c r="A1582" s="10" t="s">
        <v>28</v>
      </c>
      <c r="B1582" s="12">
        <v>70</v>
      </c>
      <c r="C1582" s="12">
        <v>70</v>
      </c>
      <c r="D1582" s="12">
        <v>70</v>
      </c>
      <c r="E1582" s="12">
        <v>70</v>
      </c>
      <c r="F1582" s="156">
        <v>70</v>
      </c>
      <c r="G1582" s="156">
        <v>70</v>
      </c>
      <c r="H1582" s="156">
        <v>70</v>
      </c>
      <c r="I1582" s="12">
        <v>58.9</v>
      </c>
      <c r="J1582" s="12">
        <v>58.9</v>
      </c>
      <c r="K1582" s="12">
        <v>58.9</v>
      </c>
      <c r="L1582" s="12">
        <v>58.9</v>
      </c>
      <c r="M1582" s="12">
        <v>58.9</v>
      </c>
      <c r="N1582" s="12">
        <v>58.9</v>
      </c>
    </row>
    <row r="1583" spans="1:17" x14ac:dyDescent="0.25">
      <c r="A1583" s="10" t="s">
        <v>29</v>
      </c>
      <c r="B1583" s="12">
        <f>(B1584)</f>
        <v>-15</v>
      </c>
      <c r="C1583" s="12">
        <f t="shared" ref="C1583:H1583" si="68">(C1584)</f>
        <v>3</v>
      </c>
      <c r="D1583" s="12">
        <v>55</v>
      </c>
      <c r="E1583" s="12">
        <f t="shared" si="68"/>
        <v>56</v>
      </c>
      <c r="F1583" s="12">
        <f t="shared" si="68"/>
        <v>61</v>
      </c>
      <c r="G1583" s="156">
        <f t="shared" si="68"/>
        <v>71</v>
      </c>
      <c r="H1583" s="156">
        <f t="shared" si="68"/>
        <v>73</v>
      </c>
      <c r="I1583" s="12">
        <v>65.900000000000006</v>
      </c>
      <c r="J1583" s="12"/>
      <c r="K1583" s="12"/>
      <c r="L1583" s="12"/>
      <c r="M1583" s="12"/>
      <c r="N1583" s="12"/>
    </row>
    <row r="1584" spans="1:17" x14ac:dyDescent="0.25">
      <c r="A1584" s="10" t="s">
        <v>30</v>
      </c>
      <c r="B1584" s="156">
        <f>(B1582-B1585)</f>
        <v>-15</v>
      </c>
      <c r="C1584" s="156">
        <f>(C1582-C1585)</f>
        <v>3</v>
      </c>
      <c r="D1584" s="156">
        <f>D1582+B1586</f>
        <v>55</v>
      </c>
      <c r="E1584" s="156">
        <f>E1582+D1586+C1586</f>
        <v>56</v>
      </c>
      <c r="F1584" s="156">
        <f>F1582+E1586</f>
        <v>61</v>
      </c>
      <c r="G1584" s="156">
        <f>G1582+F1586</f>
        <v>71</v>
      </c>
      <c r="H1584" s="156">
        <f>H1582+G1586</f>
        <v>73</v>
      </c>
      <c r="I1584" s="12">
        <f>I1582+0.1*H1582</f>
        <v>65.900000000000006</v>
      </c>
      <c r="J1584" s="12"/>
      <c r="K1584" s="12"/>
      <c r="L1584" s="12"/>
      <c r="M1584" s="12"/>
      <c r="N1584" s="12"/>
    </row>
    <row r="1585" spans="1:14" x14ac:dyDescent="0.25">
      <c r="A1585" s="10" t="s">
        <v>36</v>
      </c>
      <c r="B1585" s="156">
        <v>85</v>
      </c>
      <c r="C1585" s="156">
        <v>67</v>
      </c>
      <c r="D1585" s="156">
        <v>72</v>
      </c>
      <c r="E1585" s="156">
        <v>65</v>
      </c>
      <c r="F1585" s="156">
        <v>60</v>
      </c>
      <c r="G1585" s="156">
        <v>68</v>
      </c>
      <c r="H1585" s="156">
        <v>51</v>
      </c>
      <c r="I1585" s="12">
        <v>39</v>
      </c>
      <c r="J1585" s="12">
        <v>43</v>
      </c>
      <c r="K1585" s="12">
        <v>29</v>
      </c>
      <c r="L1585" s="12">
        <v>43</v>
      </c>
      <c r="M1585" s="12">
        <v>35</v>
      </c>
      <c r="N1585" s="12"/>
    </row>
    <row r="1586" spans="1:14" x14ac:dyDescent="0.25">
      <c r="A1586" s="10" t="s">
        <v>37</v>
      </c>
      <c r="B1586" s="12">
        <f>(B1584)</f>
        <v>-15</v>
      </c>
      <c r="C1586" s="12">
        <f>(C1584)</f>
        <v>3</v>
      </c>
      <c r="D1586" s="12">
        <f t="shared" ref="D1586:I1586" si="69">D1583-D1585</f>
        <v>-17</v>
      </c>
      <c r="E1586" s="12">
        <f t="shared" si="69"/>
        <v>-9</v>
      </c>
      <c r="F1586" s="12">
        <f t="shared" si="69"/>
        <v>1</v>
      </c>
      <c r="G1586" s="156">
        <f t="shared" si="69"/>
        <v>3</v>
      </c>
      <c r="H1586" s="156">
        <f t="shared" si="69"/>
        <v>22</v>
      </c>
      <c r="I1586" s="12">
        <f t="shared" si="69"/>
        <v>26.900000000000006</v>
      </c>
      <c r="J1586" s="12">
        <f>J1582-J1585</f>
        <v>15.899999999999999</v>
      </c>
      <c r="K1586" s="12">
        <f>K1582-K1585</f>
        <v>29.9</v>
      </c>
      <c r="L1586" s="12">
        <f>L1582-L1585</f>
        <v>15.899999999999999</v>
      </c>
      <c r="M1586" s="12">
        <f>M1582-M1585</f>
        <v>23.9</v>
      </c>
      <c r="N1586" s="12"/>
    </row>
    <row r="1587" spans="1:14" x14ac:dyDescent="0.25">
      <c r="A1587" s="16" t="s">
        <v>33</v>
      </c>
      <c r="B1587" s="456">
        <v>2015</v>
      </c>
      <c r="C1587" s="456">
        <v>2016</v>
      </c>
      <c r="D1587" s="456">
        <v>2016</v>
      </c>
      <c r="E1587" s="456">
        <v>2017</v>
      </c>
      <c r="F1587" s="456">
        <v>2018</v>
      </c>
      <c r="G1587" s="456">
        <v>2019</v>
      </c>
      <c r="H1587" s="456">
        <v>2020</v>
      </c>
      <c r="I1587" s="159"/>
      <c r="J1587" s="159"/>
      <c r="K1587" s="159"/>
      <c r="L1587" s="159">
        <v>2024</v>
      </c>
      <c r="M1587" s="479">
        <v>2025</v>
      </c>
      <c r="N1587" s="479">
        <v>2026</v>
      </c>
    </row>
    <row r="1588" spans="1:14" x14ac:dyDescent="0.25">
      <c r="A1588" s="29" t="s">
        <v>34</v>
      </c>
      <c r="B1588" s="30"/>
      <c r="C1588" s="30"/>
      <c r="D1588" s="30"/>
      <c r="E1588" s="30"/>
      <c r="F1588" s="30"/>
      <c r="G1588" s="30"/>
      <c r="H1588" s="30"/>
      <c r="I1588" s="30"/>
      <c r="J1588" s="30"/>
      <c r="K1588" s="30"/>
      <c r="L1588" s="30"/>
      <c r="M1588" s="30"/>
      <c r="N1588" s="88"/>
    </row>
    <row r="1589" spans="1:14" x14ac:dyDescent="0.25">
      <c r="A1589" s="472" t="s">
        <v>311</v>
      </c>
      <c r="B1589" s="19"/>
      <c r="C1589" s="19"/>
      <c r="D1589" s="19"/>
      <c r="E1589" s="19"/>
      <c r="F1589" s="19"/>
      <c r="G1589" s="19"/>
      <c r="H1589" s="19"/>
      <c r="I1589" s="19"/>
      <c r="J1589" s="19"/>
      <c r="K1589" s="19"/>
      <c r="L1589" s="19"/>
      <c r="M1589" s="19"/>
      <c r="N1589" s="63"/>
    </row>
    <row r="1590" spans="1:14" x14ac:dyDescent="0.25">
      <c r="A1590" s="39" t="s">
        <v>312</v>
      </c>
      <c r="N1590" s="64"/>
    </row>
    <row r="1591" spans="1:14" x14ac:dyDescent="0.25">
      <c r="A1591" s="56" t="s">
        <v>313</v>
      </c>
      <c r="N1591" s="64"/>
    </row>
    <row r="1592" spans="1:14" x14ac:dyDescent="0.25">
      <c r="A1592" s="56" t="s">
        <v>314</v>
      </c>
      <c r="N1592" s="64"/>
    </row>
    <row r="1593" spans="1:14" x14ac:dyDescent="0.25">
      <c r="A1593" s="39" t="s">
        <v>305</v>
      </c>
      <c r="N1593" s="64"/>
    </row>
    <row r="1594" spans="1:14" x14ac:dyDescent="0.25">
      <c r="A1594" s="39" t="s">
        <v>407</v>
      </c>
      <c r="N1594" s="64"/>
    </row>
    <row r="1595" spans="1:14" x14ac:dyDescent="0.25">
      <c r="A1595" s="150" t="s">
        <v>1193</v>
      </c>
      <c r="N1595" s="64"/>
    </row>
    <row r="1596" spans="1:14" x14ac:dyDescent="0.25">
      <c r="A1596" s="150" t="s">
        <v>1194</v>
      </c>
      <c r="N1596" s="64"/>
    </row>
    <row r="1597" spans="1:14" x14ac:dyDescent="0.25">
      <c r="A1597" s="150" t="s">
        <v>1195</v>
      </c>
      <c r="N1597" s="64"/>
    </row>
    <row r="1598" spans="1:14" x14ac:dyDescent="0.25">
      <c r="A1598" s="42" t="s">
        <v>1196</v>
      </c>
      <c r="B1598" s="34"/>
      <c r="C1598" s="34"/>
      <c r="D1598" s="34"/>
      <c r="E1598" s="34"/>
      <c r="F1598" s="34"/>
      <c r="G1598" s="34"/>
      <c r="H1598" s="34"/>
      <c r="I1598" s="34"/>
      <c r="J1598" s="34"/>
      <c r="K1598" s="34"/>
      <c r="L1598" s="34"/>
      <c r="M1598" s="34"/>
      <c r="N1598" s="48"/>
    </row>
    <row r="1600" spans="1:14" x14ac:dyDescent="0.25">
      <c r="A1600" s="6" t="s">
        <v>14</v>
      </c>
      <c r="B1600" s="7" t="s">
        <v>79</v>
      </c>
      <c r="C1600" s="7" t="s">
        <v>26</v>
      </c>
    </row>
    <row r="1601" spans="1:14" x14ac:dyDescent="0.25">
      <c r="A1601" s="170" t="s">
        <v>27</v>
      </c>
      <c r="B1601" s="274">
        <v>2013</v>
      </c>
      <c r="C1601" s="154">
        <v>2014</v>
      </c>
      <c r="D1601" s="154">
        <v>2015</v>
      </c>
      <c r="E1601" s="154">
        <v>2016</v>
      </c>
      <c r="F1601" s="154">
        <v>2017</v>
      </c>
      <c r="G1601" s="474">
        <v>2018</v>
      </c>
      <c r="H1601" s="474">
        <v>2019</v>
      </c>
      <c r="I1601" s="154">
        <v>2020</v>
      </c>
      <c r="J1601" s="154">
        <v>2021</v>
      </c>
      <c r="K1601" s="154">
        <v>2022</v>
      </c>
      <c r="L1601" s="154">
        <v>2023</v>
      </c>
      <c r="M1601" s="154">
        <v>2024</v>
      </c>
      <c r="N1601" s="154">
        <v>2025</v>
      </c>
    </row>
    <row r="1602" spans="1:14" x14ac:dyDescent="0.25">
      <c r="A1602" s="11" t="s">
        <v>28</v>
      </c>
      <c r="B1602" s="12">
        <v>25</v>
      </c>
      <c r="C1602" s="12">
        <v>25</v>
      </c>
      <c r="D1602" s="12">
        <v>25</v>
      </c>
      <c r="E1602" s="12">
        <v>25</v>
      </c>
      <c r="F1602" s="156">
        <v>25</v>
      </c>
      <c r="G1602" s="477">
        <v>25</v>
      </c>
      <c r="H1602" s="477">
        <v>25</v>
      </c>
      <c r="I1602" s="12">
        <v>25</v>
      </c>
      <c r="J1602" s="12">
        <v>25</v>
      </c>
      <c r="K1602" s="12">
        <v>25</v>
      </c>
      <c r="L1602" s="12">
        <v>25</v>
      </c>
      <c r="M1602" s="12">
        <v>25</v>
      </c>
      <c r="N1602" s="12">
        <v>25</v>
      </c>
    </row>
    <row r="1603" spans="1:14" x14ac:dyDescent="0.25">
      <c r="A1603" s="11" t="s">
        <v>29</v>
      </c>
      <c r="B1603" s="12">
        <f>(B1604)</f>
        <v>-5</v>
      </c>
      <c r="C1603" s="12">
        <v>25</v>
      </c>
      <c r="D1603" s="12">
        <f>(D1604)</f>
        <v>25</v>
      </c>
      <c r="E1603" s="12">
        <f>(E1604)</f>
        <v>24</v>
      </c>
      <c r="F1603" s="12">
        <f>F1602</f>
        <v>25</v>
      </c>
      <c r="G1603" s="477">
        <v>29</v>
      </c>
      <c r="H1603" s="477">
        <f>H1602+5</f>
        <v>30</v>
      </c>
      <c r="I1603" s="12">
        <f>I1604</f>
        <v>30</v>
      </c>
      <c r="J1603" s="12">
        <f>J1604</f>
        <v>30</v>
      </c>
      <c r="K1603" s="12"/>
      <c r="L1603" s="12"/>
      <c r="M1603" s="90"/>
      <c r="N1603" s="90"/>
    </row>
    <row r="1604" spans="1:14" x14ac:dyDescent="0.25">
      <c r="A1604" s="11" t="s">
        <v>30</v>
      </c>
      <c r="B1604" s="156">
        <f>(B1602-B1605)</f>
        <v>-5</v>
      </c>
      <c r="C1604" s="156">
        <v>25</v>
      </c>
      <c r="D1604" s="156">
        <f>D1602+B1606+C1606</f>
        <v>25</v>
      </c>
      <c r="E1604" s="156">
        <f>E1602+D1606</f>
        <v>24</v>
      </c>
      <c r="F1604" s="156">
        <v>25</v>
      </c>
      <c r="G1604" s="477">
        <v>29</v>
      </c>
      <c r="H1604" s="477">
        <f>H1602+5</f>
        <v>30</v>
      </c>
      <c r="I1604" s="12">
        <f>I1602+0.2*G1602</f>
        <v>30</v>
      </c>
      <c r="J1604" s="12">
        <f>J1602+0.2*H1602</f>
        <v>30</v>
      </c>
      <c r="K1604" s="12"/>
      <c r="L1604" s="12"/>
      <c r="M1604" s="90"/>
      <c r="N1604" s="90"/>
    </row>
    <row r="1605" spans="1:14" x14ac:dyDescent="0.25">
      <c r="A1605" s="11" t="s">
        <v>36</v>
      </c>
      <c r="B1605" s="156">
        <v>30</v>
      </c>
      <c r="C1605" s="156">
        <v>20</v>
      </c>
      <c r="D1605" s="156">
        <v>26</v>
      </c>
      <c r="E1605" s="156">
        <v>20</v>
      </c>
      <c r="F1605" s="156">
        <v>12</v>
      </c>
      <c r="G1605" s="477">
        <v>15.89</v>
      </c>
      <c r="H1605" s="477">
        <v>9</v>
      </c>
      <c r="I1605" s="12">
        <v>10</v>
      </c>
      <c r="J1605" s="12">
        <v>12</v>
      </c>
      <c r="K1605" s="12">
        <v>8</v>
      </c>
      <c r="L1605" s="12">
        <v>8</v>
      </c>
      <c r="M1605" s="131">
        <v>9</v>
      </c>
      <c r="N1605" s="90"/>
    </row>
    <row r="1606" spans="1:14" x14ac:dyDescent="0.25">
      <c r="A1606" s="11" t="s">
        <v>37</v>
      </c>
      <c r="B1606" s="12">
        <v>-5</v>
      </c>
      <c r="C1606" s="12">
        <v>5</v>
      </c>
      <c r="D1606" s="12">
        <f>D1603-D1605</f>
        <v>-1</v>
      </c>
      <c r="E1606" s="286">
        <f>E1603-E1605</f>
        <v>4</v>
      </c>
      <c r="F1606" s="12">
        <f>F1603-F1605</f>
        <v>13</v>
      </c>
      <c r="G1606" s="477">
        <v>13.11</v>
      </c>
      <c r="H1606" s="477">
        <f>H1603-H1605</f>
        <v>21</v>
      </c>
      <c r="I1606" s="477">
        <f>I1603-I1605</f>
        <v>20</v>
      </c>
      <c r="J1606" s="12">
        <f>J1603-J1605</f>
        <v>18</v>
      </c>
      <c r="K1606" s="12">
        <f>K1602-K1605</f>
        <v>17</v>
      </c>
      <c r="L1606" s="12">
        <f>L1602-L1605</f>
        <v>17</v>
      </c>
      <c r="M1606" s="131">
        <f>M1602-M1605</f>
        <v>16</v>
      </c>
      <c r="N1606" s="90"/>
    </row>
    <row r="1607" spans="1:14" x14ac:dyDescent="0.25">
      <c r="A1607" s="17" t="s">
        <v>33</v>
      </c>
      <c r="B1607" s="456">
        <v>2015</v>
      </c>
      <c r="C1607" s="456">
        <v>2016</v>
      </c>
      <c r="D1607" s="456">
        <v>2017</v>
      </c>
      <c r="E1607" s="456">
        <v>2018</v>
      </c>
      <c r="F1607" s="159">
        <v>2019</v>
      </c>
      <c r="G1607" s="159">
        <v>2020</v>
      </c>
      <c r="H1607" s="475">
        <v>2021</v>
      </c>
      <c r="I1607" s="90">
        <v>2022</v>
      </c>
      <c r="J1607" s="90">
        <v>2023</v>
      </c>
      <c r="K1607" s="90">
        <v>2024</v>
      </c>
      <c r="L1607" s="90">
        <v>2025</v>
      </c>
      <c r="M1607" s="90">
        <v>2026</v>
      </c>
      <c r="N1607" s="90">
        <v>2027</v>
      </c>
    </row>
    <row r="1608" spans="1:14" x14ac:dyDescent="0.25">
      <c r="A1608" s="29" t="s">
        <v>34</v>
      </c>
      <c r="B1608" s="30"/>
      <c r="C1608" s="30"/>
      <c r="D1608" s="30"/>
      <c r="E1608" s="30"/>
      <c r="F1608" s="30"/>
      <c r="G1608" s="30"/>
      <c r="H1608" s="30"/>
      <c r="I1608" s="30"/>
      <c r="J1608" s="30"/>
      <c r="K1608" s="30"/>
      <c r="L1608" s="30"/>
      <c r="M1608" s="30"/>
      <c r="N1608" s="88"/>
    </row>
    <row r="1609" spans="1:14" x14ac:dyDescent="0.25">
      <c r="A1609" s="472" t="s">
        <v>306</v>
      </c>
      <c r="B1609" s="19"/>
      <c r="C1609" s="19"/>
      <c r="D1609" s="19"/>
      <c r="E1609" s="19"/>
      <c r="F1609" s="19"/>
      <c r="G1609" s="19"/>
      <c r="H1609" s="19"/>
      <c r="I1609" s="19"/>
      <c r="J1609" s="19"/>
      <c r="K1609" s="19"/>
      <c r="L1609" s="19"/>
      <c r="M1609" s="19"/>
      <c r="N1609" s="63"/>
    </row>
    <row r="1610" spans="1:14" x14ac:dyDescent="0.25">
      <c r="A1610" s="39" t="s">
        <v>307</v>
      </c>
      <c r="N1610" s="64"/>
    </row>
    <row r="1611" spans="1:14" x14ac:dyDescent="0.25">
      <c r="A1611" s="56" t="s">
        <v>308</v>
      </c>
      <c r="N1611" s="64"/>
    </row>
    <row r="1612" spans="1:14" x14ac:dyDescent="0.25">
      <c r="A1612" s="56" t="s">
        <v>309</v>
      </c>
      <c r="N1612" s="64"/>
    </row>
    <row r="1613" spans="1:14" x14ac:dyDescent="0.25">
      <c r="A1613" s="39" t="s">
        <v>310</v>
      </c>
      <c r="N1613" s="64"/>
    </row>
    <row r="1614" spans="1:14" x14ac:dyDescent="0.25">
      <c r="A1614" s="39" t="s">
        <v>408</v>
      </c>
      <c r="N1614" s="64"/>
    </row>
    <row r="1615" spans="1:14" x14ac:dyDescent="0.25">
      <c r="A1615" s="41" t="s">
        <v>409</v>
      </c>
      <c r="B1615" s="34"/>
      <c r="C1615" s="34"/>
      <c r="D1615" s="34"/>
      <c r="E1615" s="34"/>
      <c r="F1615" s="34"/>
      <c r="G1615" s="34"/>
      <c r="H1615" s="34"/>
      <c r="I1615" s="34"/>
      <c r="J1615" s="34"/>
      <c r="K1615" s="34"/>
      <c r="L1615" s="34"/>
      <c r="M1615" s="34"/>
      <c r="N1615" s="48"/>
    </row>
    <row r="1618" spans="1:13" x14ac:dyDescent="0.25">
      <c r="A1618" s="98" t="s">
        <v>12</v>
      </c>
      <c r="B1618" s="66" t="s">
        <v>453</v>
      </c>
      <c r="C1618" s="8"/>
      <c r="D1618" s="8"/>
      <c r="E1618" s="8"/>
      <c r="F1618" s="8"/>
      <c r="G1618" s="8"/>
    </row>
    <row r="1619" spans="1:13" x14ac:dyDescent="0.25">
      <c r="A1619" s="98" t="s">
        <v>14</v>
      </c>
      <c r="B1619" s="66" t="s">
        <v>638</v>
      </c>
      <c r="C1619" s="66" t="s">
        <v>15</v>
      </c>
      <c r="D1619" s="8"/>
      <c r="E1619" s="8"/>
      <c r="F1619" s="8"/>
      <c r="G1619" s="8"/>
    </row>
    <row r="1620" spans="1:13" x14ac:dyDescent="0.25">
      <c r="A1620" s="95" t="s">
        <v>16</v>
      </c>
      <c r="B1620" s="247"/>
      <c r="C1620" s="263">
        <v>2016</v>
      </c>
      <c r="D1620" s="341">
        <v>2017</v>
      </c>
      <c r="E1620" s="341">
        <v>2018</v>
      </c>
      <c r="F1620" s="341">
        <v>2019</v>
      </c>
      <c r="G1620" s="341">
        <v>2020</v>
      </c>
      <c r="H1620" s="341">
        <v>2021</v>
      </c>
      <c r="I1620" s="341">
        <v>2022</v>
      </c>
      <c r="J1620" s="341" t="s">
        <v>837</v>
      </c>
      <c r="K1620" s="341" t="s">
        <v>838</v>
      </c>
      <c r="L1620" s="341" t="s">
        <v>839</v>
      </c>
      <c r="M1620" s="341" t="s">
        <v>1127</v>
      </c>
    </row>
    <row r="1621" spans="1:13" x14ac:dyDescent="0.25">
      <c r="A1621" s="68" t="s">
        <v>17</v>
      </c>
      <c r="B1621" s="69"/>
      <c r="C1621" s="72">
        <v>3600</v>
      </c>
      <c r="D1621" s="97">
        <v>3600</v>
      </c>
      <c r="E1621" s="97">
        <v>3600</v>
      </c>
      <c r="F1621" s="97">
        <v>3600</v>
      </c>
      <c r="G1621" s="97">
        <v>3600</v>
      </c>
      <c r="H1621" s="97">
        <v>3600</v>
      </c>
      <c r="I1621" s="97">
        <v>3600</v>
      </c>
      <c r="J1621" s="97">
        <v>4320</v>
      </c>
      <c r="K1621" s="97">
        <v>4320</v>
      </c>
      <c r="L1621" s="97">
        <v>4320</v>
      </c>
      <c r="M1621" s="97">
        <v>4320</v>
      </c>
    </row>
    <row r="1622" spans="1:13" x14ac:dyDescent="0.25">
      <c r="A1622" s="68" t="s">
        <v>18</v>
      </c>
      <c r="B1622" s="69"/>
      <c r="C1622" s="480">
        <f>C1621+0.25*C1621</f>
        <v>4500</v>
      </c>
      <c r="D1622" s="480">
        <v>4477</v>
      </c>
      <c r="E1622" s="480">
        <f>E1621+0.25*E1621</f>
        <v>4500</v>
      </c>
      <c r="F1622" s="480">
        <f>F1621+0.25*F1621</f>
        <v>4500</v>
      </c>
      <c r="G1622" s="480">
        <f>G1621+0.25*G1621</f>
        <v>4500</v>
      </c>
      <c r="H1622" s="480">
        <f>H1621+0.25*H1621</f>
        <v>4500</v>
      </c>
      <c r="I1622" s="480">
        <f>I1621+0.25*I1621</f>
        <v>4500</v>
      </c>
      <c r="J1622" s="480">
        <f>J1621+0.25*H1621</f>
        <v>5220</v>
      </c>
      <c r="K1622" s="480">
        <f>K1621+I1625</f>
        <v>2075</v>
      </c>
      <c r="L1622" s="480">
        <f>L1621</f>
        <v>4320</v>
      </c>
      <c r="M1622" s="480">
        <v>5400</v>
      </c>
    </row>
    <row r="1623" spans="1:13" ht="39.6" x14ac:dyDescent="0.25">
      <c r="A1623" s="68" t="s">
        <v>19</v>
      </c>
      <c r="B1623" s="434"/>
      <c r="C1623" s="480" t="s">
        <v>835</v>
      </c>
      <c r="D1623" s="480" t="s">
        <v>835</v>
      </c>
      <c r="E1623" s="480" t="s">
        <v>835</v>
      </c>
      <c r="F1623" s="480" t="s">
        <v>835</v>
      </c>
      <c r="G1623" s="480" t="s">
        <v>835</v>
      </c>
      <c r="H1623" s="480" t="s">
        <v>835</v>
      </c>
      <c r="I1623" s="480" t="s">
        <v>835</v>
      </c>
      <c r="J1623" s="480" t="s">
        <v>836</v>
      </c>
      <c r="K1623" s="481" t="s">
        <v>841</v>
      </c>
      <c r="L1623" s="481" t="s">
        <v>842</v>
      </c>
      <c r="M1623" s="480" t="s">
        <v>1264</v>
      </c>
    </row>
    <row r="1624" spans="1:13" x14ac:dyDescent="0.25">
      <c r="A1624" s="68" t="s">
        <v>20</v>
      </c>
      <c r="B1624" s="69"/>
      <c r="C1624" s="72">
        <v>994</v>
      </c>
      <c r="D1624" s="97">
        <v>365.62</v>
      </c>
      <c r="E1624" s="97">
        <v>888.8</v>
      </c>
      <c r="F1624" s="97">
        <v>966.50400000000002</v>
      </c>
      <c r="G1624" s="97">
        <v>2165.75</v>
      </c>
      <c r="H1624" s="97">
        <v>3412.63</v>
      </c>
      <c r="I1624" s="97">
        <v>6745</v>
      </c>
      <c r="J1624" s="97">
        <v>4856.4380000000001</v>
      </c>
      <c r="K1624" s="97">
        <v>458.31599999999997</v>
      </c>
      <c r="L1624" s="97"/>
      <c r="M1624" s="97"/>
    </row>
    <row r="1625" spans="1:13" x14ac:dyDescent="0.25">
      <c r="A1625" s="68" t="s">
        <v>21</v>
      </c>
      <c r="B1625" s="69"/>
      <c r="C1625" s="72">
        <f>C1622-C1624</f>
        <v>3506</v>
      </c>
      <c r="D1625" s="72">
        <f t="shared" ref="D1625:K1625" si="70">D1622-D1624</f>
        <v>4111.38</v>
      </c>
      <c r="E1625" s="72">
        <f t="shared" si="70"/>
        <v>3611.2</v>
      </c>
      <c r="F1625" s="72">
        <f t="shared" si="70"/>
        <v>3533.4960000000001</v>
      </c>
      <c r="G1625" s="72">
        <f t="shared" si="70"/>
        <v>2334.25</v>
      </c>
      <c r="H1625" s="72">
        <f t="shared" si="70"/>
        <v>1087.3699999999999</v>
      </c>
      <c r="I1625" s="72">
        <f t="shared" si="70"/>
        <v>-2245</v>
      </c>
      <c r="J1625" s="72">
        <f t="shared" si="70"/>
        <v>363.5619999999999</v>
      </c>
      <c r="K1625" s="72">
        <f t="shared" si="70"/>
        <v>1616.684</v>
      </c>
      <c r="L1625" s="72"/>
      <c r="M1625" s="72"/>
    </row>
    <row r="1626" spans="1:13" x14ac:dyDescent="0.25">
      <c r="A1626" s="68" t="s">
        <v>22</v>
      </c>
      <c r="B1626" s="69"/>
      <c r="C1626" s="248">
        <v>2018</v>
      </c>
      <c r="D1626" s="248">
        <v>2019</v>
      </c>
      <c r="E1626" s="248">
        <v>2020</v>
      </c>
      <c r="F1626" s="248">
        <v>2021</v>
      </c>
      <c r="G1626" s="248">
        <v>2022</v>
      </c>
      <c r="H1626" s="248">
        <v>2023</v>
      </c>
      <c r="I1626" s="248">
        <v>2024</v>
      </c>
      <c r="J1626" s="248">
        <v>2025</v>
      </c>
      <c r="K1626" s="248">
        <v>2026</v>
      </c>
      <c r="L1626" s="248">
        <v>2027</v>
      </c>
      <c r="M1626" s="248">
        <v>2028</v>
      </c>
    </row>
    <row r="1627" spans="1:13" x14ac:dyDescent="0.25">
      <c r="A1627" s="704" t="s">
        <v>23</v>
      </c>
      <c r="B1627" s="705"/>
      <c r="C1627" s="705"/>
      <c r="D1627" s="705"/>
      <c r="E1627" s="705"/>
      <c r="F1627" s="482"/>
      <c r="G1627" s="482"/>
      <c r="H1627" s="482"/>
      <c r="I1627" s="482"/>
      <c r="J1627" s="482"/>
      <c r="K1627" s="482"/>
      <c r="L1627" s="482"/>
      <c r="M1627" s="88"/>
    </row>
    <row r="1628" spans="1:13" x14ac:dyDescent="0.25">
      <c r="A1628" s="436" t="s">
        <v>840</v>
      </c>
      <c r="B1628" s="437"/>
      <c r="C1628" s="437"/>
      <c r="D1628" s="437"/>
      <c r="E1628" s="437"/>
      <c r="F1628" s="482"/>
      <c r="G1628" s="482"/>
      <c r="H1628" s="30"/>
      <c r="I1628" s="30"/>
      <c r="J1628" s="30"/>
      <c r="K1628" s="30"/>
      <c r="L1628" s="30"/>
      <c r="M1628" s="88"/>
    </row>
    <row r="1630" spans="1:13" x14ac:dyDescent="0.25">
      <c r="A1630" s="98" t="s">
        <v>14</v>
      </c>
      <c r="B1630" s="66" t="s">
        <v>641</v>
      </c>
      <c r="C1630" s="66" t="s">
        <v>15</v>
      </c>
      <c r="D1630" s="8"/>
      <c r="E1630" s="8"/>
      <c r="F1630" s="8"/>
      <c r="G1630" s="8"/>
      <c r="H1630" s="480"/>
    </row>
    <row r="1631" spans="1:13" x14ac:dyDescent="0.25">
      <c r="A1631" s="95" t="s">
        <v>16</v>
      </c>
      <c r="B1631" s="247"/>
      <c r="C1631" s="263">
        <v>2016</v>
      </c>
      <c r="D1631" s="341">
        <v>2017</v>
      </c>
      <c r="E1631" s="341">
        <v>2018</v>
      </c>
      <c r="F1631" s="341">
        <v>2019</v>
      </c>
      <c r="G1631" s="341">
        <v>2020</v>
      </c>
      <c r="H1631" s="341">
        <v>2021</v>
      </c>
      <c r="I1631" s="341">
        <v>2022</v>
      </c>
      <c r="J1631" s="341">
        <v>2023</v>
      </c>
      <c r="K1631" s="341">
        <v>2024</v>
      </c>
      <c r="L1631" s="341">
        <v>2025</v>
      </c>
    </row>
    <row r="1632" spans="1:13" x14ac:dyDescent="0.25">
      <c r="A1632" s="68" t="s">
        <v>17</v>
      </c>
      <c r="B1632" s="69"/>
      <c r="C1632" s="72">
        <v>1168</v>
      </c>
      <c r="D1632" s="97">
        <v>1168</v>
      </c>
      <c r="E1632" s="97">
        <v>1168</v>
      </c>
      <c r="F1632" s="97">
        <v>1168</v>
      </c>
      <c r="G1632" s="97">
        <v>1168</v>
      </c>
      <c r="H1632" s="97">
        <v>1168</v>
      </c>
      <c r="I1632" s="97">
        <v>1168</v>
      </c>
      <c r="J1632" s="97">
        <v>1168</v>
      </c>
      <c r="K1632" s="97">
        <v>1168</v>
      </c>
      <c r="L1632" s="97">
        <v>1168</v>
      </c>
    </row>
    <row r="1633" spans="1:13" x14ac:dyDescent="0.25">
      <c r="A1633" s="68" t="s">
        <v>18</v>
      </c>
      <c r="B1633" s="69"/>
      <c r="C1633" s="480">
        <f>C1632+0.3*C1632+50+50+50</f>
        <v>1668.4</v>
      </c>
      <c r="D1633" s="480">
        <f>D1632+0.3*D1632+50+50+50</f>
        <v>1668.4</v>
      </c>
      <c r="E1633" s="480">
        <f>E1632+0.2*E1632+50+50+50</f>
        <v>1551.6</v>
      </c>
      <c r="F1633" s="480">
        <f>F1632+0.2*F1632+50+50+50</f>
        <v>1551.6</v>
      </c>
      <c r="G1633" s="480">
        <f>G1632+0.2*G1632+50+50+50</f>
        <v>1551.6</v>
      </c>
      <c r="H1633" s="480">
        <f>1168+20%*1168+50+50+50</f>
        <v>1551.6</v>
      </c>
      <c r="I1633" s="480">
        <f>1168+20%*1168+50+50+50</f>
        <v>1551.6</v>
      </c>
      <c r="J1633" s="480">
        <v>1434.8</v>
      </c>
      <c r="K1633" s="480">
        <v>1434.8</v>
      </c>
      <c r="L1633" s="480">
        <v>1384.8</v>
      </c>
    </row>
    <row r="1634" spans="1:13" x14ac:dyDescent="0.25">
      <c r="A1634" s="68" t="s">
        <v>19</v>
      </c>
      <c r="B1634" s="434"/>
      <c r="C1634" s="480" t="s">
        <v>456</v>
      </c>
      <c r="D1634" s="480" t="s">
        <v>456</v>
      </c>
      <c r="E1634" s="480" t="s">
        <v>459</v>
      </c>
      <c r="F1634" s="480" t="s">
        <v>459</v>
      </c>
      <c r="G1634" s="480" t="s">
        <v>459</v>
      </c>
      <c r="H1634" s="480" t="s">
        <v>459</v>
      </c>
      <c r="I1634" s="480" t="s">
        <v>459</v>
      </c>
      <c r="J1634" s="480" t="s">
        <v>1256</v>
      </c>
      <c r="K1634" s="480" t="s">
        <v>1256</v>
      </c>
      <c r="L1634" s="480" t="s">
        <v>1257</v>
      </c>
      <c r="M1634" s="480">
        <f>1168+20%*1168+50+50+50</f>
        <v>1551.6</v>
      </c>
    </row>
    <row r="1635" spans="1:13" x14ac:dyDescent="0.25">
      <c r="A1635" s="68" t="s">
        <v>20</v>
      </c>
      <c r="B1635" s="69"/>
      <c r="C1635" s="72">
        <v>466</v>
      </c>
      <c r="D1635" s="97">
        <v>717</v>
      </c>
      <c r="E1635" s="97">
        <v>881</v>
      </c>
      <c r="F1635" s="97">
        <v>811.28</v>
      </c>
      <c r="G1635" s="97">
        <v>789.23699999999997</v>
      </c>
      <c r="H1635" s="97">
        <v>252.99</v>
      </c>
      <c r="I1635" s="97">
        <v>1083</v>
      </c>
      <c r="J1635" s="97">
        <v>664.495</v>
      </c>
      <c r="K1635" s="97">
        <v>259.97000000000003</v>
      </c>
      <c r="L1635" s="97"/>
    </row>
    <row r="1636" spans="1:13" x14ac:dyDescent="0.25">
      <c r="A1636" s="68" t="s">
        <v>21</v>
      </c>
      <c r="B1636" s="69"/>
      <c r="C1636" s="72">
        <f>C1633-C1635</f>
        <v>1202.4000000000001</v>
      </c>
      <c r="D1636" s="72">
        <f t="shared" ref="D1636:K1636" si="71">D1633-D1635</f>
        <v>951.40000000000009</v>
      </c>
      <c r="E1636" s="72">
        <f t="shared" si="71"/>
        <v>670.59999999999991</v>
      </c>
      <c r="F1636" s="72">
        <f t="shared" si="71"/>
        <v>740.31999999999994</v>
      </c>
      <c r="G1636" s="72">
        <f t="shared" si="71"/>
        <v>762.36299999999994</v>
      </c>
      <c r="H1636" s="72">
        <f t="shared" si="71"/>
        <v>1298.6099999999999</v>
      </c>
      <c r="I1636" s="72">
        <f t="shared" si="71"/>
        <v>468.59999999999991</v>
      </c>
      <c r="J1636" s="72">
        <f t="shared" si="71"/>
        <v>770.30499999999995</v>
      </c>
      <c r="K1636" s="72">
        <f t="shared" si="71"/>
        <v>1174.83</v>
      </c>
      <c r="L1636" s="72"/>
    </row>
    <row r="1637" spans="1:13" x14ac:dyDescent="0.25">
      <c r="A1637" s="92" t="s">
        <v>22</v>
      </c>
      <c r="B1637" s="272"/>
      <c r="C1637" s="665">
        <v>2018</v>
      </c>
      <c r="D1637" s="665">
        <v>2019</v>
      </c>
      <c r="E1637" s="665">
        <v>2020</v>
      </c>
      <c r="F1637" s="665">
        <v>2021</v>
      </c>
      <c r="G1637" s="665">
        <v>2022</v>
      </c>
      <c r="H1637" s="665">
        <v>2023</v>
      </c>
      <c r="I1637" s="665">
        <v>2023</v>
      </c>
      <c r="J1637" s="665">
        <v>2025</v>
      </c>
      <c r="K1637" s="665">
        <v>2026</v>
      </c>
      <c r="L1637" s="665">
        <v>2027</v>
      </c>
    </row>
    <row r="1638" spans="1:13" x14ac:dyDescent="0.25">
      <c r="A1638" s="706" t="s">
        <v>23</v>
      </c>
      <c r="B1638" s="707"/>
      <c r="C1638" s="707"/>
      <c r="D1638" s="707"/>
      <c r="E1638" s="707"/>
      <c r="F1638" s="93"/>
      <c r="G1638" s="93"/>
      <c r="H1638" s="93"/>
      <c r="I1638" s="93"/>
      <c r="J1638" s="93"/>
      <c r="K1638" s="93"/>
      <c r="L1638" s="63"/>
    </row>
    <row r="1639" spans="1:13" x14ac:dyDescent="0.25">
      <c r="A1639" s="644" t="s">
        <v>455</v>
      </c>
      <c r="B1639" s="645"/>
      <c r="C1639" s="645"/>
      <c r="D1639" s="645"/>
      <c r="E1639" s="645"/>
      <c r="F1639" s="93"/>
      <c r="G1639" s="93"/>
      <c r="H1639" s="19"/>
      <c r="I1639" s="19"/>
      <c r="J1639" s="19"/>
      <c r="K1639" s="19"/>
      <c r="L1639" s="63"/>
    </row>
    <row r="1640" spans="1:13" x14ac:dyDescent="0.25">
      <c r="A1640" s="39" t="s">
        <v>454</v>
      </c>
      <c r="L1640" s="64"/>
    </row>
    <row r="1641" spans="1:13" x14ac:dyDescent="0.25">
      <c r="A1641" s="39" t="s">
        <v>834</v>
      </c>
      <c r="L1641" s="64"/>
    </row>
    <row r="1642" spans="1:13" x14ac:dyDescent="0.25">
      <c r="A1642" s="39" t="s">
        <v>833</v>
      </c>
      <c r="L1642" s="64"/>
    </row>
    <row r="1643" spans="1:13" x14ac:dyDescent="0.25">
      <c r="A1643" s="39" t="s">
        <v>457</v>
      </c>
      <c r="L1643" s="64"/>
    </row>
    <row r="1644" spans="1:13" x14ac:dyDescent="0.25">
      <c r="A1644" s="39" t="s">
        <v>458</v>
      </c>
      <c r="L1644" s="64"/>
    </row>
    <row r="1645" spans="1:13" x14ac:dyDescent="0.25">
      <c r="A1645" s="41" t="s">
        <v>1051</v>
      </c>
      <c r="B1645" s="34"/>
      <c r="C1645" s="34"/>
      <c r="D1645" s="34"/>
      <c r="E1645" s="34"/>
      <c r="F1645" s="34"/>
      <c r="G1645" s="34"/>
      <c r="H1645" s="34"/>
      <c r="I1645" s="34"/>
      <c r="J1645" s="34"/>
      <c r="K1645" s="34"/>
      <c r="L1645" s="48"/>
    </row>
    <row r="1647" spans="1:13" x14ac:dyDescent="0.25">
      <c r="A1647" s="6" t="s">
        <v>14</v>
      </c>
      <c r="B1647" s="7" t="s">
        <v>74</v>
      </c>
      <c r="C1647" s="7" t="s">
        <v>152</v>
      </c>
    </row>
    <row r="1648" spans="1:13" x14ac:dyDescent="0.25">
      <c r="A1648" s="41" t="s">
        <v>16</v>
      </c>
      <c r="B1648" s="274">
        <v>2016</v>
      </c>
      <c r="C1648" s="154">
        <v>2017</v>
      </c>
      <c r="D1648" s="154">
        <v>2018</v>
      </c>
      <c r="E1648" s="154">
        <v>2019</v>
      </c>
      <c r="F1648" s="154">
        <v>2020</v>
      </c>
      <c r="G1648" s="154">
        <v>2021</v>
      </c>
      <c r="H1648" s="154">
        <v>2022</v>
      </c>
      <c r="I1648" s="154">
        <v>2023</v>
      </c>
      <c r="J1648" s="154">
        <v>2024</v>
      </c>
      <c r="K1648" s="154">
        <v>2025</v>
      </c>
    </row>
    <row r="1649" spans="1:11" x14ac:dyDescent="0.25">
      <c r="A1649" s="10" t="s">
        <v>17</v>
      </c>
      <c r="B1649" s="12">
        <v>10</v>
      </c>
      <c r="C1649" s="12">
        <v>10</v>
      </c>
      <c r="D1649" s="12">
        <v>10</v>
      </c>
      <c r="E1649" s="12">
        <v>10</v>
      </c>
      <c r="F1649" s="12">
        <v>10</v>
      </c>
      <c r="G1649" s="12">
        <v>10</v>
      </c>
      <c r="H1649" s="12">
        <v>10</v>
      </c>
      <c r="I1649" s="12">
        <v>10</v>
      </c>
      <c r="J1649" s="12">
        <v>10</v>
      </c>
      <c r="K1649" s="12">
        <v>10</v>
      </c>
    </row>
    <row r="1650" spans="1:11" x14ac:dyDescent="0.25">
      <c r="A1650" s="10" t="s">
        <v>18</v>
      </c>
      <c r="B1650" s="12">
        <v>10</v>
      </c>
      <c r="C1650" s="12">
        <f>C1649+B1653</f>
        <v>-12</v>
      </c>
      <c r="D1650" s="12">
        <f>D1649+C1653</f>
        <v>-59</v>
      </c>
      <c r="E1650" s="12">
        <f>E1649+D1653</f>
        <v>-133</v>
      </c>
      <c r="F1650" s="12">
        <f>F1649+E1653</f>
        <v>-175.72</v>
      </c>
      <c r="G1650" s="12">
        <f>F1653+G1649</f>
        <v>-217.13</v>
      </c>
      <c r="H1650" s="12">
        <f xml:space="preserve"> 1.25*G1653+H1649</f>
        <v>-273.72499999999997</v>
      </c>
      <c r="I1650" s="12">
        <f xml:space="preserve"> 1.25*H1653+I1649</f>
        <v>-342.58124999999995</v>
      </c>
      <c r="J1650" s="12">
        <f xml:space="preserve"> 1.25*I1653+J1649</f>
        <v>-430.47656249999994</v>
      </c>
      <c r="K1650" s="12">
        <f xml:space="preserve"> 1.25*J1653+K1649</f>
        <v>-541.38320312499991</v>
      </c>
    </row>
    <row r="1651" spans="1:11" x14ac:dyDescent="0.25">
      <c r="A1651" s="10" t="s">
        <v>19</v>
      </c>
      <c r="B1651" s="156"/>
      <c r="C1651" s="156" t="s">
        <v>399</v>
      </c>
      <c r="D1651" s="156" t="s">
        <v>400</v>
      </c>
      <c r="E1651" s="156" t="s">
        <v>401</v>
      </c>
      <c r="F1651" s="156" t="s">
        <v>402</v>
      </c>
      <c r="G1651" s="156" t="s">
        <v>566</v>
      </c>
      <c r="H1651" s="156" t="s">
        <v>604</v>
      </c>
      <c r="I1651" s="156" t="s">
        <v>625</v>
      </c>
      <c r="J1651" s="156" t="s">
        <v>784</v>
      </c>
      <c r="K1651" s="156" t="s">
        <v>999</v>
      </c>
    </row>
    <row r="1652" spans="1:11" x14ac:dyDescent="0.25">
      <c r="A1652" s="10" t="s">
        <v>20</v>
      </c>
      <c r="B1652" s="156">
        <v>32</v>
      </c>
      <c r="C1652" s="156">
        <v>57</v>
      </c>
      <c r="D1652" s="156">
        <v>84</v>
      </c>
      <c r="E1652" s="156">
        <v>52.72</v>
      </c>
      <c r="F1652" s="156">
        <v>51.41</v>
      </c>
      <c r="G1652" s="156">
        <v>9.85</v>
      </c>
      <c r="H1652" s="156">
        <v>8.34</v>
      </c>
      <c r="I1652" s="156">
        <v>9.8000000000000007</v>
      </c>
      <c r="J1652" s="182">
        <v>10.63</v>
      </c>
      <c r="K1652" s="156"/>
    </row>
    <row r="1653" spans="1:11" x14ac:dyDescent="0.25">
      <c r="A1653" s="10" t="s">
        <v>21</v>
      </c>
      <c r="B1653" s="12">
        <f t="shared" ref="B1653:J1653" si="72">B1650-B1652</f>
        <v>-22</v>
      </c>
      <c r="C1653" s="12">
        <f t="shared" si="72"/>
        <v>-69</v>
      </c>
      <c r="D1653" s="12">
        <f t="shared" si="72"/>
        <v>-143</v>
      </c>
      <c r="E1653" s="12">
        <f t="shared" si="72"/>
        <v>-185.72</v>
      </c>
      <c r="F1653" s="12">
        <f t="shared" si="72"/>
        <v>-227.13</v>
      </c>
      <c r="G1653" s="12">
        <f t="shared" si="72"/>
        <v>-226.98</v>
      </c>
      <c r="H1653" s="12">
        <f t="shared" si="72"/>
        <v>-282.06499999999994</v>
      </c>
      <c r="I1653" s="12">
        <f t="shared" si="72"/>
        <v>-352.38124999999997</v>
      </c>
      <c r="J1653" s="26">
        <f t="shared" si="72"/>
        <v>-441.10656249999994</v>
      </c>
      <c r="K1653" s="12"/>
    </row>
    <row r="1654" spans="1:11" x14ac:dyDescent="0.25">
      <c r="A1654" s="16" t="s">
        <v>22</v>
      </c>
      <c r="B1654" s="456">
        <v>2017</v>
      </c>
      <c r="C1654" s="456">
        <v>2018</v>
      </c>
      <c r="D1654" s="456">
        <v>2019</v>
      </c>
      <c r="E1654" s="456">
        <v>2020</v>
      </c>
      <c r="F1654" s="456">
        <v>2021</v>
      </c>
      <c r="G1654" s="456">
        <v>2022</v>
      </c>
      <c r="H1654" s="456">
        <v>2023</v>
      </c>
      <c r="I1654" s="456">
        <v>2023</v>
      </c>
      <c r="J1654" s="456">
        <v>2025</v>
      </c>
      <c r="K1654" s="456">
        <v>2026</v>
      </c>
    </row>
    <row r="1655" spans="1:11" x14ac:dyDescent="0.25">
      <c r="A1655" s="16" t="s">
        <v>179</v>
      </c>
      <c r="B1655" s="46"/>
      <c r="C1655" s="46"/>
      <c r="D1655" s="46"/>
      <c r="E1655" s="46"/>
      <c r="F1655" s="46"/>
      <c r="G1655" s="46"/>
      <c r="H1655" s="46"/>
      <c r="I1655" s="46"/>
      <c r="J1655" s="47"/>
    </row>
    <row r="1656" spans="1:11" x14ac:dyDescent="0.25">
      <c r="A1656" s="56" t="s">
        <v>403</v>
      </c>
      <c r="J1656" s="64"/>
    </row>
    <row r="1657" spans="1:11" x14ac:dyDescent="0.25">
      <c r="A1657" s="56" t="s">
        <v>404</v>
      </c>
      <c r="J1657" s="64"/>
    </row>
    <row r="1658" spans="1:11" x14ac:dyDescent="0.25">
      <c r="A1658" s="56" t="s">
        <v>405</v>
      </c>
      <c r="J1658" s="64"/>
    </row>
    <row r="1659" spans="1:11" x14ac:dyDescent="0.25">
      <c r="A1659" s="56" t="s">
        <v>565</v>
      </c>
      <c r="C1659" s="348"/>
      <c r="J1659" s="64"/>
    </row>
    <row r="1660" spans="1:11" x14ac:dyDescent="0.25">
      <c r="A1660" s="56" t="s">
        <v>567</v>
      </c>
      <c r="C1660" s="348"/>
      <c r="J1660" s="64"/>
    </row>
    <row r="1661" spans="1:11" x14ac:dyDescent="0.25">
      <c r="A1661" s="56" t="s">
        <v>895</v>
      </c>
      <c r="C1661" s="348"/>
      <c r="J1661" s="64"/>
    </row>
    <row r="1662" spans="1:11" x14ac:dyDescent="0.25">
      <c r="A1662" s="56" t="s">
        <v>896</v>
      </c>
      <c r="C1662" s="348"/>
      <c r="J1662" s="64"/>
    </row>
    <row r="1663" spans="1:11" x14ac:dyDescent="0.25">
      <c r="A1663" s="49" t="s">
        <v>1026</v>
      </c>
      <c r="C1663" s="348"/>
    </row>
    <row r="1664" spans="1:11" s="34" customFormat="1" x14ac:dyDescent="0.25">
      <c r="A1664" s="58" t="s">
        <v>1129</v>
      </c>
      <c r="C1664" s="313"/>
    </row>
    <row r="1666" spans="1:10" x14ac:dyDescent="0.25">
      <c r="A1666" s="6" t="s">
        <v>14</v>
      </c>
      <c r="B1666" s="7" t="s">
        <v>1052</v>
      </c>
      <c r="C1666" s="7" t="s">
        <v>152</v>
      </c>
    </row>
    <row r="1667" spans="1:10" x14ac:dyDescent="0.25">
      <c r="A1667" s="41" t="s">
        <v>16</v>
      </c>
      <c r="B1667" s="274">
        <v>2023</v>
      </c>
      <c r="C1667" s="154">
        <v>2024</v>
      </c>
    </row>
    <row r="1668" spans="1:10" x14ac:dyDescent="0.25">
      <c r="A1668" s="10" t="s">
        <v>1053</v>
      </c>
      <c r="B1668" s="12">
        <v>256</v>
      </c>
      <c r="C1668" s="12">
        <v>256</v>
      </c>
    </row>
    <row r="1669" spans="1:10" x14ac:dyDescent="0.25">
      <c r="A1669" s="10" t="s">
        <v>1054</v>
      </c>
      <c r="B1669" s="12"/>
      <c r="C1669" s="12">
        <f>C1668+B1672</f>
        <v>-10</v>
      </c>
    </row>
    <row r="1670" spans="1:10" x14ac:dyDescent="0.25">
      <c r="A1670" s="10" t="s">
        <v>19</v>
      </c>
      <c r="B1670" s="156"/>
      <c r="C1670" s="156" t="s">
        <v>399</v>
      </c>
    </row>
    <row r="1671" spans="1:10" x14ac:dyDescent="0.25">
      <c r="A1671" s="10" t="s">
        <v>20</v>
      </c>
      <c r="B1671" s="156">
        <v>522</v>
      </c>
      <c r="C1671" s="156">
        <v>250.88</v>
      </c>
    </row>
    <row r="1672" spans="1:10" x14ac:dyDescent="0.25">
      <c r="A1672" s="10" t="s">
        <v>21</v>
      </c>
      <c r="B1672" s="12">
        <f>B1668-B1671</f>
        <v>-266</v>
      </c>
      <c r="C1672" s="12">
        <f>C1669-C1671</f>
        <v>-260.88</v>
      </c>
    </row>
    <row r="1673" spans="1:10" x14ac:dyDescent="0.25">
      <c r="A1673" s="16" t="s">
        <v>22</v>
      </c>
      <c r="B1673" s="456">
        <v>2024</v>
      </c>
      <c r="C1673" s="456">
        <v>2025</v>
      </c>
    </row>
    <row r="1674" spans="1:10" x14ac:dyDescent="0.25">
      <c r="A1674" s="16" t="s">
        <v>1056</v>
      </c>
      <c r="B1674" s="46"/>
      <c r="C1674" s="47"/>
    </row>
    <row r="1675" spans="1:10" x14ac:dyDescent="0.25">
      <c r="A1675" s="312" t="s">
        <v>1055</v>
      </c>
      <c r="B1675" s="34"/>
      <c r="C1675" s="48"/>
    </row>
    <row r="1677" spans="1:10" x14ac:dyDescent="0.25">
      <c r="A1677" s="98" t="s">
        <v>12</v>
      </c>
      <c r="B1677" s="66" t="s">
        <v>261</v>
      </c>
      <c r="C1677" s="8"/>
      <c r="D1677" s="8"/>
      <c r="E1677" s="8"/>
      <c r="F1677" s="8"/>
      <c r="G1677" s="8"/>
    </row>
    <row r="1678" spans="1:10" x14ac:dyDescent="0.25">
      <c r="A1678" s="103" t="s">
        <v>14</v>
      </c>
      <c r="B1678" s="104" t="s">
        <v>642</v>
      </c>
      <c r="C1678" s="66" t="s">
        <v>15</v>
      </c>
      <c r="D1678" s="8"/>
    </row>
    <row r="1679" spans="1:10" ht="14.4" x14ac:dyDescent="0.25">
      <c r="A1679" s="95" t="s">
        <v>16</v>
      </c>
      <c r="B1679" s="247"/>
      <c r="C1679" s="69"/>
      <c r="D1679" s="340">
        <v>2019</v>
      </c>
      <c r="E1679" s="263" t="s">
        <v>1115</v>
      </c>
      <c r="F1679" s="340" t="s">
        <v>1116</v>
      </c>
      <c r="G1679" s="263" t="s">
        <v>1117</v>
      </c>
      <c r="H1679" s="263" t="s">
        <v>1118</v>
      </c>
      <c r="I1679" s="483" t="s">
        <v>1197</v>
      </c>
      <c r="J1679" s="483" t="s">
        <v>1237</v>
      </c>
    </row>
    <row r="1680" spans="1:10" x14ac:dyDescent="0.25">
      <c r="A1680" s="68" t="s">
        <v>17</v>
      </c>
      <c r="B1680" s="69"/>
      <c r="C1680" s="69"/>
      <c r="D1680" s="71">
        <v>239</v>
      </c>
      <c r="E1680" s="72">
        <v>300</v>
      </c>
      <c r="F1680" s="71">
        <v>300</v>
      </c>
      <c r="G1680" s="72">
        <v>300</v>
      </c>
      <c r="H1680" s="72">
        <v>368</v>
      </c>
      <c r="I1680" s="484">
        <v>368</v>
      </c>
      <c r="J1680" s="484">
        <v>368</v>
      </c>
    </row>
    <row r="1681" spans="1:10" x14ac:dyDescent="0.25">
      <c r="A1681" s="68" t="s">
        <v>18</v>
      </c>
      <c r="B1681" s="69"/>
      <c r="C1681" s="69"/>
      <c r="D1681" s="71">
        <v>239</v>
      </c>
      <c r="E1681" s="72">
        <f>E1680+0.05*D1680</f>
        <v>311.95</v>
      </c>
      <c r="F1681" s="71">
        <f>F1680+0.05*E1680</f>
        <v>315</v>
      </c>
      <c r="G1681" s="72">
        <f>G1680+0.05*F1680</f>
        <v>315</v>
      </c>
      <c r="H1681" s="72">
        <f>H1680+0.05*G1680</f>
        <v>383</v>
      </c>
      <c r="I1681" s="484">
        <v>386.4</v>
      </c>
      <c r="J1681" s="484">
        <v>386.4</v>
      </c>
    </row>
    <row r="1682" spans="1:10" x14ac:dyDescent="0.25">
      <c r="A1682" s="68" t="s">
        <v>19</v>
      </c>
      <c r="B1682" s="434"/>
      <c r="C1682" s="253"/>
      <c r="D1682" s="68" t="s">
        <v>262</v>
      </c>
      <c r="E1682" s="69"/>
      <c r="F1682" s="136"/>
      <c r="G1682" s="69"/>
      <c r="H1682" s="69"/>
      <c r="I1682" s="485" t="s">
        <v>262</v>
      </c>
      <c r="J1682" s="485" t="s">
        <v>262</v>
      </c>
    </row>
    <row r="1683" spans="1:10" x14ac:dyDescent="0.25">
      <c r="A1683" s="68" t="s">
        <v>20</v>
      </c>
      <c r="B1683" s="69"/>
      <c r="C1683" s="69"/>
      <c r="D1683" s="136">
        <v>49.3</v>
      </c>
      <c r="E1683" s="69">
        <v>194.39</v>
      </c>
      <c r="F1683" s="136">
        <v>157.68</v>
      </c>
      <c r="G1683" s="69">
        <v>123.17</v>
      </c>
      <c r="H1683" s="69">
        <v>117.44</v>
      </c>
      <c r="I1683" s="485">
        <v>152.57</v>
      </c>
      <c r="J1683" s="485"/>
    </row>
    <row r="1684" spans="1:10" x14ac:dyDescent="0.25">
      <c r="A1684" s="68" t="s">
        <v>21</v>
      </c>
      <c r="B1684" s="69"/>
      <c r="C1684" s="69"/>
      <c r="D1684" s="136">
        <f t="shared" ref="D1684:H1684" si="73">D1681-D1683</f>
        <v>189.7</v>
      </c>
      <c r="E1684" s="69">
        <f t="shared" si="73"/>
        <v>117.56</v>
      </c>
      <c r="F1684" s="136">
        <f t="shared" si="73"/>
        <v>157.32</v>
      </c>
      <c r="G1684" s="69">
        <f t="shared" si="73"/>
        <v>191.82999999999998</v>
      </c>
      <c r="H1684" s="69">
        <f t="shared" si="73"/>
        <v>265.56</v>
      </c>
      <c r="I1684" s="72">
        <f>I1681-I1683</f>
        <v>233.82999999999998</v>
      </c>
      <c r="J1684" s="69"/>
    </row>
    <row r="1685" spans="1:10" x14ac:dyDescent="0.25">
      <c r="A1685" s="73" t="s">
        <v>22</v>
      </c>
      <c r="B1685" s="74"/>
      <c r="C1685" s="74"/>
      <c r="D1685" s="75">
        <v>2020</v>
      </c>
      <c r="E1685" s="69">
        <v>2021</v>
      </c>
      <c r="F1685" s="75">
        <v>2022</v>
      </c>
      <c r="G1685" s="69">
        <v>2023</v>
      </c>
      <c r="H1685" s="117">
        <v>2024</v>
      </c>
      <c r="I1685" s="485">
        <v>2025</v>
      </c>
      <c r="J1685" s="485">
        <v>2026</v>
      </c>
    </row>
    <row r="1686" spans="1:10" x14ac:dyDescent="0.25">
      <c r="A1686" s="644" t="s">
        <v>23</v>
      </c>
      <c r="B1686" s="645"/>
      <c r="C1686" s="645"/>
      <c r="D1686" s="645"/>
      <c r="E1686" s="645"/>
      <c r="F1686" s="645"/>
      <c r="G1686" s="645"/>
      <c r="H1686" s="645"/>
      <c r="I1686" s="63"/>
      <c r="J1686" s="63"/>
    </row>
    <row r="1687" spans="1:10" ht="39.6" customHeight="1" x14ac:dyDescent="0.25">
      <c r="A1687" s="702" t="s">
        <v>1045</v>
      </c>
      <c r="B1687" s="703"/>
      <c r="C1687" s="703"/>
      <c r="D1687" s="703"/>
      <c r="E1687" s="703"/>
      <c r="F1687" s="703"/>
      <c r="G1687" s="703"/>
      <c r="H1687" s="703"/>
      <c r="I1687" s="19"/>
      <c r="J1687" s="63"/>
    </row>
    <row r="1688" spans="1:10" ht="49.2" customHeight="1" x14ac:dyDescent="0.25">
      <c r="A1688" s="690" t="s">
        <v>1046</v>
      </c>
      <c r="B1688" s="691"/>
      <c r="C1688" s="691"/>
      <c r="D1688" s="691"/>
      <c r="E1688" s="691"/>
      <c r="F1688" s="691"/>
      <c r="G1688" s="691"/>
      <c r="H1688" s="691"/>
      <c r="J1688" s="64"/>
    </row>
    <row r="1689" spans="1:10" ht="49.2" customHeight="1" x14ac:dyDescent="0.25">
      <c r="A1689" s="690" t="s">
        <v>1047</v>
      </c>
      <c r="B1689" s="691"/>
      <c r="C1689" s="691"/>
      <c r="D1689" s="691"/>
      <c r="E1689" s="691"/>
      <c r="F1689" s="691"/>
      <c r="G1689" s="691"/>
      <c r="H1689" s="691"/>
      <c r="J1689" s="64"/>
    </row>
    <row r="1690" spans="1:10" ht="49.2" customHeight="1" x14ac:dyDescent="0.25">
      <c r="A1690" s="690" t="s">
        <v>1048</v>
      </c>
      <c r="B1690" s="691"/>
      <c r="C1690" s="691"/>
      <c r="D1690" s="691"/>
      <c r="E1690" s="691"/>
      <c r="F1690" s="691"/>
      <c r="G1690" s="691"/>
      <c r="H1690" s="691"/>
      <c r="J1690" s="64"/>
    </row>
    <row r="1691" spans="1:10" ht="49.2" customHeight="1" x14ac:dyDescent="0.25">
      <c r="A1691" s="710" t="s">
        <v>1198</v>
      </c>
      <c r="B1691" s="711"/>
      <c r="C1691" s="711"/>
      <c r="D1691" s="711"/>
      <c r="E1691" s="711"/>
      <c r="F1691" s="711"/>
      <c r="G1691" s="711"/>
      <c r="H1691" s="711"/>
      <c r="J1691" s="64"/>
    </row>
    <row r="1692" spans="1:10" ht="48.6" customHeight="1" x14ac:dyDescent="0.25">
      <c r="A1692" s="735" t="s">
        <v>1274</v>
      </c>
      <c r="B1692" s="736"/>
      <c r="C1692" s="736"/>
      <c r="D1692" s="736"/>
      <c r="E1692" s="736"/>
      <c r="F1692" s="736"/>
      <c r="G1692" s="736"/>
      <c r="H1692" s="736"/>
      <c r="I1692" s="34"/>
      <c r="J1692" s="48"/>
    </row>
    <row r="1694" spans="1:10" x14ac:dyDescent="0.25">
      <c r="A1694" s="6" t="s">
        <v>24</v>
      </c>
      <c r="B1694" s="7" t="s">
        <v>592</v>
      </c>
    </row>
    <row r="1695" spans="1:10" x14ac:dyDescent="0.25">
      <c r="A1695" s="128" t="s">
        <v>14</v>
      </c>
      <c r="B1695" s="128" t="s">
        <v>624</v>
      </c>
      <c r="C1695" s="603" t="s">
        <v>26</v>
      </c>
    </row>
    <row r="1696" spans="1:10" x14ac:dyDescent="0.25">
      <c r="A1696" s="170" t="s">
        <v>27</v>
      </c>
      <c r="B1696" s="493">
        <v>2020</v>
      </c>
      <c r="C1696" s="493">
        <v>2021</v>
      </c>
      <c r="D1696" s="493">
        <v>2022</v>
      </c>
      <c r="E1696" s="493">
        <v>2023</v>
      </c>
      <c r="F1696" s="493">
        <v>2024</v>
      </c>
      <c r="G1696" s="493">
        <v>2025</v>
      </c>
      <c r="H1696" s="493">
        <v>2026</v>
      </c>
      <c r="I1696" s="493">
        <v>2027</v>
      </c>
    </row>
    <row r="1697" spans="1:9" x14ac:dyDescent="0.25">
      <c r="A1697" s="90" t="s">
        <v>28</v>
      </c>
      <c r="B1697" s="130">
        <v>215</v>
      </c>
      <c r="C1697" s="131">
        <v>242</v>
      </c>
      <c r="D1697" s="131">
        <v>242</v>
      </c>
      <c r="E1697" s="131">
        <v>242</v>
      </c>
      <c r="F1697" s="131">
        <v>302</v>
      </c>
      <c r="G1697" s="131">
        <v>302</v>
      </c>
      <c r="H1697" s="131">
        <v>302</v>
      </c>
      <c r="I1697" s="131"/>
    </row>
    <row r="1698" spans="1:9" x14ac:dyDescent="0.25">
      <c r="A1698" s="90" t="s">
        <v>29</v>
      </c>
      <c r="B1698" s="130">
        <v>265</v>
      </c>
      <c r="C1698" s="131">
        <v>295.75</v>
      </c>
      <c r="D1698" s="131">
        <v>295.75</v>
      </c>
      <c r="E1698" s="131">
        <v>302.5</v>
      </c>
      <c r="F1698" s="130">
        <v>362.5</v>
      </c>
      <c r="G1698" s="90">
        <v>362.5</v>
      </c>
      <c r="H1698" s="130">
        <f>(F1697*0.25)+H1697</f>
        <v>377.5</v>
      </c>
      <c r="I1698" s="130"/>
    </row>
    <row r="1699" spans="1:9" x14ac:dyDescent="0.25">
      <c r="A1699" s="90" t="s">
        <v>30</v>
      </c>
      <c r="B1699" s="604"/>
      <c r="C1699" s="604"/>
      <c r="D1699" s="604"/>
      <c r="E1699" s="604"/>
      <c r="F1699" s="604"/>
      <c r="G1699" s="90"/>
      <c r="H1699" s="604" t="s">
        <v>543</v>
      </c>
      <c r="I1699" s="604"/>
    </row>
    <row r="1700" spans="1:9" x14ac:dyDescent="0.25">
      <c r="A1700" s="90" t="s">
        <v>31</v>
      </c>
      <c r="B1700" s="130">
        <v>175.922</v>
      </c>
      <c r="C1700" s="131">
        <v>182.89599999999999</v>
      </c>
      <c r="D1700" s="131">
        <v>180.67</v>
      </c>
      <c r="E1700" s="131">
        <v>170.83</v>
      </c>
      <c r="F1700" s="131">
        <v>0</v>
      </c>
      <c r="G1700" s="131"/>
      <c r="H1700" s="131"/>
      <c r="I1700" s="131"/>
    </row>
    <row r="1701" spans="1:9" x14ac:dyDescent="0.25">
      <c r="A1701" s="90" t="s">
        <v>32</v>
      </c>
      <c r="B1701" s="130">
        <f>B1698-B1700</f>
        <v>89.078000000000003</v>
      </c>
      <c r="C1701" s="130">
        <f>C1698-C1700</f>
        <v>112.85400000000001</v>
      </c>
      <c r="D1701" s="130">
        <f t="shared" ref="D1701:E1701" si="74">D1698-D1700</f>
        <v>115.08000000000001</v>
      </c>
      <c r="E1701" s="130">
        <f t="shared" si="74"/>
        <v>131.66999999999999</v>
      </c>
      <c r="F1701" s="130">
        <v>30</v>
      </c>
      <c r="G1701" s="130"/>
      <c r="H1701" s="130"/>
      <c r="I1701" s="130"/>
    </row>
    <row r="1702" spans="1:9" x14ac:dyDescent="0.25">
      <c r="A1702" s="90" t="s">
        <v>33</v>
      </c>
      <c r="B1702" s="180">
        <v>2022</v>
      </c>
      <c r="C1702" s="180">
        <v>2023</v>
      </c>
      <c r="D1702" s="180">
        <v>2024</v>
      </c>
      <c r="E1702" s="180">
        <v>2025</v>
      </c>
      <c r="F1702" s="180">
        <v>2026</v>
      </c>
      <c r="G1702" s="180"/>
      <c r="H1702" s="180"/>
      <c r="I1702" s="180"/>
    </row>
    <row r="1703" spans="1:9" x14ac:dyDescent="0.25">
      <c r="A1703" s="45" t="s">
        <v>1227</v>
      </c>
    </row>
    <row r="1704" spans="1:9" x14ac:dyDescent="0.25">
      <c r="A1704" s="151"/>
      <c r="B1704" s="24"/>
    </row>
    <row r="1705" spans="1:9" x14ac:dyDescent="0.25">
      <c r="A1705" s="151" t="s">
        <v>14</v>
      </c>
      <c r="B1705" s="24" t="s">
        <v>638</v>
      </c>
      <c r="C1705" s="473" t="s">
        <v>26</v>
      </c>
    </row>
    <row r="1706" spans="1:9" x14ac:dyDescent="0.25">
      <c r="A1706" s="170" t="s">
        <v>27</v>
      </c>
      <c r="B1706" s="154">
        <v>2020</v>
      </c>
      <c r="C1706" s="154">
        <v>2021</v>
      </c>
      <c r="D1706" s="154">
        <v>2022</v>
      </c>
      <c r="E1706" s="154">
        <v>2023</v>
      </c>
      <c r="F1706" s="154">
        <v>2024</v>
      </c>
      <c r="G1706" s="154">
        <v>2025</v>
      </c>
      <c r="H1706" s="154">
        <v>2026</v>
      </c>
    </row>
    <row r="1707" spans="1:9" x14ac:dyDescent="0.25">
      <c r="A1707" s="11" t="s">
        <v>28</v>
      </c>
      <c r="B1707" s="72">
        <v>25</v>
      </c>
      <c r="C1707" s="12">
        <v>25</v>
      </c>
      <c r="D1707" s="12">
        <v>25</v>
      </c>
      <c r="E1707" s="12">
        <v>30</v>
      </c>
      <c r="F1707" s="12">
        <v>30</v>
      </c>
      <c r="G1707" s="12">
        <v>30</v>
      </c>
      <c r="H1707" s="12">
        <v>30</v>
      </c>
    </row>
    <row r="1708" spans="1:9" x14ac:dyDescent="0.25">
      <c r="A1708" s="11" t="s">
        <v>29</v>
      </c>
      <c r="B1708" s="72"/>
      <c r="C1708" s="72">
        <v>18.66</v>
      </c>
      <c r="D1708" s="72"/>
      <c r="E1708" s="12"/>
      <c r="F1708" s="12"/>
      <c r="G1708" s="90"/>
      <c r="H1708" s="12"/>
    </row>
    <row r="1709" spans="1:9" x14ac:dyDescent="0.25">
      <c r="A1709" s="11" t="s">
        <v>30</v>
      </c>
      <c r="B1709" s="486"/>
      <c r="C1709" s="486" t="s">
        <v>543</v>
      </c>
      <c r="D1709" s="486"/>
      <c r="E1709" s="90"/>
      <c r="F1709" s="90"/>
      <c r="G1709" s="90"/>
      <c r="H1709" s="180"/>
    </row>
    <row r="1710" spans="1:9" x14ac:dyDescent="0.25">
      <c r="A1710" s="11" t="s">
        <v>31</v>
      </c>
      <c r="B1710" s="72">
        <v>31.341000000000001</v>
      </c>
      <c r="C1710" s="12">
        <v>17.22</v>
      </c>
      <c r="D1710" s="12">
        <v>12.476000000000001</v>
      </c>
      <c r="E1710" s="90">
        <v>5.2359999999999998</v>
      </c>
      <c r="F1710" s="131">
        <v>0</v>
      </c>
      <c r="G1710" s="90"/>
      <c r="H1710" s="90"/>
    </row>
    <row r="1711" spans="1:9" x14ac:dyDescent="0.25">
      <c r="A1711" s="11" t="s">
        <v>32</v>
      </c>
      <c r="B1711" s="72">
        <v>-6.3410000000000011</v>
      </c>
      <c r="C1711" s="72">
        <f>C1708-C1710</f>
        <v>1.4400000000000013</v>
      </c>
      <c r="D1711" s="72">
        <f>D1707-D1710</f>
        <v>12.523999999999999</v>
      </c>
      <c r="E1711" s="90">
        <v>24.763999999999999</v>
      </c>
      <c r="F1711" s="131">
        <v>30</v>
      </c>
      <c r="G1711" s="90"/>
      <c r="H1711" s="90"/>
    </row>
    <row r="1712" spans="1:9" x14ac:dyDescent="0.25">
      <c r="A1712" s="16" t="s">
        <v>33</v>
      </c>
      <c r="B1712" s="159">
        <v>2021</v>
      </c>
      <c r="C1712" s="159"/>
      <c r="D1712" s="159"/>
      <c r="E1712" s="90"/>
      <c r="F1712" s="90"/>
      <c r="G1712" s="90"/>
      <c r="H1712" s="90"/>
    </row>
    <row r="1713" spans="1:8" x14ac:dyDescent="0.25">
      <c r="A1713" s="18" t="s">
        <v>593</v>
      </c>
      <c r="B1713" s="439"/>
      <c r="C1713" s="439"/>
      <c r="D1713" s="439"/>
      <c r="E1713" s="439"/>
      <c r="F1713" s="439"/>
      <c r="G1713" s="19"/>
      <c r="H1713" s="63"/>
    </row>
    <row r="1714" spans="1:8" x14ac:dyDescent="0.25">
      <c r="A1714" s="45" t="s">
        <v>1228</v>
      </c>
      <c r="B1714" s="446"/>
      <c r="C1714" s="446"/>
      <c r="D1714" s="446"/>
      <c r="E1714" s="446"/>
      <c r="F1714" s="446"/>
      <c r="H1714" s="64"/>
    </row>
    <row r="1715" spans="1:8" ht="63" customHeight="1" x14ac:dyDescent="0.25">
      <c r="A1715" s="690" t="s">
        <v>716</v>
      </c>
      <c r="B1715" s="691"/>
      <c r="C1715" s="691"/>
      <c r="D1715" s="691"/>
      <c r="E1715" s="446"/>
      <c r="F1715" s="446"/>
      <c r="H1715" s="64"/>
    </row>
    <row r="1716" spans="1:8" x14ac:dyDescent="0.25">
      <c r="A1716" s="39"/>
      <c r="B1716" s="446"/>
      <c r="C1716" s="446"/>
      <c r="D1716" s="446"/>
      <c r="E1716" s="446"/>
      <c r="F1716" s="446"/>
      <c r="H1716" s="64"/>
    </row>
    <row r="1717" spans="1:8" x14ac:dyDescent="0.25">
      <c r="A1717" s="39"/>
      <c r="B1717" s="446"/>
      <c r="C1717" s="446"/>
      <c r="D1717" s="446"/>
      <c r="E1717" s="446"/>
      <c r="F1717" s="446"/>
      <c r="H1717" s="64"/>
    </row>
    <row r="1718" spans="1:8" x14ac:dyDescent="0.25">
      <c r="A1718" s="41"/>
      <c r="B1718" s="487"/>
      <c r="C1718" s="487"/>
      <c r="D1718" s="487"/>
      <c r="E1718" s="487"/>
      <c r="F1718" s="487"/>
      <c r="G1718" s="34"/>
      <c r="H1718" s="48"/>
    </row>
    <row r="1721" spans="1:8" x14ac:dyDescent="0.25">
      <c r="A1721" s="6" t="s">
        <v>12</v>
      </c>
      <c r="B1721" s="7" t="s">
        <v>374</v>
      </c>
    </row>
    <row r="1722" spans="1:8" x14ac:dyDescent="0.25">
      <c r="A1722" s="6" t="s">
        <v>14</v>
      </c>
      <c r="B1722" s="7" t="s">
        <v>66</v>
      </c>
      <c r="C1722" s="33" t="s">
        <v>15</v>
      </c>
    </row>
    <row r="1723" spans="1:8" x14ac:dyDescent="0.25">
      <c r="A1723" s="10" t="s">
        <v>16</v>
      </c>
      <c r="B1723" s="11"/>
      <c r="C1723" s="281">
        <v>2015</v>
      </c>
      <c r="D1723" s="154">
        <v>2016</v>
      </c>
      <c r="E1723" s="173">
        <v>2017</v>
      </c>
      <c r="F1723" s="173">
        <v>2018</v>
      </c>
      <c r="G1723" s="173">
        <v>2019</v>
      </c>
      <c r="H1723" s="173">
        <v>2020</v>
      </c>
    </row>
    <row r="1724" spans="1:8" x14ac:dyDescent="0.25">
      <c r="A1724" s="10" t="s">
        <v>17</v>
      </c>
      <c r="B1724" s="11"/>
      <c r="C1724" s="12">
        <v>2100</v>
      </c>
      <c r="D1724" s="488">
        <v>1575</v>
      </c>
      <c r="E1724" s="488">
        <v>1575</v>
      </c>
      <c r="F1724" s="488">
        <v>1575</v>
      </c>
      <c r="G1724" s="488">
        <v>1575</v>
      </c>
      <c r="H1724" s="488">
        <v>0</v>
      </c>
    </row>
    <row r="1725" spans="1:8" x14ac:dyDescent="0.25">
      <c r="A1725" s="10" t="s">
        <v>18</v>
      </c>
      <c r="B1725" s="11"/>
      <c r="C1725" s="174">
        <v>2100</v>
      </c>
      <c r="D1725" s="488">
        <v>1575</v>
      </c>
      <c r="E1725" s="488">
        <v>1575</v>
      </c>
      <c r="F1725" s="488">
        <v>1575</v>
      </c>
      <c r="G1725" s="488">
        <v>1575</v>
      </c>
      <c r="H1725" s="488"/>
    </row>
    <row r="1726" spans="1:8" x14ac:dyDescent="0.25">
      <c r="A1726" s="10" t="s">
        <v>19</v>
      </c>
      <c r="B1726" s="11"/>
      <c r="C1726" s="188"/>
      <c r="D1726" s="12"/>
      <c r="E1726" s="189"/>
      <c r="F1726" s="189"/>
      <c r="G1726" s="189"/>
      <c r="H1726" s="189"/>
    </row>
    <row r="1727" spans="1:8" x14ac:dyDescent="0.25">
      <c r="A1727" s="10" t="s">
        <v>20</v>
      </c>
      <c r="B1727" s="11"/>
      <c r="C1727" s="488">
        <v>0</v>
      </c>
      <c r="D1727" s="488">
        <v>0</v>
      </c>
      <c r="E1727" s="488">
        <v>0</v>
      </c>
      <c r="F1727" s="488">
        <v>0</v>
      </c>
      <c r="G1727" s="488">
        <v>0</v>
      </c>
      <c r="H1727" s="488">
        <v>0</v>
      </c>
    </row>
    <row r="1728" spans="1:8" ht="27.75" customHeight="1" x14ac:dyDescent="0.25">
      <c r="A1728" s="10" t="s">
        <v>21</v>
      </c>
      <c r="B1728" s="11"/>
      <c r="C1728" s="174">
        <v>2100</v>
      </c>
      <c r="D1728" s="488">
        <v>1575</v>
      </c>
      <c r="E1728" s="488">
        <v>1575</v>
      </c>
      <c r="F1728" s="488">
        <v>1575</v>
      </c>
      <c r="G1728" s="488">
        <v>1575</v>
      </c>
      <c r="H1728" s="488">
        <v>1575</v>
      </c>
    </row>
    <row r="1729" spans="1:12" x14ac:dyDescent="0.25">
      <c r="A1729" s="16" t="s">
        <v>22</v>
      </c>
      <c r="B1729" s="17"/>
      <c r="C1729" s="159">
        <v>2016</v>
      </c>
      <c r="D1729" s="159">
        <v>2017</v>
      </c>
      <c r="E1729" s="179">
        <v>2018</v>
      </c>
      <c r="F1729" s="179">
        <v>2019</v>
      </c>
      <c r="G1729" s="179">
        <v>2020</v>
      </c>
      <c r="H1729" s="179">
        <v>2021</v>
      </c>
    </row>
    <row r="1730" spans="1:12" x14ac:dyDescent="0.25">
      <c r="A1730" s="10" t="s">
        <v>23</v>
      </c>
      <c r="B1730" s="36"/>
      <c r="C1730" s="36"/>
      <c r="D1730" s="36"/>
      <c r="E1730" s="36"/>
      <c r="F1730" s="36"/>
      <c r="G1730" s="36"/>
      <c r="H1730" s="37"/>
    </row>
    <row r="1733" spans="1:12" ht="26.4" x14ac:dyDescent="0.25">
      <c r="A1733" s="6" t="s">
        <v>12</v>
      </c>
      <c r="B1733" s="321" t="s">
        <v>379</v>
      </c>
    </row>
    <row r="1734" spans="1:12" x14ac:dyDescent="0.25">
      <c r="A1734" s="6" t="s">
        <v>14</v>
      </c>
      <c r="B1734" s="7" t="s">
        <v>624</v>
      </c>
      <c r="C1734" s="9" t="s">
        <v>15</v>
      </c>
    </row>
    <row r="1735" spans="1:12" x14ac:dyDescent="0.25">
      <c r="A1735" s="10" t="s">
        <v>16</v>
      </c>
      <c r="B1735" s="154">
        <v>2015</v>
      </c>
      <c r="C1735" s="172">
        <v>2016</v>
      </c>
      <c r="D1735" s="154">
        <v>2017</v>
      </c>
      <c r="E1735" s="173">
        <v>2018</v>
      </c>
      <c r="F1735" s="173">
        <v>2019</v>
      </c>
      <c r="G1735" s="154">
        <v>2020</v>
      </c>
      <c r="H1735" s="154">
        <v>2021</v>
      </c>
      <c r="I1735" s="154">
        <v>2022</v>
      </c>
      <c r="J1735" s="154">
        <v>2023</v>
      </c>
      <c r="K1735" s="154">
        <v>2024</v>
      </c>
      <c r="L1735" s="154">
        <v>2025</v>
      </c>
    </row>
    <row r="1736" spans="1:12" x14ac:dyDescent="0.25">
      <c r="A1736" s="10" t="s">
        <v>17</v>
      </c>
      <c r="B1736" s="156">
        <v>200</v>
      </c>
      <c r="C1736" s="174">
        <v>200</v>
      </c>
      <c r="D1736" s="156">
        <v>200</v>
      </c>
      <c r="E1736" s="175">
        <v>200</v>
      </c>
      <c r="F1736" s="175">
        <v>215</v>
      </c>
      <c r="G1736" s="156">
        <v>215</v>
      </c>
      <c r="H1736" s="12">
        <v>242</v>
      </c>
      <c r="I1736" s="12">
        <v>242</v>
      </c>
      <c r="J1736" s="12">
        <v>242</v>
      </c>
      <c r="K1736" s="12">
        <v>302</v>
      </c>
      <c r="L1736" s="12">
        <v>302</v>
      </c>
    </row>
    <row r="1737" spans="1:12" x14ac:dyDescent="0.25">
      <c r="A1737" s="10" t="s">
        <v>18</v>
      </c>
      <c r="B1737" s="156">
        <v>303.49</v>
      </c>
      <c r="C1737" s="174">
        <f>C1736+B1740+100</f>
        <v>298.49</v>
      </c>
      <c r="D1737" s="156">
        <f>D1736+100</f>
        <v>300</v>
      </c>
      <c r="E1737" s="175">
        <f>E1736+C1740+100</f>
        <v>306.89</v>
      </c>
      <c r="F1737" s="175">
        <v>218.8</v>
      </c>
      <c r="G1737" s="175">
        <v>265</v>
      </c>
      <c r="H1737" s="12">
        <f>H1736+F1740</f>
        <v>280.35000000000002</v>
      </c>
      <c r="I1737" s="12">
        <f>I1736+G1740</f>
        <v>255.27</v>
      </c>
      <c r="J1737" s="12">
        <f>J1736+0.25*H1736</f>
        <v>302.5</v>
      </c>
      <c r="K1737" s="12">
        <f>K1736+0.25*I1736</f>
        <v>362.5</v>
      </c>
      <c r="L1737" s="12">
        <f>L1736+0.25*J1736</f>
        <v>362.5</v>
      </c>
    </row>
    <row r="1738" spans="1:12" ht="39.6" x14ac:dyDescent="0.25">
      <c r="A1738" s="10" t="s">
        <v>19</v>
      </c>
      <c r="B1738" s="176"/>
      <c r="C1738" s="176" t="s">
        <v>380</v>
      </c>
      <c r="D1738" s="176" t="s">
        <v>381</v>
      </c>
      <c r="E1738" s="176" t="s">
        <v>382</v>
      </c>
      <c r="F1738" s="176" t="s">
        <v>395</v>
      </c>
      <c r="G1738" s="176" t="s">
        <v>396</v>
      </c>
      <c r="H1738" s="184" t="s">
        <v>696</v>
      </c>
      <c r="I1738" s="184" t="s">
        <v>695</v>
      </c>
      <c r="J1738" s="184" t="s">
        <v>790</v>
      </c>
      <c r="K1738" s="184" t="s">
        <v>1064</v>
      </c>
      <c r="L1738" s="184" t="s">
        <v>1064</v>
      </c>
    </row>
    <row r="1739" spans="1:12" x14ac:dyDescent="0.25">
      <c r="A1739" s="10" t="s">
        <v>20</v>
      </c>
      <c r="B1739" s="156">
        <v>305</v>
      </c>
      <c r="C1739" s="174">
        <v>291.60000000000002</v>
      </c>
      <c r="D1739" s="156">
        <v>296.2</v>
      </c>
      <c r="E1739" s="156">
        <v>173.26</v>
      </c>
      <c r="F1739" s="175">
        <v>180.45</v>
      </c>
      <c r="G1739" s="156">
        <v>251.73</v>
      </c>
      <c r="H1739" s="12">
        <v>0</v>
      </c>
      <c r="I1739" s="12">
        <v>0.97</v>
      </c>
      <c r="J1739" s="12">
        <v>0.28000000000000003</v>
      </c>
      <c r="K1739" s="12">
        <v>0.17199999999999999</v>
      </c>
      <c r="L1739" s="12"/>
    </row>
    <row r="1740" spans="1:12" x14ac:dyDescent="0.25">
      <c r="A1740" s="10" t="s">
        <v>21</v>
      </c>
      <c r="B1740" s="156">
        <v>-1.5099999999999909</v>
      </c>
      <c r="C1740" s="156">
        <f>C1737-C1739</f>
        <v>6.8899999999999864</v>
      </c>
      <c r="D1740" s="156">
        <f>D1737-D1739</f>
        <v>3.8000000000000114</v>
      </c>
      <c r="E1740" s="156">
        <f>E1737-E1739</f>
        <v>133.63</v>
      </c>
      <c r="F1740" s="156">
        <v>38.350000000000023</v>
      </c>
      <c r="G1740" s="156">
        <f>G1737-G1739</f>
        <v>13.27000000000001</v>
      </c>
      <c r="H1740" s="12">
        <f>H1737-H1739</f>
        <v>280.35000000000002</v>
      </c>
      <c r="I1740" s="12">
        <f>I1737-I1739</f>
        <v>254.3</v>
      </c>
      <c r="J1740" s="12">
        <f>J1737-J1739</f>
        <v>302.22000000000003</v>
      </c>
      <c r="K1740" s="12">
        <f>K1737-K1739</f>
        <v>362.32799999999997</v>
      </c>
      <c r="L1740" s="12"/>
    </row>
    <row r="1741" spans="1:12" x14ac:dyDescent="0.25">
      <c r="A1741" s="16" t="s">
        <v>22</v>
      </c>
      <c r="B1741" s="159">
        <v>2016</v>
      </c>
      <c r="C1741" s="178">
        <v>2018</v>
      </c>
      <c r="D1741" s="159">
        <v>2019</v>
      </c>
      <c r="E1741" s="179">
        <v>2020</v>
      </c>
      <c r="F1741" s="179">
        <v>2021</v>
      </c>
      <c r="G1741" s="159">
        <v>2022</v>
      </c>
      <c r="H1741" s="159">
        <v>2023</v>
      </c>
      <c r="I1741" s="159">
        <v>2024</v>
      </c>
      <c r="J1741" s="159">
        <v>2025</v>
      </c>
      <c r="K1741" s="159">
        <v>2026</v>
      </c>
      <c r="L1741" s="159">
        <v>2026</v>
      </c>
    </row>
    <row r="1742" spans="1:12" x14ac:dyDescent="0.25">
      <c r="A1742" s="16" t="s">
        <v>23</v>
      </c>
      <c r="B1742" s="46"/>
      <c r="C1742" s="46"/>
      <c r="D1742" s="46"/>
      <c r="E1742" s="46"/>
      <c r="F1742" s="46"/>
      <c r="G1742" s="46"/>
      <c r="H1742" s="47"/>
      <c r="I1742" s="47"/>
      <c r="J1742" s="47"/>
      <c r="K1742" s="47"/>
      <c r="L1742" s="47"/>
    </row>
    <row r="1743" spans="1:12" x14ac:dyDescent="0.25">
      <c r="A1743" s="39" t="s">
        <v>383</v>
      </c>
      <c r="H1743" s="64"/>
      <c r="I1743" s="64"/>
      <c r="J1743" s="64"/>
      <c r="K1743" s="64"/>
      <c r="L1743" s="64"/>
    </row>
    <row r="1744" spans="1:12" ht="13.2" customHeight="1" x14ac:dyDescent="0.25">
      <c r="A1744" s="710" t="s">
        <v>397</v>
      </c>
      <c r="B1744" s="711"/>
      <c r="C1744" s="711"/>
      <c r="D1744" s="711"/>
      <c r="E1744" s="711"/>
      <c r="F1744" s="711"/>
      <c r="G1744" s="711"/>
      <c r="H1744" s="48"/>
      <c r="I1744" s="48"/>
      <c r="J1744" s="48"/>
      <c r="K1744" s="48"/>
      <c r="L1744" s="48"/>
    </row>
    <row r="1745" spans="1:11" ht="13.2" customHeight="1" x14ac:dyDescent="0.25">
      <c r="A1745" s="32"/>
      <c r="B1745" s="32"/>
      <c r="C1745" s="32"/>
      <c r="D1745" s="32"/>
      <c r="E1745" s="32"/>
      <c r="F1745" s="32"/>
      <c r="G1745" s="32"/>
    </row>
    <row r="1746" spans="1:11" x14ac:dyDescent="0.25">
      <c r="A1746" s="6" t="s">
        <v>14</v>
      </c>
      <c r="B1746" s="7" t="s">
        <v>638</v>
      </c>
      <c r="C1746" s="9" t="s">
        <v>15</v>
      </c>
    </row>
    <row r="1747" spans="1:11" x14ac:dyDescent="0.25">
      <c r="A1747" s="10" t="s">
        <v>16</v>
      </c>
      <c r="B1747" s="154">
        <v>2022</v>
      </c>
      <c r="C1747" s="172">
        <v>2023</v>
      </c>
      <c r="D1747" s="154">
        <v>2024</v>
      </c>
      <c r="E1747" s="154">
        <v>2025</v>
      </c>
    </row>
    <row r="1748" spans="1:11" x14ac:dyDescent="0.25">
      <c r="A1748" s="10" t="s">
        <v>17</v>
      </c>
      <c r="B1748" s="156">
        <v>140</v>
      </c>
      <c r="C1748" s="174">
        <v>170</v>
      </c>
      <c r="D1748" s="175">
        <v>170</v>
      </c>
      <c r="E1748" s="175">
        <v>170</v>
      </c>
    </row>
    <row r="1749" spans="1:11" x14ac:dyDescent="0.25">
      <c r="A1749" s="10" t="s">
        <v>18</v>
      </c>
      <c r="B1749" s="156">
        <f>B1748+0.25*140</f>
        <v>175</v>
      </c>
      <c r="C1749" s="156">
        <f>C1748+0.25*140</f>
        <v>205</v>
      </c>
      <c r="D1749" s="156">
        <f>D1748+2.08</f>
        <v>172.08</v>
      </c>
      <c r="E1749" s="156">
        <f>E1748+0.25*C1748</f>
        <v>212.5</v>
      </c>
    </row>
    <row r="1750" spans="1:11" x14ac:dyDescent="0.25">
      <c r="A1750" s="10" t="s">
        <v>19</v>
      </c>
      <c r="B1750" s="176" t="s">
        <v>887</v>
      </c>
      <c r="C1750" s="176" t="s">
        <v>888</v>
      </c>
      <c r="D1750" s="176" t="s">
        <v>928</v>
      </c>
      <c r="E1750" s="176" t="s">
        <v>1065</v>
      </c>
    </row>
    <row r="1751" spans="1:11" x14ac:dyDescent="0.25">
      <c r="A1751" s="10" t="s">
        <v>20</v>
      </c>
      <c r="B1751" s="156">
        <v>21.678999999999998</v>
      </c>
      <c r="C1751" s="174">
        <v>0</v>
      </c>
      <c r="D1751" s="156">
        <v>0</v>
      </c>
      <c r="E1751" s="156"/>
    </row>
    <row r="1752" spans="1:11" x14ac:dyDescent="0.25">
      <c r="A1752" s="10" t="s">
        <v>21</v>
      </c>
      <c r="B1752" s="156">
        <f>B1749-B1751</f>
        <v>153.321</v>
      </c>
      <c r="C1752" s="156">
        <f>C1749-C1751</f>
        <v>205</v>
      </c>
      <c r="D1752" s="156">
        <f>D1749-D1751</f>
        <v>172.08</v>
      </c>
      <c r="E1752" s="156"/>
    </row>
    <row r="1753" spans="1:11" x14ac:dyDescent="0.25">
      <c r="A1753" s="16" t="s">
        <v>22</v>
      </c>
      <c r="B1753" s="159">
        <v>2024</v>
      </c>
      <c r="C1753" s="178">
        <v>2025</v>
      </c>
      <c r="D1753" s="159">
        <v>2026</v>
      </c>
      <c r="E1753" s="159">
        <v>2027</v>
      </c>
    </row>
    <row r="1754" spans="1:11" x14ac:dyDescent="0.25">
      <c r="A1754" s="16" t="s">
        <v>23</v>
      </c>
      <c r="B1754" s="46"/>
      <c r="C1754" s="46"/>
      <c r="D1754" s="47"/>
      <c r="E1754" s="47"/>
    </row>
    <row r="1755" spans="1:11" x14ac:dyDescent="0.25">
      <c r="A1755" s="39" t="s">
        <v>383</v>
      </c>
      <c r="D1755" s="64"/>
      <c r="E1755" s="64"/>
    </row>
    <row r="1756" spans="1:11" ht="13.2" customHeight="1" x14ac:dyDescent="0.25">
      <c r="A1756" s="41" t="s">
        <v>927</v>
      </c>
      <c r="B1756" s="337"/>
      <c r="C1756" s="337"/>
      <c r="D1756" s="338"/>
      <c r="E1756" s="338"/>
    </row>
    <row r="1757" spans="1:11" ht="13.2" customHeight="1" x14ac:dyDescent="0.25">
      <c r="B1757" s="4"/>
      <c r="C1757" s="4"/>
      <c r="D1757" s="4"/>
      <c r="E1757" s="4"/>
    </row>
    <row r="1758" spans="1:11" x14ac:dyDescent="0.25">
      <c r="A1758" s="6" t="s">
        <v>14</v>
      </c>
      <c r="B1758" s="7" t="s">
        <v>79</v>
      </c>
      <c r="C1758" s="7" t="s">
        <v>152</v>
      </c>
    </row>
    <row r="1759" spans="1:11" x14ac:dyDescent="0.25">
      <c r="A1759" s="41" t="s">
        <v>16</v>
      </c>
      <c r="B1759" s="274">
        <v>2016</v>
      </c>
      <c r="C1759" s="154">
        <v>2017</v>
      </c>
      <c r="D1759" s="154">
        <v>2018</v>
      </c>
      <c r="E1759" s="154">
        <v>2019</v>
      </c>
      <c r="F1759" s="154">
        <v>2020</v>
      </c>
      <c r="G1759" s="154">
        <v>2021</v>
      </c>
      <c r="H1759" s="154">
        <v>2022</v>
      </c>
      <c r="I1759" s="154">
        <v>2023</v>
      </c>
      <c r="J1759" s="154">
        <v>2024</v>
      </c>
      <c r="K1759" s="154">
        <v>2025</v>
      </c>
    </row>
    <row r="1760" spans="1:11" x14ac:dyDescent="0.25">
      <c r="A1760" s="10" t="s">
        <v>17</v>
      </c>
      <c r="B1760" s="12">
        <v>2</v>
      </c>
      <c r="C1760" s="12">
        <v>2</v>
      </c>
      <c r="D1760" s="12">
        <v>2</v>
      </c>
      <c r="E1760" s="12">
        <v>2</v>
      </c>
      <c r="F1760" s="12">
        <v>2</v>
      </c>
      <c r="G1760" s="12">
        <v>2</v>
      </c>
      <c r="H1760" s="12">
        <v>2</v>
      </c>
      <c r="I1760" s="12">
        <v>2</v>
      </c>
      <c r="J1760" s="12">
        <v>2</v>
      </c>
      <c r="K1760" s="12">
        <v>2</v>
      </c>
    </row>
    <row r="1761" spans="1:11" x14ac:dyDescent="0.25">
      <c r="A1761" s="10" t="s">
        <v>18</v>
      </c>
      <c r="B1761" s="12"/>
      <c r="C1761" s="12">
        <f>C1760+B1764</f>
        <v>-1.5599999999999996</v>
      </c>
      <c r="D1761" s="12">
        <f>D1760+C1764</f>
        <v>-7.0599999999999987</v>
      </c>
      <c r="E1761" s="12">
        <f>E1760+D1764</f>
        <v>-11.759999999999998</v>
      </c>
      <c r="F1761" s="12">
        <f>F1760+E1764</f>
        <v>-14.86</v>
      </c>
      <c r="G1761" s="12">
        <f>G1760+F1764</f>
        <v>-21.86</v>
      </c>
      <c r="H1761" s="12">
        <f>H1760+1.25*G1764</f>
        <v>-27.325000000000003</v>
      </c>
      <c r="I1761" s="12">
        <f>I1760+1.25*H1764</f>
        <v>-34.03125</v>
      </c>
      <c r="J1761" s="12">
        <f>J1760+1.25*I1764</f>
        <v>-46.0390625</v>
      </c>
      <c r="K1761" s="12">
        <f>K1760+1.25*J1764</f>
        <v>-61.650120625</v>
      </c>
    </row>
    <row r="1762" spans="1:11" x14ac:dyDescent="0.25">
      <c r="A1762" s="10" t="s">
        <v>19</v>
      </c>
      <c r="B1762" s="156"/>
      <c r="C1762" s="156" t="s">
        <v>399</v>
      </c>
      <c r="D1762" s="156" t="s">
        <v>400</v>
      </c>
      <c r="E1762" s="156" t="s">
        <v>401</v>
      </c>
      <c r="F1762" s="156" t="s">
        <v>402</v>
      </c>
      <c r="G1762" s="156" t="s">
        <v>566</v>
      </c>
      <c r="H1762" s="156" t="s">
        <v>604</v>
      </c>
      <c r="I1762" s="156" t="s">
        <v>625</v>
      </c>
      <c r="J1762" s="156" t="s">
        <v>784</v>
      </c>
      <c r="K1762" s="156" t="s">
        <v>999</v>
      </c>
    </row>
    <row r="1763" spans="1:11" x14ac:dyDescent="0.25">
      <c r="A1763" s="10" t="s">
        <v>20</v>
      </c>
      <c r="B1763" s="156">
        <v>5.56</v>
      </c>
      <c r="C1763" s="156">
        <v>7.5</v>
      </c>
      <c r="D1763" s="156">
        <v>6.7</v>
      </c>
      <c r="E1763" s="156">
        <v>5.0999999999999996</v>
      </c>
      <c r="F1763" s="156">
        <v>9</v>
      </c>
      <c r="G1763" s="156">
        <v>1.6</v>
      </c>
      <c r="H1763" s="156">
        <v>1.5</v>
      </c>
      <c r="I1763" s="12">
        <v>4.4000000000000004</v>
      </c>
      <c r="J1763" s="156">
        <v>4.8810339999999997</v>
      </c>
      <c r="K1763" s="156"/>
    </row>
    <row r="1764" spans="1:11" x14ac:dyDescent="0.25">
      <c r="A1764" s="10" t="s">
        <v>21</v>
      </c>
      <c r="B1764" s="12">
        <f>B1760-B1763</f>
        <v>-3.5599999999999996</v>
      </c>
      <c r="C1764" s="12">
        <f t="shared" ref="C1764:J1764" si="75">C1761-C1763</f>
        <v>-9.0599999999999987</v>
      </c>
      <c r="D1764" s="12">
        <f t="shared" si="75"/>
        <v>-13.759999999999998</v>
      </c>
      <c r="E1764" s="12">
        <f t="shared" si="75"/>
        <v>-16.86</v>
      </c>
      <c r="F1764" s="12">
        <f t="shared" si="75"/>
        <v>-23.86</v>
      </c>
      <c r="G1764" s="12">
        <f t="shared" si="75"/>
        <v>-23.46</v>
      </c>
      <c r="H1764" s="12">
        <f t="shared" si="75"/>
        <v>-28.825000000000003</v>
      </c>
      <c r="I1764" s="12">
        <f t="shared" si="75"/>
        <v>-38.431249999999999</v>
      </c>
      <c r="J1764" s="12">
        <f t="shared" si="75"/>
        <v>-50.9200965</v>
      </c>
      <c r="K1764" s="12"/>
    </row>
    <row r="1765" spans="1:11" x14ac:dyDescent="0.25">
      <c r="A1765" s="16" t="s">
        <v>22</v>
      </c>
      <c r="B1765" s="456">
        <v>2017</v>
      </c>
      <c r="C1765" s="456">
        <v>2018</v>
      </c>
      <c r="D1765" s="456">
        <v>2019</v>
      </c>
      <c r="E1765" s="456">
        <v>2020</v>
      </c>
      <c r="F1765" s="456">
        <v>2021</v>
      </c>
      <c r="G1765" s="456">
        <v>2022</v>
      </c>
      <c r="H1765" s="456">
        <v>2023</v>
      </c>
      <c r="I1765" s="456">
        <v>2024</v>
      </c>
      <c r="J1765" s="456">
        <v>2025</v>
      </c>
      <c r="K1765" s="479">
        <v>2026</v>
      </c>
    </row>
    <row r="1766" spans="1:11" x14ac:dyDescent="0.25">
      <c r="A1766" s="29" t="s">
        <v>179</v>
      </c>
      <c r="B1766" s="30"/>
      <c r="C1766" s="30"/>
      <c r="D1766" s="30"/>
      <c r="E1766" s="30"/>
      <c r="F1766" s="30"/>
      <c r="G1766" s="30"/>
      <c r="H1766" s="30"/>
      <c r="I1766" s="30"/>
      <c r="J1766" s="30"/>
      <c r="K1766" s="88"/>
    </row>
    <row r="1767" spans="1:11" x14ac:dyDescent="0.25">
      <c r="A1767" s="472" t="s">
        <v>1093</v>
      </c>
      <c r="B1767" s="19"/>
      <c r="C1767" s="19"/>
      <c r="D1767" s="19"/>
      <c r="E1767" s="19"/>
      <c r="F1767" s="489"/>
      <c r="G1767" s="19"/>
      <c r="H1767" s="19"/>
      <c r="I1767" s="19"/>
      <c r="J1767" s="19"/>
      <c r="K1767" s="63"/>
    </row>
    <row r="1768" spans="1:11" x14ac:dyDescent="0.25">
      <c r="A1768" s="56" t="s">
        <v>1094</v>
      </c>
      <c r="K1768" s="64"/>
    </row>
    <row r="1769" spans="1:11" x14ac:dyDescent="0.25">
      <c r="A1769" s="56" t="s">
        <v>1095</v>
      </c>
      <c r="K1769" s="64"/>
    </row>
    <row r="1770" spans="1:11" x14ac:dyDescent="0.25">
      <c r="A1770" s="56" t="s">
        <v>1096</v>
      </c>
      <c r="C1770" s="348"/>
      <c r="K1770" s="64"/>
    </row>
    <row r="1771" spans="1:11" x14ac:dyDescent="0.25">
      <c r="A1771" s="56" t="s">
        <v>1097</v>
      </c>
      <c r="C1771" s="348"/>
      <c r="K1771" s="64"/>
    </row>
    <row r="1772" spans="1:11" x14ac:dyDescent="0.25">
      <c r="A1772" s="56" t="s">
        <v>895</v>
      </c>
      <c r="C1772" s="348"/>
      <c r="K1772" s="64"/>
    </row>
    <row r="1773" spans="1:11" x14ac:dyDescent="0.25">
      <c r="A1773" s="56" t="s">
        <v>896</v>
      </c>
      <c r="C1773" s="348"/>
      <c r="K1773" s="64"/>
    </row>
    <row r="1774" spans="1:11" x14ac:dyDescent="0.25">
      <c r="A1774" s="56" t="s">
        <v>1026</v>
      </c>
      <c r="C1774" s="348"/>
      <c r="K1774" s="64"/>
    </row>
    <row r="1775" spans="1:11" x14ac:dyDescent="0.25">
      <c r="A1775" s="490" t="s">
        <v>1129</v>
      </c>
      <c r="B1775" s="34"/>
      <c r="C1775" s="313"/>
      <c r="D1775" s="34"/>
      <c r="E1775" s="34"/>
      <c r="F1775" s="34"/>
      <c r="G1775" s="34"/>
      <c r="H1775" s="34"/>
      <c r="I1775" s="34"/>
      <c r="J1775" s="34"/>
      <c r="K1775" s="48"/>
    </row>
    <row r="1776" spans="1:11" ht="13.2" customHeight="1" x14ac:dyDescent="0.25">
      <c r="B1776" s="4"/>
      <c r="C1776" s="4"/>
      <c r="D1776" s="4"/>
      <c r="E1776" s="4"/>
    </row>
    <row r="1777" spans="1:11" ht="13.2" customHeight="1" x14ac:dyDescent="0.25">
      <c r="A1777" s="32"/>
      <c r="B1777" s="32"/>
      <c r="C1777" s="32"/>
      <c r="D1777" s="32"/>
      <c r="E1777" s="32"/>
      <c r="F1777" s="32"/>
      <c r="G1777" s="32"/>
    </row>
    <row r="1778" spans="1:11" x14ac:dyDescent="0.25">
      <c r="A1778" s="98" t="s">
        <v>12</v>
      </c>
      <c r="B1778" s="66" t="s">
        <v>897</v>
      </c>
      <c r="C1778" s="8"/>
      <c r="D1778" s="8"/>
      <c r="E1778" s="8"/>
      <c r="F1778" s="8"/>
      <c r="G1778" s="8"/>
    </row>
    <row r="1779" spans="1:11" x14ac:dyDescent="0.25">
      <c r="A1779" s="6" t="s">
        <v>14</v>
      </c>
      <c r="B1779" s="7" t="s">
        <v>74</v>
      </c>
      <c r="C1779" s="7" t="s">
        <v>152</v>
      </c>
    </row>
    <row r="1780" spans="1:11" x14ac:dyDescent="0.25">
      <c r="A1780" s="41" t="s">
        <v>16</v>
      </c>
      <c r="B1780" s="274">
        <v>2016</v>
      </c>
      <c r="C1780" s="154">
        <v>2017</v>
      </c>
      <c r="D1780" s="154">
        <v>2018</v>
      </c>
      <c r="E1780" s="154">
        <v>2019</v>
      </c>
      <c r="F1780" s="154">
        <v>2020</v>
      </c>
      <c r="G1780" s="154">
        <v>2021</v>
      </c>
      <c r="H1780" s="154">
        <v>2022</v>
      </c>
      <c r="I1780" s="154">
        <v>2023</v>
      </c>
      <c r="J1780" s="154">
        <v>2024</v>
      </c>
      <c r="K1780" s="154">
        <v>2025</v>
      </c>
    </row>
    <row r="1781" spans="1:11" x14ac:dyDescent="0.25">
      <c r="A1781" s="10" t="s">
        <v>17</v>
      </c>
      <c r="B1781" s="12">
        <v>45</v>
      </c>
      <c r="C1781" s="12">
        <v>45</v>
      </c>
      <c r="D1781" s="12">
        <v>45</v>
      </c>
      <c r="E1781" s="12">
        <v>45</v>
      </c>
      <c r="F1781" s="12">
        <v>37.9</v>
      </c>
      <c r="G1781" s="12">
        <v>37.9</v>
      </c>
      <c r="H1781" s="12">
        <v>37.9</v>
      </c>
      <c r="I1781" s="12">
        <v>37.9</v>
      </c>
      <c r="J1781" s="12">
        <v>37.9</v>
      </c>
      <c r="K1781" s="12">
        <v>37.9</v>
      </c>
    </row>
    <row r="1782" spans="1:11" ht="15" x14ac:dyDescent="0.25">
      <c r="A1782" s="10" t="s">
        <v>18</v>
      </c>
      <c r="B1782" s="12">
        <v>16.39</v>
      </c>
      <c r="C1782" s="12">
        <f>C1781+B1785</f>
        <v>51.59</v>
      </c>
      <c r="D1782" s="12">
        <f>D1781+0.2*C1781</f>
        <v>54</v>
      </c>
      <c r="E1782" s="12">
        <f>E1781+0.2*D1781</f>
        <v>54</v>
      </c>
      <c r="F1782" s="491">
        <f>F1781+E1785</f>
        <v>4.3999999999999986</v>
      </c>
      <c r="G1782" s="491">
        <f>G1781+F1785</f>
        <v>8.3489999999999966</v>
      </c>
      <c r="H1782" s="491">
        <f>1.25*G1785+H1781</f>
        <v>-87.29249999999999</v>
      </c>
      <c r="I1782" s="491">
        <f xml:space="preserve"> 1.25*H1785+I1781</f>
        <v>-165.110625</v>
      </c>
      <c r="J1782" s="491">
        <f xml:space="preserve"> 1.25*I1785+J1781</f>
        <v>-263.47578125000001</v>
      </c>
      <c r="K1782" s="491">
        <f xml:space="preserve"> 1.25*J1785+K1781</f>
        <v>-327.19472656250008</v>
      </c>
    </row>
    <row r="1783" spans="1:11" x14ac:dyDescent="0.25">
      <c r="A1783" s="10" t="s">
        <v>19</v>
      </c>
      <c r="B1783" s="156"/>
      <c r="C1783" s="156" t="s">
        <v>399</v>
      </c>
      <c r="D1783" s="156" t="s">
        <v>400</v>
      </c>
      <c r="E1783" s="156" t="s">
        <v>401</v>
      </c>
      <c r="F1783" s="156" t="s">
        <v>402</v>
      </c>
      <c r="G1783" s="156" t="s">
        <v>566</v>
      </c>
      <c r="H1783" s="156" t="s">
        <v>604</v>
      </c>
      <c r="I1783" s="156" t="s">
        <v>625</v>
      </c>
      <c r="J1783" s="156" t="s">
        <v>784</v>
      </c>
      <c r="K1783" s="156" t="s">
        <v>999</v>
      </c>
    </row>
    <row r="1784" spans="1:11" ht="15" x14ac:dyDescent="0.25">
      <c r="A1784" s="10" t="s">
        <v>20</v>
      </c>
      <c r="B1784" s="156">
        <v>9.8000000000000007</v>
      </c>
      <c r="C1784" s="156">
        <v>12.6</v>
      </c>
      <c r="D1784" s="492">
        <v>5</v>
      </c>
      <c r="E1784" s="492">
        <v>87.5</v>
      </c>
      <c r="F1784" s="492">
        <v>33.951000000000001</v>
      </c>
      <c r="G1784" s="492">
        <v>108.503</v>
      </c>
      <c r="H1784" s="492">
        <v>75.116</v>
      </c>
      <c r="I1784" s="492">
        <v>75.989999999999995</v>
      </c>
      <c r="J1784" s="492">
        <v>28.6</v>
      </c>
      <c r="K1784" s="156"/>
    </row>
    <row r="1785" spans="1:11" ht="15" x14ac:dyDescent="0.25">
      <c r="A1785" s="10" t="s">
        <v>21</v>
      </c>
      <c r="B1785" s="12">
        <f t="shared" ref="B1785:J1785" si="76">B1782-B1784</f>
        <v>6.59</v>
      </c>
      <c r="C1785" s="12">
        <f t="shared" si="76"/>
        <v>38.99</v>
      </c>
      <c r="D1785" s="12">
        <f t="shared" si="76"/>
        <v>49</v>
      </c>
      <c r="E1785" s="491">
        <f t="shared" si="76"/>
        <v>-33.5</v>
      </c>
      <c r="F1785" s="491">
        <f t="shared" si="76"/>
        <v>-29.551000000000002</v>
      </c>
      <c r="G1785" s="491">
        <f t="shared" si="76"/>
        <v>-100.154</v>
      </c>
      <c r="H1785" s="491">
        <f t="shared" si="76"/>
        <v>-162.4085</v>
      </c>
      <c r="I1785" s="491">
        <f t="shared" si="76"/>
        <v>-241.10062499999998</v>
      </c>
      <c r="J1785" s="491">
        <f t="shared" si="76"/>
        <v>-292.07578125000003</v>
      </c>
      <c r="K1785" s="12"/>
    </row>
    <row r="1786" spans="1:11" x14ac:dyDescent="0.25">
      <c r="A1786" s="18" t="s">
        <v>22</v>
      </c>
      <c r="B1786" s="642">
        <v>2017</v>
      </c>
      <c r="C1786" s="642">
        <v>2018</v>
      </c>
      <c r="D1786" s="642">
        <v>2019</v>
      </c>
      <c r="E1786" s="642">
        <v>2020</v>
      </c>
      <c r="F1786" s="642">
        <v>2021</v>
      </c>
      <c r="G1786" s="642">
        <v>2022</v>
      </c>
      <c r="H1786" s="642">
        <v>2023</v>
      </c>
      <c r="I1786" s="642">
        <v>2024</v>
      </c>
      <c r="J1786" s="642">
        <v>2025</v>
      </c>
      <c r="K1786" s="642">
        <v>2026</v>
      </c>
    </row>
    <row r="1787" spans="1:11" x14ac:dyDescent="0.25">
      <c r="A1787" s="18" t="s">
        <v>179</v>
      </c>
      <c r="B1787" s="19"/>
      <c r="C1787" s="19"/>
      <c r="D1787" s="19"/>
      <c r="E1787" s="19"/>
      <c r="F1787" s="19"/>
      <c r="G1787" s="19"/>
      <c r="H1787" s="19"/>
      <c r="I1787" s="19"/>
      <c r="J1787" s="19"/>
      <c r="K1787" s="63"/>
    </row>
    <row r="1788" spans="1:11" x14ac:dyDescent="0.25">
      <c r="A1788" s="56" t="s">
        <v>403</v>
      </c>
      <c r="F1788" s="269"/>
      <c r="K1788" s="64"/>
    </row>
    <row r="1789" spans="1:11" x14ac:dyDescent="0.25">
      <c r="A1789" s="56" t="s">
        <v>898</v>
      </c>
      <c r="K1789" s="64"/>
    </row>
    <row r="1790" spans="1:11" x14ac:dyDescent="0.25">
      <c r="A1790" s="56" t="s">
        <v>899</v>
      </c>
      <c r="K1790" s="64"/>
    </row>
    <row r="1791" spans="1:11" x14ac:dyDescent="0.25">
      <c r="A1791" s="56" t="s">
        <v>565</v>
      </c>
      <c r="C1791" s="348"/>
      <c r="K1791" s="64"/>
    </row>
    <row r="1792" spans="1:11" x14ac:dyDescent="0.25">
      <c r="A1792" s="56" t="s">
        <v>567</v>
      </c>
      <c r="C1792" s="348"/>
      <c r="K1792" s="64"/>
    </row>
    <row r="1793" spans="1:11" x14ac:dyDescent="0.25">
      <c r="A1793" s="56" t="s">
        <v>895</v>
      </c>
      <c r="C1793" s="348"/>
      <c r="K1793" s="64"/>
    </row>
    <row r="1794" spans="1:11" x14ac:dyDescent="0.25">
      <c r="A1794" s="56" t="s">
        <v>896</v>
      </c>
      <c r="C1794" s="348"/>
      <c r="K1794" s="64"/>
    </row>
    <row r="1795" spans="1:11" x14ac:dyDescent="0.25">
      <c r="A1795" s="56" t="s">
        <v>1026</v>
      </c>
      <c r="C1795" s="348"/>
      <c r="K1795" s="64"/>
    </row>
    <row r="1796" spans="1:11" x14ac:dyDescent="0.25">
      <c r="A1796" s="312" t="s">
        <v>1129</v>
      </c>
      <c r="B1796" s="34"/>
      <c r="C1796" s="313"/>
      <c r="D1796" s="34"/>
      <c r="E1796" s="34"/>
      <c r="F1796" s="34"/>
      <c r="G1796" s="34"/>
      <c r="H1796" s="34"/>
      <c r="I1796" s="34"/>
      <c r="J1796" s="34"/>
      <c r="K1796" s="48"/>
    </row>
    <row r="1797" spans="1:11" x14ac:dyDescent="0.25">
      <c r="A1797" s="49"/>
      <c r="C1797" s="348"/>
    </row>
    <row r="1798" spans="1:11" x14ac:dyDescent="0.25">
      <c r="A1798" s="6" t="s">
        <v>14</v>
      </c>
      <c r="B1798" s="7" t="s">
        <v>79</v>
      </c>
      <c r="C1798" s="7" t="s">
        <v>152</v>
      </c>
    </row>
    <row r="1799" spans="1:11" x14ac:dyDescent="0.25">
      <c r="A1799" s="41" t="s">
        <v>16</v>
      </c>
      <c r="B1799" s="274">
        <v>2016</v>
      </c>
      <c r="C1799" s="154">
        <v>2017</v>
      </c>
      <c r="D1799" s="154">
        <v>2018</v>
      </c>
      <c r="E1799" s="154">
        <v>2019</v>
      </c>
      <c r="F1799" s="154">
        <v>2020</v>
      </c>
      <c r="G1799" s="154">
        <v>2021</v>
      </c>
      <c r="H1799" s="154">
        <v>2022</v>
      </c>
      <c r="I1799" s="154">
        <v>2023</v>
      </c>
      <c r="J1799" s="154">
        <v>2024</v>
      </c>
      <c r="K1799" s="154">
        <v>2025</v>
      </c>
    </row>
    <row r="1800" spans="1:11" x14ac:dyDescent="0.25">
      <c r="A1800" s="10" t="s">
        <v>17</v>
      </c>
      <c r="B1800" s="12">
        <v>20</v>
      </c>
      <c r="C1800" s="12">
        <v>20</v>
      </c>
      <c r="D1800" s="12">
        <v>20</v>
      </c>
      <c r="E1800" s="12">
        <v>20</v>
      </c>
      <c r="F1800" s="12">
        <v>20</v>
      </c>
      <c r="G1800" s="12">
        <v>20</v>
      </c>
      <c r="H1800" s="12">
        <v>20</v>
      </c>
      <c r="I1800" s="12">
        <v>20</v>
      </c>
      <c r="J1800" s="12">
        <v>20</v>
      </c>
      <c r="K1800" s="12">
        <v>20</v>
      </c>
    </row>
    <row r="1801" spans="1:11" ht="15" x14ac:dyDescent="0.25">
      <c r="A1801" s="10" t="s">
        <v>18</v>
      </c>
      <c r="B1801" s="12">
        <v>24</v>
      </c>
      <c r="C1801" s="12">
        <f>C1800+0.2*B1800</f>
        <v>24</v>
      </c>
      <c r="D1801" s="12">
        <f>D1800+0.2*C1800</f>
        <v>24</v>
      </c>
      <c r="E1801" s="491">
        <f>E1800+0.2*D1800</f>
        <v>24</v>
      </c>
      <c r="F1801" s="491">
        <f>F1800+0.2*E1800</f>
        <v>24</v>
      </c>
      <c r="G1801" s="491"/>
      <c r="H1801" s="491">
        <f>H1800+G1804</f>
        <v>19.587</v>
      </c>
      <c r="I1801" s="491">
        <f xml:space="preserve"> 1.25*H1804+I1800</f>
        <v>11.083750000000002</v>
      </c>
      <c r="J1801" s="491">
        <f xml:space="preserve"> 1.25*I1804+J1800</f>
        <v>-2.0312499999999289E-2</v>
      </c>
      <c r="K1801" s="491">
        <f xml:space="preserve"> 1.25*J1804+K1800</f>
        <v>-1.025390625</v>
      </c>
    </row>
    <row r="1802" spans="1:11" x14ac:dyDescent="0.25">
      <c r="A1802" s="10" t="s">
        <v>19</v>
      </c>
      <c r="B1802" s="156"/>
      <c r="C1802" s="156" t="s">
        <v>399</v>
      </c>
      <c r="D1802" s="156" t="s">
        <v>400</v>
      </c>
      <c r="E1802" s="156" t="s">
        <v>401</v>
      </c>
      <c r="F1802" s="156" t="s">
        <v>402</v>
      </c>
      <c r="G1802" s="156" t="s">
        <v>566</v>
      </c>
      <c r="H1802" s="156" t="s">
        <v>604</v>
      </c>
      <c r="I1802" s="156" t="s">
        <v>625</v>
      </c>
      <c r="J1802" s="156" t="s">
        <v>784</v>
      </c>
      <c r="K1802" s="156" t="s">
        <v>999</v>
      </c>
    </row>
    <row r="1803" spans="1:11" ht="15" x14ac:dyDescent="0.25">
      <c r="A1803" s="10" t="s">
        <v>20</v>
      </c>
      <c r="B1803" s="156">
        <v>15</v>
      </c>
      <c r="C1803" s="156">
        <v>13</v>
      </c>
      <c r="D1803" s="492">
        <v>1.125</v>
      </c>
      <c r="E1803" s="492">
        <v>9.5559999999999992</v>
      </c>
      <c r="F1803" s="492">
        <v>10.503</v>
      </c>
      <c r="G1803" s="492">
        <v>20.413</v>
      </c>
      <c r="H1803" s="492">
        <v>26.72</v>
      </c>
      <c r="I1803" s="491">
        <v>27.1</v>
      </c>
      <c r="J1803" s="492">
        <v>16.8</v>
      </c>
      <c r="K1803" s="156"/>
    </row>
    <row r="1804" spans="1:11" ht="15" x14ac:dyDescent="0.25">
      <c r="A1804" s="10" t="s">
        <v>21</v>
      </c>
      <c r="B1804" s="12">
        <f>B1801-B1803</f>
        <v>9</v>
      </c>
      <c r="C1804" s="12">
        <f>C1801-C1803</f>
        <v>11</v>
      </c>
      <c r="D1804" s="491">
        <f>D1801-D1803</f>
        <v>22.875</v>
      </c>
      <c r="E1804" s="491">
        <f>E1801-E1803</f>
        <v>14.444000000000001</v>
      </c>
      <c r="F1804" s="491">
        <f>F1801-F1803</f>
        <v>13.497</v>
      </c>
      <c r="G1804" s="491">
        <f>G1800-G1803</f>
        <v>-0.41300000000000026</v>
      </c>
      <c r="H1804" s="491">
        <f>H1801-H1803</f>
        <v>-7.1329999999999991</v>
      </c>
      <c r="I1804" s="491">
        <f>I1801-I1803</f>
        <v>-16.016249999999999</v>
      </c>
      <c r="J1804" s="491">
        <f>J1801-J1803</f>
        <v>-16.8203125</v>
      </c>
      <c r="K1804" s="12"/>
    </row>
    <row r="1805" spans="1:11" x14ac:dyDescent="0.25">
      <c r="A1805" s="18" t="s">
        <v>22</v>
      </c>
      <c r="B1805" s="642">
        <v>2017</v>
      </c>
      <c r="C1805" s="642">
        <v>2018</v>
      </c>
      <c r="D1805" s="642">
        <v>2019</v>
      </c>
      <c r="E1805" s="642">
        <v>2020</v>
      </c>
      <c r="F1805" s="642">
        <v>2021</v>
      </c>
      <c r="G1805" s="642">
        <v>2022</v>
      </c>
      <c r="H1805" s="642">
        <v>2023</v>
      </c>
      <c r="I1805" s="642">
        <v>2024</v>
      </c>
      <c r="J1805" s="642">
        <v>2025</v>
      </c>
      <c r="K1805" s="642">
        <v>2026</v>
      </c>
    </row>
    <row r="1806" spans="1:11" x14ac:dyDescent="0.25">
      <c r="A1806" s="18" t="s">
        <v>179</v>
      </c>
      <c r="B1806" s="19"/>
      <c r="C1806" s="19"/>
      <c r="D1806" s="19"/>
      <c r="E1806" s="19"/>
      <c r="F1806" s="19"/>
      <c r="G1806" s="19"/>
      <c r="H1806" s="19"/>
      <c r="I1806" s="19"/>
      <c r="J1806" s="19"/>
      <c r="K1806" s="63"/>
    </row>
    <row r="1807" spans="1:11" x14ac:dyDescent="0.25">
      <c r="A1807" s="56" t="s">
        <v>900</v>
      </c>
      <c r="F1807" s="269"/>
      <c r="K1807" s="64"/>
    </row>
    <row r="1808" spans="1:11" x14ac:dyDescent="0.25">
      <c r="A1808" s="56" t="s">
        <v>898</v>
      </c>
      <c r="K1808" s="64"/>
    </row>
    <row r="1809" spans="1:11" x14ac:dyDescent="0.25">
      <c r="A1809" s="56" t="s">
        <v>899</v>
      </c>
      <c r="K1809" s="64"/>
    </row>
    <row r="1810" spans="1:11" x14ac:dyDescent="0.25">
      <c r="A1810" s="56" t="s">
        <v>901</v>
      </c>
      <c r="C1810" s="348"/>
      <c r="K1810" s="64"/>
    </row>
    <row r="1811" spans="1:11" x14ac:dyDescent="0.25">
      <c r="A1811" s="56" t="s">
        <v>902</v>
      </c>
      <c r="C1811" s="348"/>
      <c r="K1811" s="64"/>
    </row>
    <row r="1812" spans="1:11" x14ac:dyDescent="0.25">
      <c r="A1812" s="56" t="s">
        <v>605</v>
      </c>
      <c r="C1812" s="348"/>
      <c r="K1812" s="64"/>
    </row>
    <row r="1813" spans="1:11" x14ac:dyDescent="0.25">
      <c r="A1813" s="56" t="s">
        <v>896</v>
      </c>
      <c r="C1813" s="348"/>
      <c r="K1813" s="64"/>
    </row>
    <row r="1814" spans="1:11" x14ac:dyDescent="0.25">
      <c r="A1814" s="56" t="s">
        <v>1026</v>
      </c>
      <c r="C1814" s="348"/>
      <c r="K1814" s="64"/>
    </row>
    <row r="1815" spans="1:11" x14ac:dyDescent="0.25">
      <c r="A1815" s="56" t="s">
        <v>1129</v>
      </c>
      <c r="B1815" s="34"/>
      <c r="C1815" s="313"/>
      <c r="D1815" s="34"/>
      <c r="E1815" s="34"/>
      <c r="F1815" s="34"/>
      <c r="G1815" s="34"/>
      <c r="H1815" s="34"/>
      <c r="I1815" s="34"/>
      <c r="J1815" s="34"/>
      <c r="K1815" s="48"/>
    </row>
    <row r="1817" spans="1:11" x14ac:dyDescent="0.25">
      <c r="A1817" s="6" t="s">
        <v>11</v>
      </c>
      <c r="B1817" s="7" t="s">
        <v>217</v>
      </c>
      <c r="C1817" s="8"/>
    </row>
    <row r="1818" spans="1:11" x14ac:dyDescent="0.25">
      <c r="A1818" s="6" t="s">
        <v>1</v>
      </c>
      <c r="B1818" s="7" t="s">
        <v>623</v>
      </c>
      <c r="C1818" s="9" t="s">
        <v>2</v>
      </c>
    </row>
    <row r="1819" spans="1:11" x14ac:dyDescent="0.25">
      <c r="A1819" s="10" t="s">
        <v>3</v>
      </c>
      <c r="B1819" s="11"/>
      <c r="C1819" s="154">
        <v>2018</v>
      </c>
      <c r="D1819" s="172">
        <v>2019</v>
      </c>
      <c r="E1819" s="154">
        <v>2020</v>
      </c>
      <c r="F1819" s="154">
        <v>2021</v>
      </c>
      <c r="G1819" s="154">
        <v>2022</v>
      </c>
      <c r="H1819" s="154">
        <v>2023</v>
      </c>
      <c r="I1819" s="154">
        <v>2024</v>
      </c>
      <c r="J1819" s="154">
        <v>2025</v>
      </c>
    </row>
    <row r="1820" spans="1:11" x14ac:dyDescent="0.25">
      <c r="A1820" s="10" t="s">
        <v>4</v>
      </c>
      <c r="B1820" s="11"/>
      <c r="C1820" s="12">
        <v>250</v>
      </c>
      <c r="D1820" s="188">
        <v>250</v>
      </c>
      <c r="E1820" s="12">
        <v>250</v>
      </c>
      <c r="F1820" s="189">
        <v>250</v>
      </c>
      <c r="G1820" s="189">
        <v>250</v>
      </c>
      <c r="H1820" s="189">
        <v>250</v>
      </c>
      <c r="I1820" s="189">
        <v>250</v>
      </c>
      <c r="J1820" s="189">
        <v>250</v>
      </c>
    </row>
    <row r="1821" spans="1:11" x14ac:dyDescent="0.25">
      <c r="A1821" s="10" t="s">
        <v>5</v>
      </c>
      <c r="B1821" s="11"/>
      <c r="C1821" s="12">
        <v>200</v>
      </c>
      <c r="D1821" s="12">
        <v>225</v>
      </c>
      <c r="E1821" s="12">
        <f>E1822</f>
        <v>225</v>
      </c>
      <c r="F1821" s="189">
        <f>F1822</f>
        <v>200</v>
      </c>
      <c r="G1821" s="189">
        <f>G1822</f>
        <v>200</v>
      </c>
      <c r="H1821" s="189">
        <f>H1822</f>
        <v>225</v>
      </c>
      <c r="I1821" s="189">
        <f>I1822</f>
        <v>225</v>
      </c>
      <c r="J1821" s="189">
        <v>325</v>
      </c>
    </row>
    <row r="1822" spans="1:11" x14ac:dyDescent="0.25">
      <c r="A1822" s="10" t="s">
        <v>6</v>
      </c>
      <c r="B1822" s="11"/>
      <c r="C1822" s="12">
        <v>200</v>
      </c>
      <c r="D1822" s="12">
        <v>225</v>
      </c>
      <c r="E1822" s="12">
        <f>1.4*E1820-125</f>
        <v>225</v>
      </c>
      <c r="F1822" s="189">
        <f>F1820+0.4*E1820-150</f>
        <v>200</v>
      </c>
      <c r="G1822" s="189">
        <f>G1820+0.4*F1820-150</f>
        <v>200</v>
      </c>
      <c r="H1822" s="189">
        <f>H1820+0.4*G1820-125</f>
        <v>225</v>
      </c>
      <c r="I1822" s="189">
        <f>I1820+0.4*H1820-125</f>
        <v>225</v>
      </c>
      <c r="J1822" s="189"/>
    </row>
    <row r="1823" spans="1:11" x14ac:dyDescent="0.25">
      <c r="A1823" s="10" t="s">
        <v>7</v>
      </c>
      <c r="B1823" s="11"/>
      <c r="C1823" s="12">
        <v>43.54</v>
      </c>
      <c r="D1823" s="12">
        <v>13.63</v>
      </c>
      <c r="E1823" s="12">
        <v>10</v>
      </c>
      <c r="F1823" s="189">
        <v>20</v>
      </c>
      <c r="G1823" s="189">
        <v>0</v>
      </c>
      <c r="H1823" s="189">
        <v>54.02</v>
      </c>
      <c r="I1823" s="189">
        <v>16.52</v>
      </c>
      <c r="J1823" s="90"/>
    </row>
    <row r="1824" spans="1:11" x14ac:dyDescent="0.25">
      <c r="A1824" s="10" t="s">
        <v>8</v>
      </c>
      <c r="B1824" s="11"/>
      <c r="C1824" s="12">
        <v>156.46</v>
      </c>
      <c r="D1824" s="188">
        <v>211.37</v>
      </c>
      <c r="E1824" s="12">
        <f>E1821-E1823</f>
        <v>215</v>
      </c>
      <c r="F1824" s="189">
        <f>F1821-F1823</f>
        <v>180</v>
      </c>
      <c r="G1824" s="189">
        <f>G1821-G1823</f>
        <v>200</v>
      </c>
      <c r="H1824" s="189">
        <f>H1821-H1823</f>
        <v>170.98</v>
      </c>
      <c r="I1824" s="189">
        <f>I1821-I1823</f>
        <v>208.48</v>
      </c>
      <c r="J1824" s="90"/>
    </row>
    <row r="1825" spans="1:10" x14ac:dyDescent="0.25">
      <c r="A1825" s="16" t="s">
        <v>9</v>
      </c>
      <c r="B1825" s="17"/>
      <c r="C1825" s="159">
        <v>2019</v>
      </c>
      <c r="D1825" s="178">
        <v>2020</v>
      </c>
      <c r="E1825" s="159">
        <v>2021</v>
      </c>
      <c r="F1825" s="47">
        <v>2022</v>
      </c>
      <c r="G1825" s="47">
        <v>2023</v>
      </c>
      <c r="H1825" s="47">
        <v>2024</v>
      </c>
      <c r="I1825" s="47">
        <v>2025</v>
      </c>
      <c r="J1825" s="90"/>
    </row>
    <row r="1826" spans="1:10" x14ac:dyDescent="0.25">
      <c r="A1826" s="18" t="s">
        <v>164</v>
      </c>
      <c r="B1826" s="19"/>
      <c r="C1826" s="19"/>
      <c r="D1826" s="19"/>
      <c r="E1826" s="19"/>
      <c r="F1826" s="19"/>
      <c r="G1826" s="19"/>
      <c r="H1826" s="19"/>
      <c r="I1826" s="19"/>
      <c r="J1826" s="63"/>
    </row>
    <row r="1827" spans="1:10" x14ac:dyDescent="0.25">
      <c r="A1827" s="39" t="s">
        <v>218</v>
      </c>
      <c r="J1827" s="64"/>
    </row>
    <row r="1828" spans="1:10" x14ac:dyDescent="0.25">
      <c r="A1828" s="39" t="s">
        <v>513</v>
      </c>
      <c r="J1828" s="64"/>
    </row>
    <row r="1829" spans="1:10" ht="13.2" customHeight="1" x14ac:dyDescent="0.25">
      <c r="A1829" s="161" t="s">
        <v>514</v>
      </c>
      <c r="B1829" s="123"/>
      <c r="C1829" s="123"/>
      <c r="D1829" s="123"/>
      <c r="E1829" s="123"/>
      <c r="F1829" s="123"/>
      <c r="G1829" s="123"/>
      <c r="H1829" s="123"/>
      <c r="I1829" s="123"/>
      <c r="J1829" s="64"/>
    </row>
    <row r="1830" spans="1:10" x14ac:dyDescent="0.25">
      <c r="A1830" s="161" t="s">
        <v>515</v>
      </c>
      <c r="B1830" s="32"/>
      <c r="C1830" s="32"/>
      <c r="D1830" s="32"/>
      <c r="E1830" s="32"/>
      <c r="F1830" s="32"/>
      <c r="G1830" s="32"/>
      <c r="H1830" s="32"/>
      <c r="I1830" s="32"/>
      <c r="J1830" s="64"/>
    </row>
    <row r="1831" spans="1:10" x14ac:dyDescent="0.25">
      <c r="A1831" s="39" t="s">
        <v>516</v>
      </c>
      <c r="B1831" s="32"/>
      <c r="C1831" s="32"/>
      <c r="D1831" s="32"/>
      <c r="E1831" s="32"/>
      <c r="F1831" s="32"/>
      <c r="G1831" s="32"/>
      <c r="H1831" s="32"/>
      <c r="I1831" s="32"/>
      <c r="J1831" s="64"/>
    </row>
    <row r="1832" spans="1:10" x14ac:dyDescent="0.25">
      <c r="A1832" s="39" t="s">
        <v>843</v>
      </c>
      <c r="B1832" s="32"/>
      <c r="C1832" s="32"/>
      <c r="D1832" s="32"/>
      <c r="E1832" s="32"/>
      <c r="F1832" s="32"/>
      <c r="G1832" s="32"/>
      <c r="H1832" s="32"/>
      <c r="I1832" s="32"/>
      <c r="J1832" s="64"/>
    </row>
    <row r="1833" spans="1:10" x14ac:dyDescent="0.25">
      <c r="A1833" s="39" t="s">
        <v>844</v>
      </c>
      <c r="B1833" s="32"/>
      <c r="C1833" s="32"/>
      <c r="D1833" s="32"/>
      <c r="E1833" s="32"/>
      <c r="F1833" s="32"/>
      <c r="G1833" s="32"/>
      <c r="H1833" s="32"/>
      <c r="I1833" s="32"/>
      <c r="J1833" s="64"/>
    </row>
    <row r="1834" spans="1:10" x14ac:dyDescent="0.25">
      <c r="A1834" s="39" t="s">
        <v>1057</v>
      </c>
      <c r="B1834" s="32"/>
      <c r="C1834" s="32"/>
      <c r="D1834" s="32"/>
      <c r="E1834" s="32"/>
      <c r="F1834" s="32"/>
      <c r="G1834" s="32"/>
      <c r="H1834" s="32"/>
      <c r="I1834" s="32"/>
      <c r="J1834" s="64"/>
    </row>
    <row r="1835" spans="1:10" ht="13.2" customHeight="1" x14ac:dyDescent="0.25">
      <c r="A1835" s="42" t="s">
        <v>1200</v>
      </c>
      <c r="B1835" s="43"/>
      <c r="C1835" s="43"/>
      <c r="D1835" s="43"/>
      <c r="E1835" s="43"/>
      <c r="F1835" s="43"/>
      <c r="G1835" s="34"/>
      <c r="H1835" s="34"/>
      <c r="I1835" s="34"/>
      <c r="J1835" s="48"/>
    </row>
    <row r="1837" spans="1:10" x14ac:dyDescent="0.25">
      <c r="A1837" s="6" t="s">
        <v>1</v>
      </c>
      <c r="B1837" s="7" t="s">
        <v>641</v>
      </c>
      <c r="C1837" s="9" t="s">
        <v>2</v>
      </c>
    </row>
    <row r="1838" spans="1:10" x14ac:dyDescent="0.25">
      <c r="A1838" s="10" t="s">
        <v>3</v>
      </c>
      <c r="B1838" s="11"/>
      <c r="C1838" s="154">
        <v>2018</v>
      </c>
      <c r="D1838" s="172">
        <v>2019</v>
      </c>
      <c r="E1838" s="154">
        <v>2020</v>
      </c>
      <c r="F1838" s="154">
        <v>2021</v>
      </c>
      <c r="G1838" s="154">
        <v>2022</v>
      </c>
      <c r="H1838" s="154">
        <v>2023</v>
      </c>
      <c r="I1838" s="154">
        <v>2024</v>
      </c>
      <c r="J1838" s="493">
        <v>2025</v>
      </c>
    </row>
    <row r="1839" spans="1:10" x14ac:dyDescent="0.25">
      <c r="A1839" s="10" t="s">
        <v>4</v>
      </c>
      <c r="B1839" s="11"/>
      <c r="C1839" s="12">
        <v>417</v>
      </c>
      <c r="D1839" s="12">
        <v>417</v>
      </c>
      <c r="E1839" s="12">
        <v>417</v>
      </c>
      <c r="F1839" s="12">
        <v>417</v>
      </c>
      <c r="G1839" s="12">
        <v>417</v>
      </c>
      <c r="H1839" s="12">
        <v>417</v>
      </c>
      <c r="I1839" s="12">
        <v>417</v>
      </c>
      <c r="J1839" s="90">
        <v>417</v>
      </c>
    </row>
    <row r="1840" spans="1:10" x14ac:dyDescent="0.25">
      <c r="A1840" s="10" t="s">
        <v>5</v>
      </c>
      <c r="B1840" s="11"/>
      <c r="C1840" s="12">
        <v>500.4</v>
      </c>
      <c r="D1840" s="12">
        <v>500.4</v>
      </c>
      <c r="E1840" s="12">
        <f>E1841</f>
        <v>500.4</v>
      </c>
      <c r="F1840" s="12">
        <v>500.4</v>
      </c>
      <c r="G1840" s="12">
        <v>500.4</v>
      </c>
      <c r="H1840" s="12">
        <f>H1841</f>
        <v>458.7</v>
      </c>
      <c r="I1840" s="12">
        <f>I1841</f>
        <v>458.7</v>
      </c>
      <c r="J1840" s="90">
        <v>458.7</v>
      </c>
    </row>
    <row r="1841" spans="1:15" x14ac:dyDescent="0.25">
      <c r="A1841" s="10" t="s">
        <v>6</v>
      </c>
      <c r="B1841" s="11"/>
      <c r="C1841" s="12">
        <v>500.4</v>
      </c>
      <c r="D1841" s="12">
        <v>500.4</v>
      </c>
      <c r="E1841" s="12">
        <f>1.2*E1839</f>
        <v>500.4</v>
      </c>
      <c r="F1841" s="12">
        <v>500.4</v>
      </c>
      <c r="G1841" s="12">
        <v>500.4</v>
      </c>
      <c r="H1841" s="12">
        <f>H1839+0.1*G1839</f>
        <v>458.7</v>
      </c>
      <c r="I1841" s="12">
        <f>I1839+0.1*H1839</f>
        <v>458.7</v>
      </c>
      <c r="J1841" s="90"/>
    </row>
    <row r="1842" spans="1:15" x14ac:dyDescent="0.25">
      <c r="A1842" s="10" t="s">
        <v>7</v>
      </c>
      <c r="B1842" s="11"/>
      <c r="C1842" s="12">
        <v>92.8</v>
      </c>
      <c r="D1842" s="12">
        <v>166.9</v>
      </c>
      <c r="E1842" s="12">
        <v>0</v>
      </c>
      <c r="F1842" s="12">
        <v>0</v>
      </c>
      <c r="G1842" s="12">
        <v>0</v>
      </c>
      <c r="H1842" s="12">
        <v>0</v>
      </c>
      <c r="I1842" s="12">
        <v>0</v>
      </c>
      <c r="J1842" s="90"/>
    </row>
    <row r="1843" spans="1:15" x14ac:dyDescent="0.25">
      <c r="A1843" s="10" t="s">
        <v>8</v>
      </c>
      <c r="B1843" s="11"/>
      <c r="C1843" s="12">
        <v>407.59999999999997</v>
      </c>
      <c r="D1843" s="12">
        <f t="shared" ref="D1843:I1843" si="77">D1840-D1842</f>
        <v>333.5</v>
      </c>
      <c r="E1843" s="12">
        <f t="shared" si="77"/>
        <v>500.4</v>
      </c>
      <c r="F1843" s="12">
        <f t="shared" si="77"/>
        <v>500.4</v>
      </c>
      <c r="G1843" s="12">
        <f t="shared" si="77"/>
        <v>500.4</v>
      </c>
      <c r="H1843" s="12">
        <f t="shared" si="77"/>
        <v>458.7</v>
      </c>
      <c r="I1843" s="12">
        <f t="shared" si="77"/>
        <v>458.7</v>
      </c>
      <c r="J1843" s="90"/>
    </row>
    <row r="1844" spans="1:15" x14ac:dyDescent="0.25">
      <c r="A1844" s="16" t="s">
        <v>9</v>
      </c>
      <c r="B1844" s="17"/>
      <c r="C1844" s="159">
        <v>2019</v>
      </c>
      <c r="D1844" s="178">
        <v>2020</v>
      </c>
      <c r="E1844" s="159">
        <v>2021</v>
      </c>
      <c r="F1844" s="179">
        <v>2022</v>
      </c>
      <c r="G1844" s="179">
        <v>2023</v>
      </c>
      <c r="H1844" s="179">
        <v>2024</v>
      </c>
      <c r="I1844" s="179">
        <v>2025</v>
      </c>
      <c r="J1844" s="180">
        <v>2026</v>
      </c>
    </row>
    <row r="1845" spans="1:15" x14ac:dyDescent="0.25">
      <c r="A1845" s="18" t="s">
        <v>164</v>
      </c>
      <c r="B1845" s="19"/>
      <c r="C1845" s="19"/>
      <c r="D1845" s="19"/>
      <c r="E1845" s="19"/>
      <c r="F1845" s="19"/>
      <c r="G1845" s="19"/>
      <c r="H1845" s="19"/>
      <c r="I1845" s="19"/>
      <c r="J1845" s="63"/>
    </row>
    <row r="1846" spans="1:15" x14ac:dyDescent="0.25">
      <c r="A1846" s="39" t="s">
        <v>218</v>
      </c>
      <c r="J1846" s="64"/>
    </row>
    <row r="1847" spans="1:15" s="123" customFormat="1" ht="12.75" customHeight="1" x14ac:dyDescent="0.25">
      <c r="A1847" s="39" t="s">
        <v>219</v>
      </c>
      <c r="B1847" s="3"/>
      <c r="C1847" s="3"/>
      <c r="D1847" s="3"/>
      <c r="E1847" s="3"/>
      <c r="F1847" s="3"/>
      <c r="J1847" s="494"/>
    </row>
    <row r="1848" spans="1:15" s="123" customFormat="1" ht="12.75" customHeight="1" x14ac:dyDescent="0.25">
      <c r="A1848" s="39" t="s">
        <v>315</v>
      </c>
      <c r="B1848" s="3"/>
      <c r="C1848" s="3"/>
      <c r="D1848" s="3"/>
      <c r="E1848" s="3"/>
      <c r="F1848" s="3"/>
      <c r="J1848" s="494"/>
    </row>
    <row r="1849" spans="1:15" s="123" customFormat="1" ht="12.75" customHeight="1" x14ac:dyDescent="0.25">
      <c r="A1849" s="39" t="s">
        <v>698</v>
      </c>
      <c r="B1849" s="3"/>
      <c r="C1849" s="3"/>
      <c r="D1849" s="3"/>
      <c r="E1849" s="3"/>
      <c r="F1849" s="3"/>
      <c r="J1849" s="494"/>
    </row>
    <row r="1850" spans="1:15" s="123" customFormat="1" ht="12.75" customHeight="1" x14ac:dyDescent="0.25">
      <c r="A1850" s="39" t="s">
        <v>697</v>
      </c>
      <c r="B1850" s="3"/>
      <c r="C1850" s="3"/>
      <c r="D1850" s="3"/>
      <c r="E1850" s="3"/>
      <c r="F1850" s="3"/>
      <c r="J1850" s="494"/>
    </row>
    <row r="1851" spans="1:15" s="123" customFormat="1" x14ac:dyDescent="0.25">
      <c r="A1851" s="161" t="s">
        <v>845</v>
      </c>
      <c r="J1851" s="494"/>
    </row>
    <row r="1852" spans="1:15" s="123" customFormat="1" x14ac:dyDescent="0.25">
      <c r="A1852" s="161" t="s">
        <v>1058</v>
      </c>
      <c r="J1852" s="494"/>
    </row>
    <row r="1853" spans="1:15" s="123" customFormat="1" ht="12.75" customHeight="1" x14ac:dyDescent="0.25">
      <c r="A1853" s="42" t="s">
        <v>1199</v>
      </c>
      <c r="B1853" s="43"/>
      <c r="C1853" s="43"/>
      <c r="D1853" s="43"/>
      <c r="E1853" s="43"/>
      <c r="F1853" s="43"/>
      <c r="G1853" s="181"/>
      <c r="H1853" s="181"/>
      <c r="I1853" s="181"/>
      <c r="J1853" s="495"/>
    </row>
    <row r="1855" spans="1:15" x14ac:dyDescent="0.25">
      <c r="A1855" s="98" t="s">
        <v>14</v>
      </c>
      <c r="B1855" s="66" t="s">
        <v>66</v>
      </c>
      <c r="C1855" s="67" t="s">
        <v>15</v>
      </c>
      <c r="D1855" s="8"/>
      <c r="E1855" s="8"/>
      <c r="F1855" s="8"/>
    </row>
    <row r="1856" spans="1:15" x14ac:dyDescent="0.25">
      <c r="A1856" s="68" t="s">
        <v>16</v>
      </c>
      <c r="B1856" s="69"/>
      <c r="C1856" s="154">
        <v>2020</v>
      </c>
      <c r="D1856" s="154">
        <v>2021</v>
      </c>
      <c r="E1856" s="154">
        <v>2022</v>
      </c>
      <c r="F1856" s="154">
        <v>2023</v>
      </c>
      <c r="G1856" s="154">
        <v>2024</v>
      </c>
      <c r="H1856" s="154">
        <v>2025</v>
      </c>
      <c r="I1856" s="154">
        <v>2026</v>
      </c>
      <c r="J1856" s="154">
        <v>2027</v>
      </c>
      <c r="K1856" s="154">
        <v>2028</v>
      </c>
      <c r="L1856" s="154">
        <v>2029</v>
      </c>
      <c r="M1856" s="154">
        <v>2030</v>
      </c>
      <c r="N1856" s="154">
        <v>2031</v>
      </c>
      <c r="O1856" s="154">
        <v>2032</v>
      </c>
    </row>
    <row r="1857" spans="1:15" x14ac:dyDescent="0.25">
      <c r="A1857" s="68" t="s">
        <v>17</v>
      </c>
      <c r="B1857" s="72"/>
      <c r="C1857" s="12">
        <v>1322.73</v>
      </c>
      <c r="D1857" s="12">
        <v>1301.5663200000001</v>
      </c>
      <c r="E1857" s="12">
        <v>1312.14816</v>
      </c>
      <c r="F1857" s="12">
        <v>1312.14816</v>
      </c>
      <c r="G1857" s="12">
        <v>1312.14816</v>
      </c>
      <c r="H1857" s="12">
        <v>1312.14816</v>
      </c>
      <c r="I1857" s="12">
        <v>1312.14816</v>
      </c>
      <c r="J1857" s="12">
        <v>1312.14816</v>
      </c>
      <c r="K1857" s="12">
        <v>1312.14816</v>
      </c>
      <c r="L1857" s="12">
        <v>1312.14816</v>
      </c>
      <c r="M1857" s="12">
        <v>1312.14816</v>
      </c>
      <c r="N1857" s="12">
        <v>1312.14816</v>
      </c>
      <c r="O1857" s="12">
        <v>1312.14816</v>
      </c>
    </row>
    <row r="1858" spans="1:15" x14ac:dyDescent="0.25">
      <c r="A1858" s="68" t="s">
        <v>18</v>
      </c>
      <c r="B1858" s="72"/>
      <c r="C1858" s="12"/>
      <c r="D1858" s="12"/>
      <c r="E1858" s="12"/>
      <c r="F1858" s="12">
        <f>F1857-137.77</f>
        <v>1174.37816</v>
      </c>
      <c r="G1858" s="12">
        <f t="shared" ref="G1858:O1858" si="78">G1857-137.77</f>
        <v>1174.37816</v>
      </c>
      <c r="H1858" s="12">
        <f>H1857-137.77+F1861</f>
        <v>1173.96632</v>
      </c>
      <c r="I1858" s="12">
        <f t="shared" si="78"/>
        <v>1174.37816</v>
      </c>
      <c r="J1858" s="12">
        <f t="shared" si="78"/>
        <v>1174.37816</v>
      </c>
      <c r="K1858" s="12">
        <f t="shared" si="78"/>
        <v>1174.37816</v>
      </c>
      <c r="L1858" s="12">
        <f t="shared" si="78"/>
        <v>1174.37816</v>
      </c>
      <c r="M1858" s="12">
        <f t="shared" si="78"/>
        <v>1174.37816</v>
      </c>
      <c r="N1858" s="12">
        <f t="shared" si="78"/>
        <v>1174.37816</v>
      </c>
      <c r="O1858" s="12">
        <f t="shared" si="78"/>
        <v>1174.37816</v>
      </c>
    </row>
    <row r="1859" spans="1:15" x14ac:dyDescent="0.25">
      <c r="A1859" s="68" t="s">
        <v>19</v>
      </c>
      <c r="B1859" s="72"/>
      <c r="C1859" s="12"/>
      <c r="D1859" s="496"/>
      <c r="E1859" s="496" t="s">
        <v>531</v>
      </c>
      <c r="F1859" s="496" t="s">
        <v>531</v>
      </c>
      <c r="G1859" s="496" t="s">
        <v>531</v>
      </c>
      <c r="H1859" s="496" t="s">
        <v>1059</v>
      </c>
      <c r="I1859" s="496" t="s">
        <v>531</v>
      </c>
      <c r="J1859" s="496" t="s">
        <v>531</v>
      </c>
      <c r="K1859" s="496" t="s">
        <v>531</v>
      </c>
      <c r="L1859" s="496" t="s">
        <v>531</v>
      </c>
      <c r="M1859" s="496" t="s">
        <v>531</v>
      </c>
      <c r="N1859" s="496" t="s">
        <v>531</v>
      </c>
      <c r="O1859" s="496" t="s">
        <v>531</v>
      </c>
    </row>
    <row r="1860" spans="1:15" x14ac:dyDescent="0.25">
      <c r="A1860" s="68" t="s">
        <v>20</v>
      </c>
      <c r="B1860" s="72"/>
      <c r="C1860" s="12">
        <v>2700.5</v>
      </c>
      <c r="D1860" s="12">
        <v>702.1</v>
      </c>
      <c r="E1860" s="12">
        <v>764.67</v>
      </c>
      <c r="F1860" s="12">
        <v>1174.79</v>
      </c>
      <c r="G1860" s="12">
        <v>581.6</v>
      </c>
      <c r="H1860" s="12"/>
      <c r="I1860" s="12"/>
      <c r="J1860" s="12"/>
      <c r="K1860" s="12"/>
      <c r="L1860" s="12"/>
      <c r="M1860" s="12"/>
      <c r="N1860" s="12"/>
      <c r="O1860" s="12"/>
    </row>
    <row r="1861" spans="1:15" x14ac:dyDescent="0.25">
      <c r="A1861" s="68" t="s">
        <v>21</v>
      </c>
      <c r="B1861" s="101"/>
      <c r="C1861" s="12">
        <f>C1857-C1860</f>
        <v>-1377.77</v>
      </c>
      <c r="D1861" s="12">
        <f>D1857-D1860</f>
        <v>599.46632000000011</v>
      </c>
      <c r="E1861" s="12">
        <f>E1857-E1860</f>
        <v>547.47816</v>
      </c>
      <c r="F1861" s="12">
        <f>F1858-F1860</f>
        <v>-0.41183999999998377</v>
      </c>
      <c r="G1861" s="12">
        <f>G1858-G1860</f>
        <v>592.77815999999996</v>
      </c>
      <c r="H1861" s="12"/>
      <c r="I1861" s="12"/>
      <c r="J1861" s="12"/>
      <c r="K1861" s="12"/>
      <c r="L1861" s="12"/>
      <c r="M1861" s="12"/>
      <c r="N1861" s="12"/>
      <c r="O1861" s="12"/>
    </row>
    <row r="1862" spans="1:15" x14ac:dyDescent="0.25">
      <c r="A1862" s="73" t="s">
        <v>22</v>
      </c>
      <c r="B1862" s="102"/>
      <c r="C1862" s="17">
        <v>2022</v>
      </c>
      <c r="D1862" s="17">
        <v>2023</v>
      </c>
      <c r="E1862" s="17"/>
      <c r="F1862" s="17"/>
      <c r="G1862" s="17"/>
      <c r="H1862" s="17"/>
      <c r="I1862" s="17"/>
      <c r="J1862" s="17"/>
      <c r="K1862" s="17"/>
      <c r="L1862" s="17"/>
      <c r="M1862" s="17"/>
      <c r="N1862" s="17"/>
      <c r="O1862" s="17"/>
    </row>
    <row r="1863" spans="1:15" ht="12.75" customHeight="1" x14ac:dyDescent="0.25">
      <c r="A1863" s="497" t="s">
        <v>564</v>
      </c>
      <c r="B1863" s="498"/>
      <c r="C1863" s="498"/>
      <c r="D1863" s="498"/>
      <c r="E1863" s="498"/>
      <c r="F1863" s="498"/>
      <c r="G1863" s="498"/>
      <c r="H1863" s="498"/>
      <c r="I1863" s="498"/>
      <c r="J1863" s="498"/>
      <c r="K1863" s="498"/>
      <c r="L1863" s="498"/>
      <c r="M1863" s="498"/>
      <c r="N1863" s="498"/>
      <c r="O1863" s="499"/>
    </row>
    <row r="1864" spans="1:15" ht="12.75" customHeight="1" x14ac:dyDescent="0.25">
      <c r="A1864" s="500" t="s">
        <v>933</v>
      </c>
      <c r="B1864" s="501"/>
      <c r="C1864" s="501"/>
      <c r="D1864" s="501"/>
      <c r="E1864" s="501"/>
      <c r="F1864" s="501"/>
      <c r="G1864" s="501"/>
      <c r="H1864" s="501"/>
      <c r="I1864" s="501"/>
      <c r="J1864" s="501"/>
      <c r="K1864" s="501"/>
      <c r="L1864" s="501"/>
      <c r="M1864" s="501"/>
      <c r="N1864" s="501"/>
      <c r="O1864" s="502"/>
    </row>
    <row r="1865" spans="1:15" ht="12.75" customHeight="1" x14ac:dyDescent="0.25">
      <c r="A1865" s="500" t="s">
        <v>1060</v>
      </c>
      <c r="B1865" s="501"/>
      <c r="C1865" s="501"/>
      <c r="D1865" s="501"/>
      <c r="E1865" s="501"/>
      <c r="F1865" s="501"/>
      <c r="G1865" s="501"/>
      <c r="H1865" s="501"/>
      <c r="I1865" s="501"/>
      <c r="J1865" s="501"/>
      <c r="K1865" s="501"/>
      <c r="L1865" s="501"/>
      <c r="M1865" s="501"/>
      <c r="N1865" s="501"/>
      <c r="O1865" s="502"/>
    </row>
    <row r="1866" spans="1:15" x14ac:dyDescent="0.25">
      <c r="A1866" s="42" t="s">
        <v>1201</v>
      </c>
      <c r="B1866" s="34"/>
      <c r="C1866" s="34"/>
      <c r="D1866" s="34"/>
      <c r="E1866" s="34"/>
      <c r="F1866" s="34"/>
      <c r="G1866" s="34"/>
      <c r="H1866" s="34"/>
      <c r="I1866" s="34"/>
      <c r="J1866" s="34"/>
      <c r="K1866" s="34"/>
      <c r="L1866" s="34"/>
      <c r="M1866" s="34"/>
      <c r="N1866" s="34"/>
      <c r="O1866" s="48"/>
    </row>
    <row r="1867" spans="1:15" x14ac:dyDescent="0.25">
      <c r="C1867" s="123"/>
    </row>
    <row r="1868" spans="1:15" x14ac:dyDescent="0.25">
      <c r="A1868" s="6" t="s">
        <v>14</v>
      </c>
      <c r="B1868" s="7" t="s">
        <v>74</v>
      </c>
      <c r="C1868" s="123"/>
    </row>
    <row r="1869" spans="1:15" x14ac:dyDescent="0.25">
      <c r="A1869" s="41" t="s">
        <v>16</v>
      </c>
      <c r="B1869" s="274">
        <v>2024</v>
      </c>
      <c r="C1869" s="493">
        <v>2025</v>
      </c>
    </row>
    <row r="1870" spans="1:15" x14ac:dyDescent="0.25">
      <c r="A1870" s="10" t="s">
        <v>17</v>
      </c>
      <c r="B1870" s="12">
        <v>50.5</v>
      </c>
      <c r="C1870" s="12">
        <v>50.5</v>
      </c>
    </row>
    <row r="1871" spans="1:15" x14ac:dyDescent="0.25">
      <c r="A1871" s="10" t="s">
        <v>18</v>
      </c>
      <c r="B1871" s="12"/>
      <c r="C1871" s="503">
        <f>C1870+B1874</f>
        <v>49.84</v>
      </c>
    </row>
    <row r="1872" spans="1:15" x14ac:dyDescent="0.25">
      <c r="A1872" s="10" t="s">
        <v>19</v>
      </c>
      <c r="B1872" s="156"/>
      <c r="C1872" s="504" t="s">
        <v>399</v>
      </c>
    </row>
    <row r="1873" spans="1:12" x14ac:dyDescent="0.25">
      <c r="A1873" s="10" t="s">
        <v>20</v>
      </c>
      <c r="B1873" s="156">
        <v>51.16</v>
      </c>
      <c r="C1873" s="505"/>
    </row>
    <row r="1874" spans="1:12" x14ac:dyDescent="0.25">
      <c r="A1874" s="10" t="s">
        <v>21</v>
      </c>
      <c r="B1874" s="26">
        <f>B1870-B1873</f>
        <v>-0.65999999999999659</v>
      </c>
      <c r="C1874" s="505"/>
    </row>
    <row r="1875" spans="1:12" x14ac:dyDescent="0.25">
      <c r="A1875" s="16" t="s">
        <v>22</v>
      </c>
      <c r="B1875" s="456"/>
      <c r="C1875" s="505"/>
    </row>
    <row r="1876" spans="1:12" x14ac:dyDescent="0.25">
      <c r="A1876" s="18" t="s">
        <v>179</v>
      </c>
      <c r="B1876" s="19"/>
      <c r="C1876" s="506"/>
    </row>
    <row r="1877" spans="1:12" x14ac:dyDescent="0.25">
      <c r="A1877" s="56" t="s">
        <v>1202</v>
      </c>
      <c r="C1877" s="494"/>
    </row>
    <row r="1878" spans="1:12" x14ac:dyDescent="0.25">
      <c r="A1878" s="41"/>
      <c r="B1878" s="34"/>
      <c r="C1878" s="495"/>
    </row>
    <row r="1880" spans="1:12" x14ac:dyDescent="0.25">
      <c r="A1880" s="6" t="s">
        <v>204</v>
      </c>
      <c r="B1880" s="7" t="s">
        <v>205</v>
      </c>
    </row>
    <row r="1881" spans="1:12" x14ac:dyDescent="0.25">
      <c r="A1881" s="6" t="s">
        <v>203</v>
      </c>
      <c r="B1881" s="7" t="s">
        <v>638</v>
      </c>
      <c r="C1881" s="9" t="s">
        <v>15</v>
      </c>
    </row>
    <row r="1882" spans="1:12" x14ac:dyDescent="0.25">
      <c r="A1882" s="11" t="s">
        <v>16</v>
      </c>
      <c r="B1882" s="11"/>
      <c r="C1882" s="11"/>
      <c r="D1882" s="154">
        <v>2018</v>
      </c>
      <c r="E1882" s="154">
        <v>2019</v>
      </c>
      <c r="F1882" s="154">
        <v>2020</v>
      </c>
      <c r="G1882" s="154">
        <v>2021</v>
      </c>
      <c r="H1882" s="154">
        <v>2022</v>
      </c>
      <c r="I1882" s="154">
        <v>2023</v>
      </c>
      <c r="J1882" s="154">
        <v>2024</v>
      </c>
      <c r="K1882" s="154">
        <v>2025</v>
      </c>
      <c r="L1882" s="154">
        <v>2026</v>
      </c>
    </row>
    <row r="1883" spans="1:12" x14ac:dyDescent="0.25">
      <c r="A1883" s="11" t="s">
        <v>17</v>
      </c>
      <c r="B1883" s="12"/>
      <c r="C1883" s="12"/>
      <c r="D1883" s="12">
        <v>4400</v>
      </c>
      <c r="E1883" s="12">
        <v>4400</v>
      </c>
      <c r="F1883" s="12">
        <v>4400</v>
      </c>
      <c r="G1883" s="12">
        <v>4400</v>
      </c>
      <c r="H1883" s="12">
        <v>4400</v>
      </c>
      <c r="I1883" s="12">
        <v>5280</v>
      </c>
      <c r="J1883" s="12">
        <v>5280</v>
      </c>
      <c r="K1883" s="12">
        <v>5280</v>
      </c>
      <c r="L1883" s="12">
        <v>5280</v>
      </c>
    </row>
    <row r="1884" spans="1:12" x14ac:dyDescent="0.25">
      <c r="A1884" s="11" t="s">
        <v>18</v>
      </c>
      <c r="B1884" s="12"/>
      <c r="C1884" s="12"/>
      <c r="D1884" s="12">
        <v>5500</v>
      </c>
      <c r="E1884" s="12">
        <f>E1883*1.25-900</f>
        <v>4600</v>
      </c>
      <c r="F1884" s="12">
        <f>F1883*1.25-600</f>
        <v>4900</v>
      </c>
      <c r="G1884" s="12">
        <f>G1883+E1887</f>
        <v>4597.134</v>
      </c>
      <c r="H1884" s="12">
        <f>H1883+F1887</f>
        <v>5274.0761000000002</v>
      </c>
      <c r="I1884" s="12">
        <f>I1883+G1887-100</f>
        <v>5854.6139999999996</v>
      </c>
      <c r="J1884" s="12">
        <f>J1883+0-100</f>
        <v>5180</v>
      </c>
      <c r="K1884" s="12">
        <f>1.25*I1883-100</f>
        <v>6500</v>
      </c>
      <c r="L1884" s="12">
        <v>5477.7</v>
      </c>
    </row>
    <row r="1885" spans="1:12" x14ac:dyDescent="0.25">
      <c r="A1885" s="10" t="s">
        <v>19</v>
      </c>
      <c r="B1885" s="284"/>
      <c r="C1885" s="12"/>
      <c r="D1885" s="12"/>
      <c r="E1885" s="12"/>
      <c r="F1885" s="12"/>
      <c r="G1885" s="12"/>
      <c r="H1885" s="12"/>
      <c r="I1885" s="12"/>
      <c r="J1885" s="12"/>
      <c r="K1885" s="12"/>
      <c r="L1885" s="12"/>
    </row>
    <row r="1886" spans="1:12" x14ac:dyDescent="0.25">
      <c r="A1886" s="10" t="s">
        <v>20</v>
      </c>
      <c r="B1886" s="12"/>
      <c r="C1886" s="12"/>
      <c r="D1886" s="12">
        <v>2572.5</v>
      </c>
      <c r="E1886" s="12">
        <v>4402.866</v>
      </c>
      <c r="F1886" s="12">
        <v>4025.9238999999998</v>
      </c>
      <c r="G1886" s="12">
        <v>3922.52</v>
      </c>
      <c r="H1886" s="12">
        <v>5586.99</v>
      </c>
      <c r="I1886" s="12">
        <v>2670.4437000000003</v>
      </c>
      <c r="J1886" s="12">
        <v>4882.3</v>
      </c>
      <c r="K1886" s="12"/>
      <c r="L1886" s="12"/>
    </row>
    <row r="1887" spans="1:12" x14ac:dyDescent="0.25">
      <c r="A1887" s="10" t="s">
        <v>21</v>
      </c>
      <c r="B1887" s="12"/>
      <c r="C1887" s="12"/>
      <c r="D1887" s="12">
        <f t="shared" ref="D1887:J1887" si="79">D1884-D1886</f>
        <v>2927.5</v>
      </c>
      <c r="E1887" s="12">
        <f t="shared" si="79"/>
        <v>197.13400000000001</v>
      </c>
      <c r="F1887" s="12">
        <f t="shared" si="79"/>
        <v>874.07610000000022</v>
      </c>
      <c r="G1887" s="12">
        <f t="shared" si="79"/>
        <v>674.61400000000003</v>
      </c>
      <c r="H1887" s="12">
        <f t="shared" si="79"/>
        <v>-312.91389999999956</v>
      </c>
      <c r="I1887" s="12">
        <f t="shared" si="79"/>
        <v>3184.1702999999993</v>
      </c>
      <c r="J1887" s="12">
        <f t="shared" si="79"/>
        <v>297.69999999999982</v>
      </c>
      <c r="K1887" s="12"/>
      <c r="L1887" s="12"/>
    </row>
    <row r="1888" spans="1:12" x14ac:dyDescent="0.25">
      <c r="A1888" s="16" t="s">
        <v>22</v>
      </c>
      <c r="B1888" s="17"/>
      <c r="C1888" s="17"/>
      <c r="D1888" s="159">
        <v>2020</v>
      </c>
      <c r="E1888" s="159">
        <v>2021</v>
      </c>
      <c r="F1888" s="159">
        <v>2022</v>
      </c>
      <c r="G1888" s="159">
        <v>2023</v>
      </c>
      <c r="H1888" s="159">
        <v>2024</v>
      </c>
      <c r="I1888" s="159">
        <v>2025</v>
      </c>
      <c r="J1888" s="159">
        <v>2026</v>
      </c>
      <c r="K1888" s="159">
        <v>2027</v>
      </c>
      <c r="L1888" s="159">
        <v>2027</v>
      </c>
    </row>
    <row r="1889" spans="1:12" x14ac:dyDescent="0.25">
      <c r="A1889" s="16" t="s">
        <v>23</v>
      </c>
      <c r="B1889" s="46"/>
      <c r="C1889" s="46"/>
      <c r="D1889" s="178"/>
      <c r="E1889" s="178"/>
      <c r="F1889" s="178"/>
      <c r="G1889" s="179"/>
      <c r="H1889" s="179"/>
      <c r="I1889" s="179"/>
      <c r="J1889" s="179"/>
      <c r="K1889" s="179"/>
      <c r="L1889" s="179"/>
    </row>
    <row r="1890" spans="1:12" x14ac:dyDescent="0.25">
      <c r="A1890" s="18" t="s">
        <v>115</v>
      </c>
      <c r="B1890" s="19"/>
      <c r="C1890" s="19"/>
      <c r="D1890" s="19"/>
      <c r="E1890" s="19"/>
      <c r="F1890" s="19"/>
      <c r="G1890" s="19"/>
      <c r="H1890" s="19"/>
      <c r="I1890" s="19"/>
      <c r="J1890" s="19"/>
      <c r="K1890" s="19"/>
      <c r="L1890" s="63"/>
    </row>
    <row r="1891" spans="1:12" x14ac:dyDescent="0.25">
      <c r="A1891" s="39" t="s">
        <v>326</v>
      </c>
      <c r="L1891" s="64"/>
    </row>
    <row r="1892" spans="1:12" x14ac:dyDescent="0.25">
      <c r="A1892" s="39" t="s">
        <v>327</v>
      </c>
      <c r="L1892" s="64"/>
    </row>
    <row r="1893" spans="1:12" x14ac:dyDescent="0.25">
      <c r="A1893" s="39" t="s">
        <v>466</v>
      </c>
      <c r="L1893" s="64"/>
    </row>
    <row r="1894" spans="1:12" x14ac:dyDescent="0.25">
      <c r="A1894" s="39" t="s">
        <v>905</v>
      </c>
      <c r="L1894" s="64"/>
    </row>
    <row r="1895" spans="1:12" x14ac:dyDescent="0.25">
      <c r="A1895" s="39" t="s">
        <v>817</v>
      </c>
      <c r="L1895" s="64"/>
    </row>
    <row r="1896" spans="1:12" x14ac:dyDescent="0.25">
      <c r="A1896" s="39" t="s">
        <v>1061</v>
      </c>
      <c r="L1896" s="64"/>
    </row>
    <row r="1897" spans="1:12" x14ac:dyDescent="0.25">
      <c r="A1897" s="39" t="s">
        <v>1062</v>
      </c>
      <c r="L1897" s="64"/>
    </row>
    <row r="1898" spans="1:12" x14ac:dyDescent="0.25">
      <c r="A1898" s="42" t="s">
        <v>1203</v>
      </c>
      <c r="B1898" s="34"/>
      <c r="C1898" s="34"/>
      <c r="D1898" s="34"/>
      <c r="E1898" s="34"/>
      <c r="F1898" s="34"/>
      <c r="G1898" s="34"/>
      <c r="H1898" s="34"/>
      <c r="I1898" s="34"/>
      <c r="J1898" s="34"/>
      <c r="K1898" s="34"/>
      <c r="L1898" s="48"/>
    </row>
    <row r="1900" spans="1:12" x14ac:dyDescent="0.25">
      <c r="A1900" s="6" t="s">
        <v>203</v>
      </c>
      <c r="B1900" s="7" t="s">
        <v>641</v>
      </c>
      <c r="C1900" s="9" t="s">
        <v>15</v>
      </c>
    </row>
    <row r="1901" spans="1:12" x14ac:dyDescent="0.25">
      <c r="A1901" s="11" t="s">
        <v>16</v>
      </c>
      <c r="B1901" s="11"/>
      <c r="C1901" s="154">
        <v>2016</v>
      </c>
      <c r="D1901" s="154">
        <v>2017</v>
      </c>
      <c r="E1901" s="154">
        <v>2018</v>
      </c>
      <c r="F1901" s="154">
        <v>2019</v>
      </c>
      <c r="G1901" s="154">
        <v>2020</v>
      </c>
      <c r="H1901" s="154">
        <v>2021</v>
      </c>
      <c r="I1901" s="154">
        <v>2022</v>
      </c>
      <c r="J1901" s="154">
        <v>2023</v>
      </c>
      <c r="K1901" s="154">
        <v>2024</v>
      </c>
    </row>
    <row r="1902" spans="1:12" x14ac:dyDescent="0.25">
      <c r="A1902" s="11" t="s">
        <v>17</v>
      </c>
      <c r="B1902" s="12"/>
      <c r="C1902" s="12">
        <v>1001</v>
      </c>
      <c r="D1902" s="12">
        <v>1001</v>
      </c>
      <c r="E1902" s="12">
        <v>1001</v>
      </c>
      <c r="F1902" s="12">
        <v>1001</v>
      </c>
      <c r="G1902" s="12">
        <v>1001</v>
      </c>
      <c r="H1902" s="12">
        <v>1001</v>
      </c>
      <c r="I1902" s="12">
        <v>1001</v>
      </c>
      <c r="J1902" s="12">
        <v>1001</v>
      </c>
      <c r="K1902" s="12">
        <v>1001</v>
      </c>
    </row>
    <row r="1903" spans="1:12" x14ac:dyDescent="0.25">
      <c r="A1903" s="11" t="s">
        <v>18</v>
      </c>
      <c r="B1903" s="12"/>
      <c r="C1903" s="12">
        <f>C1902*1.3-50</f>
        <v>1251.3</v>
      </c>
      <c r="D1903" s="12">
        <f>D1902*1.3-50</f>
        <v>1251.3</v>
      </c>
      <c r="E1903" s="12">
        <f>E1902*1.2-50</f>
        <v>1151.2</v>
      </c>
      <c r="F1903" s="12">
        <f>F1902*1.2-50</f>
        <v>1151.2</v>
      </c>
      <c r="G1903" s="12">
        <f>G1902*1.2-50</f>
        <v>1151.2</v>
      </c>
      <c r="H1903" s="12">
        <f>H1902*1.2-50</f>
        <v>1151.2</v>
      </c>
      <c r="I1903" s="12">
        <f>I1902*1.2-50</f>
        <v>1151.2</v>
      </c>
      <c r="J1903" s="12">
        <f>J1902*1.1-50</f>
        <v>1051.1000000000001</v>
      </c>
      <c r="K1903" s="12">
        <f>K1902*1.1-50</f>
        <v>1051.1000000000001</v>
      </c>
    </row>
    <row r="1904" spans="1:12" x14ac:dyDescent="0.25">
      <c r="A1904" s="10" t="s">
        <v>19</v>
      </c>
      <c r="B1904" s="284"/>
      <c r="C1904" s="480" t="s">
        <v>467</v>
      </c>
      <c r="D1904" s="480" t="s">
        <v>467</v>
      </c>
      <c r="E1904" s="480" t="s">
        <v>468</v>
      </c>
      <c r="F1904" s="480" t="s">
        <v>468</v>
      </c>
      <c r="G1904" s="480" t="s">
        <v>468</v>
      </c>
      <c r="H1904" s="480" t="s">
        <v>468</v>
      </c>
      <c r="I1904" s="480" t="s">
        <v>468</v>
      </c>
      <c r="J1904" s="480" t="s">
        <v>1063</v>
      </c>
      <c r="K1904" s="480" t="s">
        <v>1063</v>
      </c>
    </row>
    <row r="1905" spans="1:12" x14ac:dyDescent="0.25">
      <c r="A1905" s="10" t="s">
        <v>20</v>
      </c>
      <c r="B1905" s="12"/>
      <c r="C1905" s="12">
        <v>124.4</v>
      </c>
      <c r="D1905" s="12">
        <v>159</v>
      </c>
      <c r="E1905" s="12">
        <v>188.7</v>
      </c>
      <c r="F1905" s="12">
        <v>288.56359999999995</v>
      </c>
      <c r="G1905" s="12">
        <v>149.46553</v>
      </c>
      <c r="H1905" s="11">
        <v>228.99</v>
      </c>
      <c r="I1905" s="11">
        <v>160.58000000000001</v>
      </c>
      <c r="J1905" s="11">
        <v>291.24200000000002</v>
      </c>
      <c r="K1905" s="11">
        <v>291.10000000000002</v>
      </c>
    </row>
    <row r="1906" spans="1:12" x14ac:dyDescent="0.25">
      <c r="A1906" s="10" t="s">
        <v>21</v>
      </c>
      <c r="B1906" s="12"/>
      <c r="C1906" s="12">
        <f t="shared" ref="C1906:K1906" si="80">C1903-C1905</f>
        <v>1126.8999999999999</v>
      </c>
      <c r="D1906" s="12">
        <f t="shared" si="80"/>
        <v>1092.3</v>
      </c>
      <c r="E1906" s="12">
        <f t="shared" si="80"/>
        <v>962.5</v>
      </c>
      <c r="F1906" s="12">
        <f t="shared" si="80"/>
        <v>862.63640000000009</v>
      </c>
      <c r="G1906" s="12">
        <f t="shared" si="80"/>
        <v>1001.7344700000001</v>
      </c>
      <c r="H1906" s="12">
        <f t="shared" si="80"/>
        <v>922.21</v>
      </c>
      <c r="I1906" s="12">
        <f t="shared" si="80"/>
        <v>990.62</v>
      </c>
      <c r="J1906" s="12">
        <f t="shared" si="80"/>
        <v>759.85800000000017</v>
      </c>
      <c r="K1906" s="12">
        <f t="shared" si="80"/>
        <v>760.00000000000011</v>
      </c>
    </row>
    <row r="1907" spans="1:12" x14ac:dyDescent="0.25">
      <c r="A1907" s="16" t="s">
        <v>22</v>
      </c>
      <c r="B1907" s="17"/>
      <c r="C1907" s="159">
        <v>2018</v>
      </c>
      <c r="D1907" s="159">
        <v>2019</v>
      </c>
      <c r="E1907" s="159">
        <v>2020</v>
      </c>
      <c r="F1907" s="159">
        <v>2021</v>
      </c>
      <c r="G1907" s="159">
        <v>2022</v>
      </c>
      <c r="H1907" s="159">
        <v>2023</v>
      </c>
      <c r="I1907" s="159">
        <v>2024</v>
      </c>
      <c r="J1907" s="159">
        <v>2025</v>
      </c>
      <c r="K1907" s="159">
        <v>2026</v>
      </c>
    </row>
    <row r="1908" spans="1:12" x14ac:dyDescent="0.25">
      <c r="A1908" s="17" t="s">
        <v>23</v>
      </c>
      <c r="B1908" s="16"/>
      <c r="C1908" s="46"/>
      <c r="D1908" s="46"/>
      <c r="E1908" s="46"/>
      <c r="F1908" s="46"/>
      <c r="G1908" s="46"/>
      <c r="H1908" s="47"/>
      <c r="I1908" s="47"/>
      <c r="J1908" s="47"/>
      <c r="K1908" s="47"/>
    </row>
    <row r="1909" spans="1:12" x14ac:dyDescent="0.25">
      <c r="A1909" s="76" t="s">
        <v>455</v>
      </c>
      <c r="B1909" s="77"/>
      <c r="C1909" s="77"/>
      <c r="D1909" s="77"/>
      <c r="E1909" s="77"/>
      <c r="F1909" s="75"/>
      <c r="G1909" s="75"/>
      <c r="H1909" s="46"/>
      <c r="I1909" s="46"/>
      <c r="J1909" s="47"/>
      <c r="K1909" s="47"/>
    </row>
    <row r="1910" spans="1:12" x14ac:dyDescent="0.25">
      <c r="A1910" s="39" t="s">
        <v>454</v>
      </c>
      <c r="J1910" s="64"/>
      <c r="K1910" s="64"/>
    </row>
    <row r="1911" spans="1:12" x14ac:dyDescent="0.25">
      <c r="A1911" s="39" t="s">
        <v>834</v>
      </c>
      <c r="J1911" s="64"/>
      <c r="K1911" s="64"/>
    </row>
    <row r="1912" spans="1:12" x14ac:dyDescent="0.25">
      <c r="A1912" s="41" t="s">
        <v>1204</v>
      </c>
      <c r="B1912" s="34"/>
      <c r="C1912" s="34"/>
      <c r="D1912" s="34"/>
      <c r="E1912" s="34"/>
      <c r="F1912" s="34"/>
      <c r="G1912" s="34"/>
      <c r="H1912" s="34"/>
      <c r="I1912" s="34"/>
      <c r="J1912" s="48"/>
      <c r="K1912" s="48"/>
    </row>
    <row r="1915" spans="1:12" x14ac:dyDescent="0.25">
      <c r="A1915" s="6" t="s">
        <v>12</v>
      </c>
      <c r="B1915" s="7" t="s">
        <v>13</v>
      </c>
    </row>
    <row r="1916" spans="1:12" x14ac:dyDescent="0.25">
      <c r="A1916" s="6" t="s">
        <v>14</v>
      </c>
      <c r="B1916" s="7" t="s">
        <v>642</v>
      </c>
      <c r="C1916" s="9" t="s">
        <v>15</v>
      </c>
    </row>
    <row r="1917" spans="1:12" x14ac:dyDescent="0.25">
      <c r="A1917" s="10" t="s">
        <v>16</v>
      </c>
      <c r="B1917" s="11"/>
      <c r="C1917" s="507">
        <v>2016</v>
      </c>
      <c r="D1917" s="508">
        <v>2017</v>
      </c>
      <c r="E1917" s="507">
        <v>2018</v>
      </c>
      <c r="F1917" s="509">
        <v>2019</v>
      </c>
      <c r="G1917" s="509">
        <v>2020</v>
      </c>
      <c r="H1917" s="509">
        <v>2021</v>
      </c>
      <c r="I1917" s="509">
        <v>2022</v>
      </c>
      <c r="J1917" s="509">
        <v>2023</v>
      </c>
      <c r="K1917" s="509">
        <v>2024</v>
      </c>
      <c r="L1917" s="509">
        <v>2025</v>
      </c>
    </row>
    <row r="1918" spans="1:12" x14ac:dyDescent="0.25">
      <c r="A1918" s="10" t="s">
        <v>17</v>
      </c>
      <c r="B1918" s="11"/>
      <c r="C1918" s="12">
        <v>47.4</v>
      </c>
      <c r="D1918" s="188">
        <v>56.91</v>
      </c>
      <c r="E1918" s="12">
        <v>66</v>
      </c>
      <c r="F1918" s="189">
        <v>73</v>
      </c>
      <c r="G1918" s="189">
        <v>80</v>
      </c>
      <c r="H1918" s="189">
        <v>80</v>
      </c>
      <c r="I1918" s="189">
        <v>80</v>
      </c>
      <c r="J1918" s="189">
        <v>129</v>
      </c>
      <c r="K1918" s="189">
        <v>129</v>
      </c>
      <c r="L1918" s="189">
        <v>129</v>
      </c>
    </row>
    <row r="1919" spans="1:12" x14ac:dyDescent="0.25">
      <c r="A1919" s="10" t="s">
        <v>18</v>
      </c>
      <c r="B1919" s="11"/>
      <c r="C1919" s="12">
        <v>47.4</v>
      </c>
      <c r="D1919" s="188">
        <v>56.91</v>
      </c>
      <c r="E1919" s="12">
        <v>66</v>
      </c>
      <c r="F1919" s="189">
        <v>73</v>
      </c>
      <c r="G1919" s="189">
        <v>80</v>
      </c>
      <c r="H1919" s="189">
        <v>0.8</v>
      </c>
      <c r="I1919" s="189">
        <v>80</v>
      </c>
      <c r="J1919" s="189">
        <v>1</v>
      </c>
      <c r="K1919" s="189">
        <v>1</v>
      </c>
      <c r="L1919" s="189">
        <v>1</v>
      </c>
    </row>
    <row r="1920" spans="1:12" x14ac:dyDescent="0.25">
      <c r="A1920" s="10" t="s">
        <v>19</v>
      </c>
      <c r="B1920" s="11"/>
      <c r="C1920" s="12"/>
      <c r="D1920" s="188"/>
      <c r="E1920" s="12"/>
      <c r="F1920" s="189"/>
      <c r="G1920" s="189"/>
      <c r="H1920" s="510" t="s">
        <v>543</v>
      </c>
      <c r="I1920" s="510"/>
      <c r="J1920" s="510" t="s">
        <v>544</v>
      </c>
      <c r="K1920" s="510" t="s">
        <v>545</v>
      </c>
      <c r="L1920" s="510" t="s">
        <v>548</v>
      </c>
    </row>
    <row r="1921" spans="1:13" x14ac:dyDescent="0.25">
      <c r="A1921" s="10" t="s">
        <v>20</v>
      </c>
      <c r="B1921" s="11"/>
      <c r="C1921" s="12">
        <v>47.393000000000001</v>
      </c>
      <c r="D1921" s="188">
        <v>56.905999999999999</v>
      </c>
      <c r="E1921" s="12">
        <v>66</v>
      </c>
      <c r="F1921" s="189">
        <v>71.97</v>
      </c>
      <c r="G1921" s="189">
        <v>79.2</v>
      </c>
      <c r="H1921" s="189"/>
      <c r="I1921" s="189">
        <v>79.2</v>
      </c>
      <c r="J1921" s="189"/>
      <c r="K1921" s="189">
        <v>0</v>
      </c>
      <c r="L1921" s="189"/>
    </row>
    <row r="1922" spans="1:13" x14ac:dyDescent="0.25">
      <c r="A1922" s="10" t="s">
        <v>21</v>
      </c>
      <c r="B1922" s="11"/>
      <c r="C1922" s="12">
        <f>C1919-C1921</f>
        <v>6.9999999999978968E-3</v>
      </c>
      <c r="D1922" s="12">
        <f>D1919-D1921</f>
        <v>3.9999999999977831E-3</v>
      </c>
      <c r="E1922" s="12">
        <f>E1919-E1921</f>
        <v>0</v>
      </c>
      <c r="F1922" s="12">
        <f>F1919-F1921</f>
        <v>1.0300000000000011</v>
      </c>
      <c r="G1922" s="189">
        <f>G1919-G1921</f>
        <v>0.79999999999999716</v>
      </c>
      <c r="H1922" s="189"/>
      <c r="I1922" s="189">
        <v>0.79999999999999716</v>
      </c>
      <c r="J1922" s="189">
        <v>0</v>
      </c>
      <c r="K1922" s="189">
        <f>K1919-K1921</f>
        <v>1</v>
      </c>
      <c r="L1922" s="189"/>
    </row>
    <row r="1923" spans="1:13" x14ac:dyDescent="0.25">
      <c r="A1923" s="16" t="s">
        <v>22</v>
      </c>
      <c r="B1923" s="17"/>
      <c r="C1923" s="17"/>
      <c r="D1923" s="46"/>
      <c r="E1923" s="17"/>
      <c r="F1923" s="47"/>
      <c r="G1923" s="17"/>
      <c r="H1923" s="17"/>
      <c r="I1923" s="17"/>
      <c r="J1923" s="17"/>
      <c r="K1923" s="17">
        <v>2025</v>
      </c>
      <c r="L1923" s="17">
        <v>2026</v>
      </c>
    </row>
    <row r="1924" spans="1:13" x14ac:dyDescent="0.25">
      <c r="A1924" s="16" t="s">
        <v>23</v>
      </c>
      <c r="B1924" s="46"/>
      <c r="C1924" s="46"/>
      <c r="D1924" s="46"/>
      <c r="E1924" s="46"/>
      <c r="F1924" s="46"/>
      <c r="G1924" s="46"/>
      <c r="H1924" s="46"/>
      <c r="I1924" s="47"/>
      <c r="J1924" s="47"/>
      <c r="K1924" s="47"/>
    </row>
    <row r="1925" spans="1:13" x14ac:dyDescent="0.25">
      <c r="A1925" s="16" t="s">
        <v>953</v>
      </c>
      <c r="B1925" s="46"/>
      <c r="C1925" s="46"/>
      <c r="D1925" s="46"/>
      <c r="E1925" s="46"/>
      <c r="F1925" s="46"/>
      <c r="G1925" s="46"/>
      <c r="H1925" s="46"/>
      <c r="I1925" s="46"/>
      <c r="J1925" s="46"/>
      <c r="K1925" s="47"/>
    </row>
    <row r="1926" spans="1:13" x14ac:dyDescent="0.25">
      <c r="A1926" s="39" t="s">
        <v>954</v>
      </c>
      <c r="K1926" s="64"/>
    </row>
    <row r="1927" spans="1:13" x14ac:dyDescent="0.25">
      <c r="A1927" s="41" t="s">
        <v>955</v>
      </c>
      <c r="B1927" s="34"/>
      <c r="C1927" s="34"/>
      <c r="D1927" s="34"/>
      <c r="E1927" s="34"/>
      <c r="F1927" s="34"/>
      <c r="G1927" s="34"/>
      <c r="H1927" s="34"/>
      <c r="I1927" s="34"/>
      <c r="J1927" s="34"/>
      <c r="K1927" s="48"/>
    </row>
    <row r="1930" spans="1:13" x14ac:dyDescent="0.25">
      <c r="A1930" s="6" t="s">
        <v>12</v>
      </c>
      <c r="B1930" s="7" t="s">
        <v>172</v>
      </c>
    </row>
    <row r="1931" spans="1:13" x14ac:dyDescent="0.25">
      <c r="A1931" s="6" t="s">
        <v>14</v>
      </c>
      <c r="B1931" s="511" t="s">
        <v>623</v>
      </c>
      <c r="C1931" s="512" t="s">
        <v>15</v>
      </c>
    </row>
    <row r="1932" spans="1:13" x14ac:dyDescent="0.25">
      <c r="A1932" s="10" t="s">
        <v>16</v>
      </c>
      <c r="B1932" s="11"/>
      <c r="C1932" s="11"/>
      <c r="D1932" s="11"/>
      <c r="E1932" s="11"/>
      <c r="F1932" s="154">
        <v>2018</v>
      </c>
      <c r="G1932" s="154">
        <v>2019</v>
      </c>
      <c r="H1932" s="154">
        <v>2020</v>
      </c>
      <c r="I1932" s="154">
        <v>2021</v>
      </c>
      <c r="J1932" s="154">
        <v>2022</v>
      </c>
      <c r="K1932" s="154">
        <v>2023</v>
      </c>
      <c r="L1932" s="154">
        <v>2024</v>
      </c>
      <c r="M1932" s="154">
        <v>2025</v>
      </c>
    </row>
    <row r="1933" spans="1:13" x14ac:dyDescent="0.25">
      <c r="A1933" s="10" t="s">
        <v>17</v>
      </c>
      <c r="B1933" s="11"/>
      <c r="C1933" s="12"/>
      <c r="D1933" s="12"/>
      <c r="E1933" s="12"/>
      <c r="F1933" s="12">
        <v>125</v>
      </c>
      <c r="G1933" s="12">
        <v>125</v>
      </c>
      <c r="H1933" s="12">
        <v>125</v>
      </c>
      <c r="I1933" s="12">
        <v>125</v>
      </c>
      <c r="J1933" s="12">
        <v>125</v>
      </c>
      <c r="K1933" s="12">
        <v>125</v>
      </c>
      <c r="L1933" s="12">
        <v>125</v>
      </c>
      <c r="M1933" s="12">
        <v>125</v>
      </c>
    </row>
    <row r="1934" spans="1:13" x14ac:dyDescent="0.25">
      <c r="A1934" s="10" t="s">
        <v>18</v>
      </c>
      <c r="B1934" s="11"/>
      <c r="C1934" s="12"/>
      <c r="D1934" s="12"/>
      <c r="E1934" s="12"/>
      <c r="F1934" s="12">
        <v>100</v>
      </c>
      <c r="G1934" s="12">
        <v>100</v>
      </c>
      <c r="H1934" s="12">
        <f>H1933*1.4-100</f>
        <v>75</v>
      </c>
      <c r="I1934" s="12">
        <v>75</v>
      </c>
      <c r="J1934" s="12">
        <v>75</v>
      </c>
      <c r="K1934" s="12">
        <v>75</v>
      </c>
      <c r="L1934" s="12">
        <v>75</v>
      </c>
      <c r="M1934" s="12">
        <v>75</v>
      </c>
    </row>
    <row r="1935" spans="1:13" x14ac:dyDescent="0.25">
      <c r="A1935" s="10" t="s">
        <v>19</v>
      </c>
      <c r="B1935" s="11"/>
      <c r="C1935" s="12"/>
      <c r="D1935" s="12"/>
      <c r="E1935" s="12"/>
      <c r="F1935" s="12">
        <f>F1933*1.4-(75)</f>
        <v>100</v>
      </c>
      <c r="G1935" s="12">
        <f>G1933*1.4-(75)</f>
        <v>100</v>
      </c>
      <c r="H1935" s="12">
        <v>75</v>
      </c>
      <c r="I1935" s="12">
        <v>75</v>
      </c>
      <c r="J1935" s="12">
        <v>75</v>
      </c>
      <c r="K1935" s="12">
        <v>75</v>
      </c>
      <c r="L1935" s="12">
        <f>L1933+0.4*K1933-75-25</f>
        <v>75</v>
      </c>
      <c r="M1935" s="12"/>
    </row>
    <row r="1936" spans="1:13" x14ac:dyDescent="0.25">
      <c r="A1936" s="10" t="s">
        <v>20</v>
      </c>
      <c r="B1936" s="11"/>
      <c r="C1936" s="12"/>
      <c r="D1936" s="12"/>
      <c r="E1936" s="12"/>
      <c r="F1936" s="12">
        <v>3</v>
      </c>
      <c r="G1936" s="12">
        <v>5.91</v>
      </c>
      <c r="H1936" s="12">
        <v>7.76</v>
      </c>
      <c r="I1936" s="12">
        <v>6.2</v>
      </c>
      <c r="J1936" s="12">
        <v>6.06</v>
      </c>
      <c r="K1936" s="12">
        <v>0.95</v>
      </c>
      <c r="L1936" s="15">
        <v>4.09</v>
      </c>
      <c r="M1936" s="15"/>
    </row>
    <row r="1937" spans="1:13" x14ac:dyDescent="0.25">
      <c r="A1937" s="10" t="s">
        <v>21</v>
      </c>
      <c r="B1937" s="11"/>
      <c r="C1937" s="12"/>
      <c r="D1937" s="12"/>
      <c r="E1937" s="12"/>
      <c r="F1937" s="12">
        <f>F1934-F1936</f>
        <v>97</v>
      </c>
      <c r="G1937" s="12">
        <f>G1934-G1936</f>
        <v>94.09</v>
      </c>
      <c r="H1937" s="12">
        <v>67.239999999999995</v>
      </c>
      <c r="I1937" s="12">
        <f>I1934-I1936</f>
        <v>68.8</v>
      </c>
      <c r="J1937" s="12">
        <f>J1934-J1936</f>
        <v>68.94</v>
      </c>
      <c r="K1937" s="12">
        <f>K1934-K1936</f>
        <v>74.05</v>
      </c>
      <c r="L1937" s="12">
        <f>L1934-L1936</f>
        <v>70.91</v>
      </c>
      <c r="M1937" s="12"/>
    </row>
    <row r="1938" spans="1:13" x14ac:dyDescent="0.25">
      <c r="A1938" s="16" t="s">
        <v>22</v>
      </c>
      <c r="B1938" s="17"/>
      <c r="C1938" s="17"/>
      <c r="D1938" s="17"/>
      <c r="E1938" s="17"/>
      <c r="F1938" s="159">
        <v>2019</v>
      </c>
      <c r="G1938" s="159">
        <v>2020</v>
      </c>
      <c r="H1938" s="159">
        <v>2021</v>
      </c>
      <c r="I1938" s="159">
        <v>2022</v>
      </c>
      <c r="J1938" s="159">
        <v>2023</v>
      </c>
      <c r="K1938" s="159">
        <v>2024</v>
      </c>
      <c r="L1938" s="159">
        <v>2025</v>
      </c>
      <c r="M1938" s="159">
        <v>2026</v>
      </c>
    </row>
    <row r="1939" spans="1:13" ht="25.95" customHeight="1" x14ac:dyDescent="0.25">
      <c r="A1939" s="160" t="s">
        <v>662</v>
      </c>
      <c r="B1939" s="585"/>
      <c r="C1939" s="585"/>
      <c r="D1939" s="585"/>
      <c r="E1939" s="585"/>
      <c r="F1939" s="585"/>
      <c r="G1939" s="585"/>
      <c r="H1939" s="585"/>
      <c r="I1939" s="585"/>
      <c r="J1939" s="19"/>
      <c r="K1939" s="19"/>
      <c r="L1939" s="19"/>
      <c r="M1939" s="63"/>
    </row>
    <row r="1940" spans="1:13" ht="34.200000000000003" customHeight="1" x14ac:dyDescent="0.25">
      <c r="A1940" s="161" t="s">
        <v>260</v>
      </c>
      <c r="B1940" s="4"/>
      <c r="C1940" s="4"/>
      <c r="D1940" s="4"/>
      <c r="E1940" s="4"/>
      <c r="F1940" s="4"/>
      <c r="G1940" s="4"/>
      <c r="H1940" s="4"/>
      <c r="I1940" s="4"/>
      <c r="M1940" s="64"/>
    </row>
    <row r="1941" spans="1:13" ht="27.6" customHeight="1" x14ac:dyDescent="0.25">
      <c r="A1941" s="161" t="s">
        <v>521</v>
      </c>
      <c r="B1941" s="4"/>
      <c r="C1941" s="4"/>
      <c r="D1941" s="4"/>
      <c r="E1941" s="4"/>
      <c r="F1941" s="4"/>
      <c r="G1941" s="4"/>
      <c r="H1941" s="4"/>
      <c r="I1941" s="4"/>
      <c r="M1941" s="64"/>
    </row>
    <row r="1942" spans="1:13" ht="27.6" customHeight="1" x14ac:dyDescent="0.25">
      <c r="A1942" s="161" t="s">
        <v>522</v>
      </c>
      <c r="B1942" s="4"/>
      <c r="C1942" s="4"/>
      <c r="D1942" s="4"/>
      <c r="E1942" s="4"/>
      <c r="F1942" s="4"/>
      <c r="G1942" s="4"/>
      <c r="H1942" s="4"/>
      <c r="I1942" s="4"/>
      <c r="M1942" s="64"/>
    </row>
    <row r="1943" spans="1:13" ht="27.6" customHeight="1" x14ac:dyDescent="0.25">
      <c r="A1943" s="161" t="s">
        <v>661</v>
      </c>
      <c r="M1943" s="64"/>
    </row>
    <row r="1944" spans="1:13" ht="27.6" customHeight="1" x14ac:dyDescent="0.25">
      <c r="A1944" s="161" t="s">
        <v>846</v>
      </c>
      <c r="M1944" s="64"/>
    </row>
    <row r="1945" spans="1:13" ht="30" customHeight="1" x14ac:dyDescent="0.25">
      <c r="A1945" s="245" t="s">
        <v>1066</v>
      </c>
      <c r="B1945" s="34"/>
      <c r="C1945" s="34"/>
      <c r="D1945" s="34"/>
      <c r="E1945" s="34"/>
      <c r="F1945" s="34"/>
      <c r="G1945" s="34"/>
      <c r="H1945" s="34"/>
      <c r="I1945" s="34"/>
      <c r="J1945" s="34"/>
      <c r="K1945" s="34"/>
      <c r="L1945" s="34"/>
      <c r="M1945" s="48"/>
    </row>
    <row r="1947" spans="1:13" x14ac:dyDescent="0.25">
      <c r="A1947" s="6" t="s">
        <v>14</v>
      </c>
      <c r="B1947" s="473" t="s">
        <v>74</v>
      </c>
      <c r="C1947" s="7" t="s">
        <v>15</v>
      </c>
    </row>
    <row r="1948" spans="1:13" x14ac:dyDescent="0.25">
      <c r="A1948" s="41" t="s">
        <v>16</v>
      </c>
      <c r="B1948" s="469"/>
      <c r="C1948" s="154">
        <v>2015</v>
      </c>
      <c r="D1948" s="154">
        <v>2016</v>
      </c>
      <c r="E1948" s="154">
        <v>2017</v>
      </c>
      <c r="F1948" s="154">
        <v>2018</v>
      </c>
      <c r="G1948" s="154">
        <v>2019</v>
      </c>
      <c r="H1948" s="154">
        <v>2020</v>
      </c>
      <c r="I1948" s="154">
        <v>2021</v>
      </c>
      <c r="J1948" s="154">
        <v>2022</v>
      </c>
      <c r="K1948" s="154">
        <v>2023</v>
      </c>
      <c r="L1948" s="154">
        <v>2024</v>
      </c>
      <c r="M1948" s="154">
        <v>2025</v>
      </c>
    </row>
    <row r="1949" spans="1:13" x14ac:dyDescent="0.25">
      <c r="A1949" s="10" t="s">
        <v>17</v>
      </c>
      <c r="B1949" s="275"/>
      <c r="C1949" s="275">
        <v>20</v>
      </c>
      <c r="D1949" s="275">
        <v>20</v>
      </c>
      <c r="E1949" s="275">
        <v>20</v>
      </c>
      <c r="F1949" s="275">
        <v>20</v>
      </c>
      <c r="G1949" s="275">
        <v>20</v>
      </c>
      <c r="H1949" s="298">
        <v>16.8</v>
      </c>
      <c r="I1949" s="11">
        <v>16.8</v>
      </c>
      <c r="J1949" s="11">
        <v>16.8</v>
      </c>
      <c r="K1949" s="11">
        <v>16.8</v>
      </c>
      <c r="L1949" s="11">
        <v>16.8</v>
      </c>
      <c r="M1949" s="11">
        <v>16.8</v>
      </c>
    </row>
    <row r="1950" spans="1:13" x14ac:dyDescent="0.25">
      <c r="A1950" s="10" t="s">
        <v>18</v>
      </c>
      <c r="B1950" s="275"/>
      <c r="C1950" s="275"/>
      <c r="D1950" s="275">
        <v>-64.900000000000006</v>
      </c>
      <c r="E1950" s="275">
        <v>-63.600000000000009</v>
      </c>
      <c r="F1950" s="275">
        <v>-43.600000000000009</v>
      </c>
      <c r="G1950" s="275">
        <v>-23.600000000000009</v>
      </c>
      <c r="H1950" s="275">
        <f>G1953+H1949+2</f>
        <v>-4.8000000000000078</v>
      </c>
      <c r="I1950" s="12">
        <f>I1949+H1953+2</f>
        <v>13.999999999999993</v>
      </c>
      <c r="J1950" s="12">
        <f>J1949+2</f>
        <v>18.8</v>
      </c>
      <c r="K1950" s="12">
        <f>K1949+2</f>
        <v>18.8</v>
      </c>
      <c r="L1950" s="12">
        <f>L1949+2</f>
        <v>18.8</v>
      </c>
      <c r="M1950" s="12">
        <f>M1949+2</f>
        <v>18.8</v>
      </c>
    </row>
    <row r="1951" spans="1:13" x14ac:dyDescent="0.25">
      <c r="A1951" s="10" t="s">
        <v>19</v>
      </c>
      <c r="B1951" s="276"/>
      <c r="C1951" s="276"/>
      <c r="D1951" s="291">
        <v>1</v>
      </c>
      <c r="E1951" s="291">
        <v>2</v>
      </c>
      <c r="F1951" s="291">
        <v>3</v>
      </c>
      <c r="G1951" s="291">
        <v>4</v>
      </c>
      <c r="H1951" s="291">
        <v>5</v>
      </c>
      <c r="I1951" s="197">
        <v>6</v>
      </c>
      <c r="J1951" s="197">
        <v>7</v>
      </c>
      <c r="K1951" s="197">
        <v>8</v>
      </c>
      <c r="L1951" s="197">
        <v>9</v>
      </c>
      <c r="M1951" s="90">
        <v>10</v>
      </c>
    </row>
    <row r="1952" spans="1:13" x14ac:dyDescent="0.25">
      <c r="A1952" s="10" t="s">
        <v>20</v>
      </c>
      <c r="B1952" s="12"/>
      <c r="C1952" s="12">
        <v>34.9</v>
      </c>
      <c r="D1952" s="12">
        <v>18.7</v>
      </c>
      <c r="E1952" s="12">
        <v>0</v>
      </c>
      <c r="F1952" s="12">
        <v>0</v>
      </c>
      <c r="G1952" s="12">
        <v>0</v>
      </c>
      <c r="H1952" s="12">
        <v>0</v>
      </c>
      <c r="I1952" s="11">
        <v>0.6</v>
      </c>
      <c r="J1952" s="11">
        <v>0</v>
      </c>
      <c r="K1952" s="11">
        <v>0</v>
      </c>
      <c r="L1952" s="12">
        <v>0.13172300000000001</v>
      </c>
      <c r="M1952" s="90"/>
    </row>
    <row r="1953" spans="1:13" x14ac:dyDescent="0.25">
      <c r="A1953" s="10" t="s">
        <v>21</v>
      </c>
      <c r="B1953" s="12"/>
      <c r="C1953" s="12">
        <v>-84.9</v>
      </c>
      <c r="D1953" s="12">
        <v>-83.600000000000009</v>
      </c>
      <c r="E1953" s="12">
        <v>-63.600000000000009</v>
      </c>
      <c r="F1953" s="12">
        <v>-43.600000000000009</v>
      </c>
      <c r="G1953" s="12">
        <f t="shared" ref="G1953:L1953" si="81">G1950-G1952</f>
        <v>-23.600000000000009</v>
      </c>
      <c r="H1953" s="12">
        <f t="shared" si="81"/>
        <v>-4.8000000000000078</v>
      </c>
      <c r="I1953" s="12">
        <f t="shared" si="81"/>
        <v>13.399999999999993</v>
      </c>
      <c r="J1953" s="12">
        <f t="shared" si="81"/>
        <v>18.8</v>
      </c>
      <c r="K1953" s="12">
        <f t="shared" si="81"/>
        <v>18.8</v>
      </c>
      <c r="L1953" s="12">
        <f t="shared" si="81"/>
        <v>18.668277</v>
      </c>
      <c r="M1953" s="90"/>
    </row>
    <row r="1954" spans="1:13" x14ac:dyDescent="0.25">
      <c r="A1954" s="62" t="s">
        <v>22</v>
      </c>
      <c r="B1954" s="127"/>
      <c r="C1954" s="643">
        <v>2016</v>
      </c>
      <c r="D1954" s="643">
        <v>2017</v>
      </c>
      <c r="E1954" s="643">
        <v>2018</v>
      </c>
      <c r="F1954" s="643">
        <v>2019</v>
      </c>
      <c r="G1954" s="643">
        <v>2020</v>
      </c>
      <c r="H1954" s="643">
        <v>2021</v>
      </c>
      <c r="I1954" s="643">
        <v>2022</v>
      </c>
      <c r="J1954" s="643">
        <v>2023</v>
      </c>
      <c r="K1954" s="643">
        <v>2024</v>
      </c>
      <c r="L1954" s="643">
        <v>2025</v>
      </c>
      <c r="M1954" s="62">
        <v>2026</v>
      </c>
    </row>
    <row r="1955" spans="1:13" x14ac:dyDescent="0.25">
      <c r="A1955" s="18" t="s">
        <v>523</v>
      </c>
      <c r="B1955" s="287"/>
      <c r="C1955" s="287"/>
      <c r="D1955" s="287"/>
      <c r="E1955" s="287"/>
      <c r="F1955" s="676"/>
      <c r="G1955" s="676"/>
      <c r="H1955" s="676"/>
      <c r="I1955" s="19"/>
      <c r="J1955" s="19"/>
      <c r="K1955" s="19"/>
      <c r="L1955" s="19"/>
      <c r="M1955" s="63"/>
    </row>
    <row r="1956" spans="1:13" x14ac:dyDescent="0.25">
      <c r="A1956" s="39" t="s">
        <v>524</v>
      </c>
      <c r="B1956" s="2"/>
      <c r="C1956" s="2"/>
      <c r="D1956" s="2"/>
      <c r="E1956" s="2"/>
      <c r="F1956" s="675"/>
      <c r="G1956" s="675"/>
      <c r="H1956" s="675"/>
      <c r="M1956" s="64"/>
    </row>
    <row r="1957" spans="1:13" x14ac:dyDescent="0.25">
      <c r="A1957" s="39" t="s">
        <v>525</v>
      </c>
      <c r="B1957" s="2"/>
      <c r="C1957" s="2"/>
      <c r="D1957" s="2"/>
      <c r="E1957" s="2"/>
      <c r="F1957" s="675"/>
      <c r="G1957" s="675"/>
      <c r="H1957" s="675"/>
      <c r="M1957" s="64"/>
    </row>
    <row r="1958" spans="1:13" x14ac:dyDescent="0.25">
      <c r="A1958" s="39" t="s">
        <v>526</v>
      </c>
      <c r="B1958" s="2"/>
      <c r="C1958" s="2"/>
      <c r="D1958" s="2"/>
      <c r="E1958" s="2"/>
      <c r="F1958" s="675"/>
      <c r="G1958" s="675"/>
      <c r="H1958" s="675"/>
      <c r="M1958" s="64"/>
    </row>
    <row r="1959" spans="1:13" x14ac:dyDescent="0.25">
      <c r="A1959" s="39" t="s">
        <v>527</v>
      </c>
      <c r="B1959" s="2"/>
      <c r="C1959" s="2"/>
      <c r="D1959" s="2"/>
      <c r="E1959" s="2"/>
      <c r="F1959" s="675"/>
      <c r="G1959" s="675"/>
      <c r="H1959" s="675"/>
      <c r="M1959" s="64"/>
    </row>
    <row r="1960" spans="1:13" x14ac:dyDescent="0.25">
      <c r="A1960" s="39" t="s">
        <v>664</v>
      </c>
      <c r="B1960" s="2"/>
      <c r="C1960" s="2"/>
      <c r="D1960" s="2"/>
      <c r="E1960" s="2"/>
      <c r="F1960" s="675"/>
      <c r="G1960" s="675"/>
      <c r="H1960" s="675"/>
      <c r="M1960" s="64"/>
    </row>
    <row r="1961" spans="1:13" x14ac:dyDescent="0.25">
      <c r="A1961" s="39" t="s">
        <v>663</v>
      </c>
      <c r="B1961" s="2"/>
      <c r="C1961" s="2"/>
      <c r="D1961" s="2"/>
      <c r="E1961" s="2"/>
      <c r="F1961" s="675"/>
      <c r="G1961" s="675"/>
      <c r="H1961" s="675"/>
      <c r="M1961" s="64"/>
    </row>
    <row r="1962" spans="1:13" x14ac:dyDescent="0.25">
      <c r="A1962" s="39" t="s">
        <v>847</v>
      </c>
      <c r="B1962" s="2"/>
      <c r="C1962" s="2"/>
      <c r="D1962" s="2"/>
      <c r="E1962" s="2"/>
      <c r="F1962" s="675"/>
      <c r="G1962" s="675"/>
      <c r="H1962" s="675"/>
      <c r="M1962" s="64"/>
    </row>
    <row r="1963" spans="1:13" x14ac:dyDescent="0.25">
      <c r="A1963" s="39" t="s">
        <v>1068</v>
      </c>
      <c r="B1963" s="2"/>
      <c r="C1963" s="2"/>
      <c r="D1963" s="2"/>
      <c r="E1963" s="2"/>
      <c r="F1963" s="675"/>
      <c r="G1963" s="675"/>
      <c r="H1963" s="675"/>
      <c r="M1963" s="64"/>
    </row>
    <row r="1964" spans="1:13" x14ac:dyDescent="0.25">
      <c r="A1964" s="41" t="s">
        <v>1255</v>
      </c>
      <c r="B1964" s="33"/>
      <c r="C1964" s="33"/>
      <c r="D1964" s="33"/>
      <c r="E1964" s="33"/>
      <c r="F1964" s="513"/>
      <c r="G1964" s="513"/>
      <c r="H1964" s="513"/>
      <c r="I1964" s="34"/>
      <c r="J1964" s="34"/>
      <c r="K1964" s="34"/>
      <c r="L1964" s="34"/>
      <c r="M1964" s="48"/>
    </row>
    <row r="1966" spans="1:13" x14ac:dyDescent="0.25">
      <c r="A1966" s="6" t="s">
        <v>14</v>
      </c>
      <c r="B1966" s="473" t="s">
        <v>79</v>
      </c>
      <c r="C1966" s="7" t="s">
        <v>15</v>
      </c>
    </row>
    <row r="1967" spans="1:13" x14ac:dyDescent="0.25">
      <c r="A1967" s="41" t="s">
        <v>16</v>
      </c>
      <c r="B1967" s="469"/>
      <c r="C1967" s="9">
        <v>2015</v>
      </c>
      <c r="D1967" s="9">
        <v>2016</v>
      </c>
      <c r="E1967" s="9">
        <v>2017</v>
      </c>
      <c r="F1967" s="9">
        <v>2018</v>
      </c>
      <c r="G1967" s="9">
        <v>2019</v>
      </c>
      <c r="H1967" s="9">
        <v>2020</v>
      </c>
      <c r="I1967" s="154">
        <v>2021</v>
      </c>
      <c r="J1967" s="154">
        <v>2022</v>
      </c>
      <c r="K1967" s="154">
        <v>2023</v>
      </c>
      <c r="L1967" s="154">
        <v>2024</v>
      </c>
      <c r="M1967" s="493">
        <v>2024</v>
      </c>
    </row>
    <row r="1968" spans="1:13" x14ac:dyDescent="0.25">
      <c r="A1968" s="10" t="s">
        <v>17</v>
      </c>
      <c r="B1968" s="275"/>
      <c r="C1968" s="275">
        <v>15</v>
      </c>
      <c r="D1968" s="275">
        <v>15</v>
      </c>
      <c r="E1968" s="275">
        <v>15</v>
      </c>
      <c r="F1968" s="275">
        <v>15</v>
      </c>
      <c r="G1968" s="275">
        <v>15</v>
      </c>
      <c r="H1968" s="298">
        <v>15</v>
      </c>
      <c r="I1968" s="12">
        <v>15</v>
      </c>
      <c r="J1968" s="12">
        <v>15</v>
      </c>
      <c r="K1968" s="12">
        <v>15</v>
      </c>
      <c r="L1968" s="12">
        <v>15</v>
      </c>
      <c r="M1968" s="131">
        <v>15</v>
      </c>
    </row>
    <row r="1969" spans="1:13" x14ac:dyDescent="0.25">
      <c r="A1969" s="10" t="s">
        <v>18</v>
      </c>
      <c r="B1969" s="275"/>
      <c r="C1969" s="275"/>
      <c r="D1969" s="275">
        <v>-59.3</v>
      </c>
      <c r="E1969" s="275">
        <v>-64.199999999999989</v>
      </c>
      <c r="F1969" s="275">
        <v>-49.199999999999989</v>
      </c>
      <c r="G1969" s="275">
        <v>-34.199999999999989</v>
      </c>
      <c r="H1969" s="275">
        <f>G1972+H1968</f>
        <v>-19.199999999999989</v>
      </c>
      <c r="I1969" s="12">
        <f>I1968+H1972</f>
        <v>-4.1999999999999886</v>
      </c>
      <c r="J1969" s="12">
        <f>J1968+I1972</f>
        <v>10.440000000000012</v>
      </c>
      <c r="K1969" s="12"/>
      <c r="L1969" s="12">
        <f t="shared" ref="L1969" si="82">L1968+K1972</f>
        <v>15</v>
      </c>
      <c r="M1969" s="12"/>
    </row>
    <row r="1970" spans="1:13" x14ac:dyDescent="0.25">
      <c r="A1970" s="10" t="s">
        <v>19</v>
      </c>
      <c r="B1970" s="276"/>
      <c r="C1970" s="276"/>
      <c r="D1970" s="291">
        <v>1</v>
      </c>
      <c r="E1970" s="291">
        <v>2</v>
      </c>
      <c r="F1970" s="291">
        <v>3</v>
      </c>
      <c r="G1970" s="291">
        <v>4</v>
      </c>
      <c r="H1970" s="291">
        <v>5</v>
      </c>
      <c r="I1970" s="197">
        <v>6</v>
      </c>
      <c r="J1970" s="197">
        <v>7</v>
      </c>
      <c r="K1970" s="197">
        <v>8</v>
      </c>
      <c r="L1970" s="197">
        <v>9</v>
      </c>
      <c r="M1970" s="249">
        <v>10</v>
      </c>
    </row>
    <row r="1971" spans="1:13" x14ac:dyDescent="0.25">
      <c r="A1971" s="10" t="s">
        <v>20</v>
      </c>
      <c r="B1971" s="12"/>
      <c r="C1971" s="12">
        <v>31.9</v>
      </c>
      <c r="D1971" s="12">
        <v>19.899999999999999</v>
      </c>
      <c r="E1971" s="12">
        <v>0</v>
      </c>
      <c r="F1971" s="12">
        <v>0</v>
      </c>
      <c r="G1971" s="12">
        <v>0</v>
      </c>
      <c r="H1971" s="12">
        <v>0</v>
      </c>
      <c r="I1971" s="12">
        <v>0.36</v>
      </c>
      <c r="J1971" s="12">
        <v>0</v>
      </c>
      <c r="K1971" s="12">
        <v>0</v>
      </c>
      <c r="L1971" s="12">
        <v>1.53</v>
      </c>
      <c r="M1971" s="90"/>
    </row>
    <row r="1972" spans="1:13" x14ac:dyDescent="0.25">
      <c r="A1972" s="10" t="s">
        <v>21</v>
      </c>
      <c r="B1972" s="12"/>
      <c r="C1972" s="12">
        <v>-74.3</v>
      </c>
      <c r="D1972" s="12">
        <v>-79.199999999999989</v>
      </c>
      <c r="E1972" s="12">
        <v>-64.199999999999989</v>
      </c>
      <c r="F1972" s="12">
        <v>-49.199999999999989</v>
      </c>
      <c r="G1972" s="12">
        <f t="shared" ref="G1972:L1972" si="83">G1969-G1971</f>
        <v>-34.199999999999989</v>
      </c>
      <c r="H1972" s="12">
        <f t="shared" si="83"/>
        <v>-19.199999999999989</v>
      </c>
      <c r="I1972" s="12">
        <f t="shared" si="83"/>
        <v>-4.559999999999989</v>
      </c>
      <c r="J1972" s="12">
        <f t="shared" si="83"/>
        <v>10.440000000000012</v>
      </c>
      <c r="K1972" s="12">
        <f t="shared" si="83"/>
        <v>0</v>
      </c>
      <c r="L1972" s="12">
        <f t="shared" si="83"/>
        <v>13.47</v>
      </c>
      <c r="M1972" s="12"/>
    </row>
    <row r="1973" spans="1:13" x14ac:dyDescent="0.25">
      <c r="A1973" s="62" t="s">
        <v>22</v>
      </c>
      <c r="B1973" s="127"/>
      <c r="C1973" s="643">
        <v>2016</v>
      </c>
      <c r="D1973" s="643">
        <v>2017</v>
      </c>
      <c r="E1973" s="643">
        <v>2018</v>
      </c>
      <c r="F1973" s="643">
        <v>2019</v>
      </c>
      <c r="G1973" s="643">
        <v>2020</v>
      </c>
      <c r="H1973" s="643">
        <v>2021</v>
      </c>
      <c r="I1973" s="643">
        <v>2022</v>
      </c>
      <c r="J1973" s="643"/>
      <c r="K1973" s="643"/>
      <c r="L1973" s="643"/>
      <c r="M1973" s="62"/>
    </row>
    <row r="1974" spans="1:13" x14ac:dyDescent="0.25">
      <c r="A1974" s="18" t="s">
        <v>523</v>
      </c>
      <c r="B1974" s="287"/>
      <c r="C1974" s="287"/>
      <c r="D1974" s="439"/>
      <c r="E1974" s="439"/>
      <c r="F1974" s="439"/>
      <c r="G1974" s="439"/>
      <c r="H1974" s="439"/>
      <c r="I1974" s="439"/>
      <c r="J1974" s="439"/>
      <c r="K1974" s="19"/>
      <c r="L1974" s="19"/>
      <c r="M1974" s="63"/>
    </row>
    <row r="1975" spans="1:13" x14ac:dyDescent="0.25">
      <c r="A1975" s="39" t="s">
        <v>524</v>
      </c>
      <c r="B1975" s="2"/>
      <c r="C1975" s="2"/>
      <c r="D1975" s="446"/>
      <c r="E1975" s="446"/>
      <c r="F1975" s="446"/>
      <c r="G1975" s="446"/>
      <c r="H1975" s="446"/>
      <c r="I1975" s="446"/>
      <c r="J1975" s="446"/>
      <c r="M1975" s="64"/>
    </row>
    <row r="1976" spans="1:13" x14ac:dyDescent="0.25">
      <c r="A1976" s="39" t="s">
        <v>525</v>
      </c>
      <c r="B1976" s="2"/>
      <c r="C1976" s="2"/>
      <c r="D1976" s="446"/>
      <c r="E1976" s="446"/>
      <c r="F1976" s="446"/>
      <c r="G1976" s="446"/>
      <c r="H1976" s="446"/>
      <c r="I1976" s="446"/>
      <c r="J1976" s="446"/>
      <c r="M1976" s="64"/>
    </row>
    <row r="1977" spans="1:13" x14ac:dyDescent="0.25">
      <c r="A1977" s="39" t="s">
        <v>526</v>
      </c>
      <c r="B1977" s="2"/>
      <c r="C1977" s="2"/>
      <c r="D1977" s="446"/>
      <c r="E1977" s="446"/>
      <c r="F1977" s="446"/>
      <c r="G1977" s="446"/>
      <c r="H1977" s="446"/>
      <c r="I1977" s="446"/>
      <c r="J1977" s="446"/>
      <c r="M1977" s="64"/>
    </row>
    <row r="1978" spans="1:13" x14ac:dyDescent="0.25">
      <c r="A1978" s="39" t="s">
        <v>528</v>
      </c>
      <c r="B1978" s="2"/>
      <c r="C1978" s="2"/>
      <c r="D1978" s="446"/>
      <c r="E1978" s="446"/>
      <c r="F1978" s="446"/>
      <c r="G1978" s="446"/>
      <c r="H1978" s="446"/>
      <c r="I1978" s="446"/>
      <c r="J1978" s="446"/>
      <c r="M1978" s="64"/>
    </row>
    <row r="1979" spans="1:13" x14ac:dyDescent="0.25">
      <c r="A1979" s="39" t="s">
        <v>529</v>
      </c>
      <c r="B1979" s="2"/>
      <c r="C1979" s="2"/>
      <c r="D1979" s="446"/>
      <c r="E1979" s="446"/>
      <c r="F1979" s="446"/>
      <c r="G1979" s="446"/>
      <c r="H1979" s="446"/>
      <c r="I1979" s="446"/>
      <c r="J1979" s="446"/>
      <c r="M1979" s="64"/>
    </row>
    <row r="1980" spans="1:13" x14ac:dyDescent="0.25">
      <c r="A1980" s="39" t="s">
        <v>665</v>
      </c>
      <c r="B1980" s="2"/>
      <c r="C1980" s="2"/>
      <c r="D1980" s="446"/>
      <c r="E1980" s="446"/>
      <c r="F1980" s="446"/>
      <c r="G1980" s="446"/>
      <c r="H1980" s="446"/>
      <c r="I1980" s="446"/>
      <c r="J1980" s="446"/>
      <c r="M1980" s="64"/>
    </row>
    <row r="1981" spans="1:13" x14ac:dyDescent="0.25">
      <c r="A1981" s="41"/>
      <c r="B1981" s="34"/>
      <c r="C1981" s="34"/>
      <c r="D1981" s="34"/>
      <c r="E1981" s="34"/>
      <c r="F1981" s="34"/>
      <c r="G1981" s="34"/>
      <c r="H1981" s="34"/>
      <c r="I1981" s="34"/>
      <c r="J1981" s="34"/>
      <c r="K1981" s="34"/>
      <c r="L1981" s="34"/>
      <c r="M1981" s="48"/>
    </row>
    <row r="1983" spans="1:13" x14ac:dyDescent="0.25">
      <c r="A1983" s="6" t="s">
        <v>11</v>
      </c>
      <c r="B1983" s="7" t="s">
        <v>38</v>
      </c>
    </row>
    <row r="1984" spans="1:13" x14ac:dyDescent="0.25">
      <c r="A1984" s="6" t="s">
        <v>1</v>
      </c>
      <c r="B1984" s="473" t="s">
        <v>642</v>
      </c>
      <c r="C1984" s="9" t="s">
        <v>2</v>
      </c>
    </row>
    <row r="1985" spans="1:11" x14ac:dyDescent="0.25">
      <c r="A1985" s="11" t="s">
        <v>3</v>
      </c>
      <c r="B1985" s="514">
        <v>2016</v>
      </c>
      <c r="C1985" s="515">
        <v>2017</v>
      </c>
      <c r="D1985" s="515">
        <v>2018</v>
      </c>
      <c r="E1985" s="515">
        <v>2019</v>
      </c>
      <c r="F1985" s="154">
        <v>2020</v>
      </c>
      <c r="G1985" s="154">
        <v>2021</v>
      </c>
      <c r="H1985" s="154">
        <v>2022</v>
      </c>
      <c r="I1985" s="154">
        <v>2023</v>
      </c>
      <c r="J1985" s="154">
        <v>2024</v>
      </c>
      <c r="K1985" s="154">
        <v>2025</v>
      </c>
    </row>
    <row r="1986" spans="1:11" x14ac:dyDescent="0.25">
      <c r="A1986" s="10" t="s">
        <v>4</v>
      </c>
      <c r="B1986" s="516">
        <v>1491.71</v>
      </c>
      <c r="C1986" s="516">
        <v>1791</v>
      </c>
      <c r="D1986" s="189">
        <v>2115</v>
      </c>
      <c r="E1986" s="189">
        <v>2400</v>
      </c>
      <c r="F1986" s="189">
        <v>2655</v>
      </c>
      <c r="G1986" s="189">
        <v>2655</v>
      </c>
      <c r="H1986" s="189">
        <v>2655</v>
      </c>
      <c r="I1986" s="189">
        <v>3000</v>
      </c>
      <c r="J1986" s="189">
        <v>3000</v>
      </c>
      <c r="K1986" s="189">
        <v>3000</v>
      </c>
    </row>
    <row r="1987" spans="1:11" x14ac:dyDescent="0.25">
      <c r="A1987" s="10" t="s">
        <v>5</v>
      </c>
      <c r="B1987" s="516">
        <v>1491.71</v>
      </c>
      <c r="C1987" s="516">
        <v>1791</v>
      </c>
      <c r="D1987" s="189">
        <v>2115</v>
      </c>
      <c r="E1987" s="189">
        <v>2400</v>
      </c>
      <c r="F1987" s="189">
        <v>2675.4</v>
      </c>
      <c r="G1987" s="189">
        <f>G1986+79.2+21.55</f>
        <v>2755.75</v>
      </c>
      <c r="H1987" s="189">
        <f>H1986+24.72</f>
        <v>2679.72</v>
      </c>
      <c r="I1987" s="189">
        <v>3020</v>
      </c>
      <c r="J1987" s="189">
        <v>3030</v>
      </c>
      <c r="K1987" s="189">
        <v>3020.62</v>
      </c>
    </row>
    <row r="1988" spans="1:11" x14ac:dyDescent="0.25">
      <c r="A1988" s="10" t="s">
        <v>6</v>
      </c>
      <c r="B1988" s="12"/>
      <c r="C1988" s="188"/>
      <c r="D1988" s="12"/>
      <c r="E1988" s="189"/>
      <c r="F1988" s="189"/>
      <c r="G1988" s="189"/>
      <c r="H1988" s="189"/>
      <c r="I1988" s="189"/>
      <c r="J1988" s="189"/>
      <c r="K1988" s="189"/>
    </row>
    <row r="1989" spans="1:11" x14ac:dyDescent="0.25">
      <c r="A1989" s="10" t="s">
        <v>7</v>
      </c>
      <c r="B1989" s="189">
        <v>1490.58</v>
      </c>
      <c r="C1989" s="189">
        <v>1789.538</v>
      </c>
      <c r="D1989" s="189">
        <v>2102.0929999999998</v>
      </c>
      <c r="E1989" s="189">
        <v>2379.1309999999999</v>
      </c>
      <c r="F1989" s="189">
        <v>2653.377</v>
      </c>
      <c r="G1989" s="189">
        <v>2729.7379999999998</v>
      </c>
      <c r="H1989" s="189">
        <v>2652.7869999999998</v>
      </c>
      <c r="I1989" s="189">
        <v>2989.87</v>
      </c>
      <c r="J1989" s="517">
        <v>2998</v>
      </c>
      <c r="K1989" s="517"/>
    </row>
    <row r="1990" spans="1:11" x14ac:dyDescent="0.25">
      <c r="A1990" s="10" t="s">
        <v>8</v>
      </c>
      <c r="B1990" s="12">
        <v>1.1300000000001091</v>
      </c>
      <c r="C1990" s="12">
        <v>1.4619999999999891</v>
      </c>
      <c r="D1990" s="12">
        <v>12.907000000000153</v>
      </c>
      <c r="E1990" s="12">
        <f t="shared" ref="E1990:J1990" si="84">E1987-E1989</f>
        <v>20.869000000000142</v>
      </c>
      <c r="F1990" s="189">
        <f t="shared" si="84"/>
        <v>22.023000000000138</v>
      </c>
      <c r="G1990" s="189">
        <f t="shared" si="84"/>
        <v>26.012000000000171</v>
      </c>
      <c r="H1990" s="189">
        <f t="shared" si="84"/>
        <v>26.932999999999993</v>
      </c>
      <c r="I1990" s="189">
        <f t="shared" si="84"/>
        <v>30.130000000000109</v>
      </c>
      <c r="J1990" s="189">
        <f t="shared" si="84"/>
        <v>32</v>
      </c>
      <c r="K1990" s="189"/>
    </row>
    <row r="1991" spans="1:11" x14ac:dyDescent="0.25">
      <c r="A1991" s="10" t="s">
        <v>9</v>
      </c>
      <c r="B1991" s="11">
        <v>2017</v>
      </c>
      <c r="C1991" s="11">
        <v>2018</v>
      </c>
      <c r="D1991" s="11">
        <v>2019</v>
      </c>
      <c r="E1991" s="11">
        <v>2020</v>
      </c>
      <c r="F1991" s="11">
        <v>2021</v>
      </c>
      <c r="G1991" s="11">
        <v>2022</v>
      </c>
      <c r="H1991" s="37">
        <v>2023</v>
      </c>
      <c r="I1991" s="37">
        <v>2024</v>
      </c>
      <c r="J1991" s="37">
        <v>2025</v>
      </c>
      <c r="K1991" s="37">
        <v>2026</v>
      </c>
    </row>
    <row r="1992" spans="1:11" x14ac:dyDescent="0.25">
      <c r="A1992" s="16" t="s">
        <v>10</v>
      </c>
      <c r="B1992" s="46"/>
      <c r="C1992" s="46"/>
      <c r="D1992" s="46"/>
      <c r="E1992" s="46"/>
      <c r="F1992" s="47"/>
      <c r="G1992" s="47"/>
      <c r="H1992" s="47"/>
      <c r="I1992" s="47"/>
      <c r="J1992" s="47"/>
    </row>
    <row r="1993" spans="1:11" x14ac:dyDescent="0.25">
      <c r="A1993" s="16" t="s">
        <v>530</v>
      </c>
      <c r="B1993" s="46"/>
      <c r="C1993" s="46"/>
      <c r="D1993" s="46"/>
      <c r="E1993" s="46"/>
      <c r="F1993" s="46"/>
      <c r="G1993" s="46"/>
      <c r="H1993" s="46"/>
      <c r="I1993" s="46"/>
      <c r="J1993" s="47"/>
    </row>
    <row r="1994" spans="1:11" x14ac:dyDescent="0.25">
      <c r="A1994" s="39" t="s">
        <v>251</v>
      </c>
      <c r="J1994" s="64"/>
    </row>
    <row r="1995" spans="1:11" x14ac:dyDescent="0.25">
      <c r="A1995" s="690" t="s">
        <v>595</v>
      </c>
      <c r="B1995" s="691"/>
      <c r="C1995" s="691"/>
      <c r="D1995" s="691"/>
      <c r="E1995" s="691"/>
      <c r="F1995" s="691"/>
      <c r="G1995" s="691"/>
      <c r="J1995" s="64"/>
    </row>
    <row r="1996" spans="1:11" x14ac:dyDescent="0.25">
      <c r="A1996" s="161" t="s">
        <v>952</v>
      </c>
      <c r="B1996" s="32"/>
      <c r="C1996" s="32"/>
      <c r="D1996" s="32"/>
      <c r="E1996" s="32"/>
      <c r="F1996" s="32"/>
      <c r="G1996" s="32"/>
      <c r="J1996" s="64"/>
    </row>
    <row r="1997" spans="1:11" x14ac:dyDescent="0.25">
      <c r="A1997" s="161" t="s">
        <v>848</v>
      </c>
      <c r="B1997" s="32"/>
      <c r="C1997" s="32"/>
      <c r="D1997" s="32"/>
      <c r="E1997" s="32"/>
      <c r="F1997" s="32"/>
      <c r="G1997" s="32"/>
      <c r="J1997" s="64"/>
    </row>
    <row r="1998" spans="1:11" x14ac:dyDescent="0.25">
      <c r="A1998" s="123" t="s">
        <v>1069</v>
      </c>
      <c r="B1998" s="32"/>
      <c r="C1998" s="32"/>
      <c r="D1998" s="32"/>
      <c r="E1998" s="32"/>
      <c r="F1998" s="32"/>
      <c r="G1998" s="32"/>
    </row>
    <row r="1999" spans="1:11" s="43" customFormat="1" x14ac:dyDescent="0.25">
      <c r="A1999" s="171" t="s">
        <v>1141</v>
      </c>
      <c r="B1999" s="518"/>
      <c r="C1999" s="518"/>
      <c r="D1999" s="518"/>
      <c r="E1999" s="518"/>
      <c r="F1999" s="518"/>
      <c r="G1999" s="518"/>
    </row>
    <row r="2002" spans="1:8" x14ac:dyDescent="0.25">
      <c r="A2002" s="519" t="s">
        <v>12</v>
      </c>
      <c r="B2002" s="520" t="s">
        <v>861</v>
      </c>
      <c r="D2002" s="521"/>
      <c r="E2002" s="521"/>
      <c r="F2002" s="521"/>
      <c r="G2002" s="521"/>
      <c r="H2002" s="521"/>
    </row>
    <row r="2003" spans="1:8" x14ac:dyDescent="0.25">
      <c r="A2003" s="519" t="s">
        <v>14</v>
      </c>
      <c r="B2003" s="522" t="s">
        <v>642</v>
      </c>
      <c r="C2003" s="523" t="s">
        <v>15</v>
      </c>
      <c r="D2003" s="521"/>
      <c r="E2003" s="521"/>
      <c r="F2003" s="521"/>
      <c r="G2003" s="521"/>
      <c r="H2003" s="521"/>
    </row>
    <row r="2004" spans="1:8" x14ac:dyDescent="0.25">
      <c r="A2004" s="524" t="s">
        <v>16</v>
      </c>
      <c r="B2004" s="525"/>
      <c r="C2004" s="526">
        <v>2022</v>
      </c>
      <c r="D2004" s="527">
        <v>2023</v>
      </c>
      <c r="E2004" s="527">
        <v>2024</v>
      </c>
      <c r="F2004" s="527">
        <v>2025</v>
      </c>
    </row>
    <row r="2005" spans="1:8" x14ac:dyDescent="0.25">
      <c r="A2005" s="524" t="s">
        <v>17</v>
      </c>
      <c r="B2005" s="525"/>
      <c r="C2005" s="528">
        <v>2305</v>
      </c>
      <c r="D2005" s="528">
        <v>2600</v>
      </c>
      <c r="E2005" s="528">
        <v>2600</v>
      </c>
      <c r="F2005" s="528">
        <v>2600</v>
      </c>
    </row>
    <row r="2006" spans="1:8" x14ac:dyDescent="0.25">
      <c r="A2006" s="524" t="s">
        <v>18</v>
      </c>
      <c r="B2006" s="525"/>
      <c r="C2006" s="529"/>
      <c r="D2006" s="528">
        <f>D2005+C2009+440.79+67.08+128</f>
        <v>3246.0209999999997</v>
      </c>
      <c r="E2006" s="528">
        <f>E2005+D2009+128+507.87</f>
        <v>3200.74</v>
      </c>
      <c r="F2006" s="528">
        <f>F2005+128</f>
        <v>2728</v>
      </c>
    </row>
    <row r="2007" spans="1:8" x14ac:dyDescent="0.25">
      <c r="A2007" s="524" t="s">
        <v>19</v>
      </c>
      <c r="B2007" s="525"/>
      <c r="C2007" s="530"/>
      <c r="D2007" s="531" t="str">
        <f>"(1)"</f>
        <v>(1)</v>
      </c>
      <c r="E2007" s="531" t="str">
        <f>"(2)"</f>
        <v>(2)</v>
      </c>
      <c r="F2007" s="531" t="str">
        <f>"(3)"</f>
        <v>(3)</v>
      </c>
    </row>
    <row r="2008" spans="1:8" x14ac:dyDescent="0.25">
      <c r="A2008" s="524" t="s">
        <v>20</v>
      </c>
      <c r="B2008" s="525"/>
      <c r="C2008" s="528">
        <v>2294.8490000000002</v>
      </c>
      <c r="D2008" s="532">
        <f>D2006-D2009</f>
        <v>3281.1509999999998</v>
      </c>
      <c r="E2008" s="532">
        <v>3200.48</v>
      </c>
      <c r="F2008" s="532"/>
    </row>
    <row r="2009" spans="1:8" x14ac:dyDescent="0.25">
      <c r="A2009" s="524" t="s">
        <v>21</v>
      </c>
      <c r="B2009" s="525"/>
      <c r="C2009" s="528">
        <f>C2005-C2008</f>
        <v>10.15099999999984</v>
      </c>
      <c r="D2009" s="528">
        <v>-35.130000000000003</v>
      </c>
      <c r="E2009" s="528">
        <v>0.26</v>
      </c>
      <c r="F2009" s="528"/>
    </row>
    <row r="2010" spans="1:8" x14ac:dyDescent="0.25">
      <c r="A2010" s="533" t="s">
        <v>22</v>
      </c>
      <c r="B2010" s="534"/>
      <c r="C2010" s="535">
        <v>2023</v>
      </c>
      <c r="D2010" s="536">
        <v>2024</v>
      </c>
      <c r="E2010" s="536">
        <v>2025</v>
      </c>
      <c r="F2010" s="536">
        <v>2026</v>
      </c>
    </row>
    <row r="2011" spans="1:8" x14ac:dyDescent="0.25">
      <c r="A2011" s="544" t="s">
        <v>931</v>
      </c>
      <c r="B2011" s="554"/>
      <c r="C2011" s="555"/>
      <c r="D2011" s="555"/>
      <c r="E2011" s="555"/>
      <c r="F2011" s="63"/>
    </row>
    <row r="2012" spans="1:8" x14ac:dyDescent="0.25">
      <c r="A2012" s="546" t="s">
        <v>957</v>
      </c>
      <c r="B2012" s="521"/>
      <c r="C2012" s="556"/>
      <c r="D2012" s="556"/>
      <c r="E2012" s="556"/>
      <c r="F2012" s="64"/>
    </row>
    <row r="2013" spans="1:8" x14ac:dyDescent="0.25">
      <c r="A2013" s="42" t="s">
        <v>1236</v>
      </c>
      <c r="B2013" s="537"/>
      <c r="C2013" s="538"/>
      <c r="D2013" s="538"/>
      <c r="E2013" s="538"/>
      <c r="F2013" s="48"/>
    </row>
    <row r="2014" spans="1:8" x14ac:dyDescent="0.25">
      <c r="A2014" s="521"/>
      <c r="B2014" s="521"/>
      <c r="C2014" s="521"/>
      <c r="D2014" s="521"/>
      <c r="E2014" s="521"/>
    </row>
    <row r="2015" spans="1:8" x14ac:dyDescent="0.25">
      <c r="A2015" s="519" t="s">
        <v>14</v>
      </c>
      <c r="B2015" s="522" t="s">
        <v>862</v>
      </c>
      <c r="C2015" s="523" t="s">
        <v>15</v>
      </c>
      <c r="D2015" s="521"/>
      <c r="E2015" s="521"/>
      <c r="F2015" s="521"/>
      <c r="G2015" s="521"/>
      <c r="H2015" s="521"/>
    </row>
    <row r="2016" spans="1:8" x14ac:dyDescent="0.25">
      <c r="A2016" s="524" t="s">
        <v>16</v>
      </c>
      <c r="B2016" s="525"/>
      <c r="C2016" s="526">
        <v>2023</v>
      </c>
      <c r="D2016" s="527">
        <v>2024</v>
      </c>
      <c r="E2016" s="527">
        <v>2025</v>
      </c>
    </row>
    <row r="2017" spans="1:8" x14ac:dyDescent="0.25">
      <c r="A2017" s="524" t="s">
        <v>17</v>
      </c>
      <c r="B2017" s="525"/>
      <c r="C2017" s="528">
        <v>225</v>
      </c>
      <c r="D2017" s="528">
        <v>225</v>
      </c>
      <c r="E2017" s="528">
        <v>225</v>
      </c>
    </row>
    <row r="2018" spans="1:8" x14ac:dyDescent="0.25">
      <c r="A2018" s="524" t="s">
        <v>18</v>
      </c>
      <c r="B2018" s="525"/>
      <c r="C2018" s="528">
        <v>150</v>
      </c>
      <c r="D2018" s="528">
        <v>150</v>
      </c>
      <c r="E2018" s="528">
        <v>150</v>
      </c>
    </row>
    <row r="2019" spans="1:8" x14ac:dyDescent="0.25">
      <c r="A2019" s="524" t="s">
        <v>19</v>
      </c>
      <c r="B2019" s="525"/>
      <c r="C2019" s="539" t="s">
        <v>863</v>
      </c>
      <c r="D2019" s="539" t="s">
        <v>863</v>
      </c>
      <c r="E2019" s="539" t="s">
        <v>1205</v>
      </c>
    </row>
    <row r="2020" spans="1:8" x14ac:dyDescent="0.25">
      <c r="A2020" s="524" t="s">
        <v>20</v>
      </c>
      <c r="B2020" s="525"/>
      <c r="C2020" s="528">
        <v>149.94999999999999</v>
      </c>
      <c r="D2020" s="532">
        <v>150</v>
      </c>
      <c r="E2020" s="532">
        <v>150</v>
      </c>
    </row>
    <row r="2021" spans="1:8" x14ac:dyDescent="0.25">
      <c r="A2021" s="524" t="s">
        <v>21</v>
      </c>
      <c r="B2021" s="525"/>
      <c r="C2021" s="528">
        <f>C2018-C2020</f>
        <v>5.0000000000011369E-2</v>
      </c>
      <c r="D2021" s="528">
        <f>D2018-D2020</f>
        <v>0</v>
      </c>
      <c r="E2021" s="528">
        <f>E2018-E2020</f>
        <v>0</v>
      </c>
    </row>
    <row r="2022" spans="1:8" x14ac:dyDescent="0.25">
      <c r="A2022" s="533" t="s">
        <v>22</v>
      </c>
      <c r="B2022" s="534"/>
      <c r="C2022" s="535"/>
      <c r="D2022" s="536"/>
      <c r="E2022" s="536"/>
    </row>
    <row r="2023" spans="1:8" x14ac:dyDescent="0.25">
      <c r="A2023" s="566" t="s">
        <v>864</v>
      </c>
      <c r="B2023" s="567"/>
      <c r="C2023" s="581"/>
      <c r="D2023" s="581"/>
      <c r="E2023" s="88"/>
    </row>
    <row r="2024" spans="1:8" x14ac:dyDescent="0.25">
      <c r="A2024" s="637" t="s">
        <v>1249</v>
      </c>
      <c r="B2024" s="567"/>
      <c r="C2024" s="567"/>
      <c r="D2024" s="567"/>
      <c r="E2024" s="638"/>
    </row>
    <row r="2025" spans="1:8" x14ac:dyDescent="0.25">
      <c r="A2025" s="521"/>
      <c r="B2025" s="521"/>
      <c r="C2025" s="521"/>
      <c r="D2025" s="521"/>
      <c r="E2025" s="521"/>
    </row>
    <row r="2026" spans="1:8" x14ac:dyDescent="0.25">
      <c r="A2026" s="519" t="s">
        <v>12</v>
      </c>
      <c r="B2026" s="520" t="s">
        <v>584</v>
      </c>
      <c r="D2026" s="521"/>
      <c r="E2026" s="521"/>
      <c r="F2026" s="521"/>
      <c r="G2026" s="521"/>
      <c r="H2026" s="521"/>
    </row>
    <row r="2027" spans="1:8" x14ac:dyDescent="0.25">
      <c r="A2027" s="519" t="s">
        <v>14</v>
      </c>
      <c r="B2027" s="522" t="s">
        <v>624</v>
      </c>
      <c r="C2027" s="523" t="s">
        <v>15</v>
      </c>
      <c r="D2027" s="521"/>
      <c r="E2027" s="521"/>
      <c r="F2027" s="521"/>
      <c r="G2027" s="521"/>
      <c r="H2027" s="521"/>
    </row>
    <row r="2028" spans="1:8" x14ac:dyDescent="0.25">
      <c r="A2028" s="524" t="s">
        <v>16</v>
      </c>
      <c r="B2028" s="525"/>
      <c r="C2028" s="526">
        <v>2021</v>
      </c>
      <c r="D2028" s="527">
        <v>2022</v>
      </c>
      <c r="E2028" s="540">
        <v>2023</v>
      </c>
      <c r="F2028" s="540">
        <v>2024</v>
      </c>
      <c r="G2028" s="540">
        <v>2025</v>
      </c>
      <c r="H2028" s="540" t="s">
        <v>1207</v>
      </c>
    </row>
    <row r="2029" spans="1:8" x14ac:dyDescent="0.25">
      <c r="A2029" s="524" t="s">
        <v>17</v>
      </c>
      <c r="B2029" s="525"/>
      <c r="C2029" s="528">
        <f>434.04</f>
        <v>434.04</v>
      </c>
      <c r="D2029" s="528">
        <v>442.25</v>
      </c>
      <c r="E2029" s="528">
        <v>442.25</v>
      </c>
      <c r="F2029" s="528">
        <v>752.8</v>
      </c>
      <c r="G2029" s="528">
        <v>752.8</v>
      </c>
      <c r="H2029" s="541">
        <v>752.8</v>
      </c>
    </row>
    <row r="2030" spans="1:8" x14ac:dyDescent="0.25">
      <c r="A2030" s="524" t="s">
        <v>18</v>
      </c>
      <c r="B2030" s="525"/>
      <c r="C2030" s="528">
        <f>C2029+53.75</f>
        <v>487.79</v>
      </c>
      <c r="D2030" s="528">
        <f>D2029+53.75</f>
        <v>496</v>
      </c>
      <c r="E2030" s="530">
        <f>E2029+0.25*C2029</f>
        <v>550.76</v>
      </c>
      <c r="F2030" s="530">
        <f>F2029+0.25*D2029</f>
        <v>863.36249999999995</v>
      </c>
      <c r="G2030" s="530">
        <f>G2029+0.25*E2029</f>
        <v>863.36249999999995</v>
      </c>
      <c r="H2030" s="541">
        <v>941</v>
      </c>
    </row>
    <row r="2031" spans="1:8" x14ac:dyDescent="0.25">
      <c r="A2031" s="524" t="s">
        <v>19</v>
      </c>
      <c r="B2031" s="525"/>
      <c r="C2031" s="530" t="s">
        <v>684</v>
      </c>
      <c r="D2031" s="530" t="s">
        <v>686</v>
      </c>
      <c r="E2031" s="530" t="s">
        <v>685</v>
      </c>
      <c r="F2031" s="530" t="s">
        <v>851</v>
      </c>
      <c r="G2031" s="530" t="s">
        <v>1070</v>
      </c>
      <c r="H2031" s="542" t="s">
        <v>1208</v>
      </c>
    </row>
    <row r="2032" spans="1:8" x14ac:dyDescent="0.25">
      <c r="A2032" s="524" t="s">
        <v>20</v>
      </c>
      <c r="B2032" s="525"/>
      <c r="C2032" s="528">
        <v>169.39099999999999</v>
      </c>
      <c r="D2032" s="532">
        <v>125.35080000000001</v>
      </c>
      <c r="E2032" s="530">
        <v>112.47</v>
      </c>
      <c r="F2032" s="530">
        <v>8.23</v>
      </c>
      <c r="G2032" s="530"/>
      <c r="H2032" s="542"/>
    </row>
    <row r="2033" spans="1:8" x14ac:dyDescent="0.25">
      <c r="A2033" s="524" t="s">
        <v>21</v>
      </c>
      <c r="B2033" s="525"/>
      <c r="C2033" s="528">
        <f>C2030-C2032</f>
        <v>318.399</v>
      </c>
      <c r="D2033" s="528">
        <f>D2030-D2032</f>
        <v>370.64920000000001</v>
      </c>
      <c r="E2033" s="528">
        <f>E2030-E2032</f>
        <v>438.28999999999996</v>
      </c>
      <c r="F2033" s="528">
        <f>F2030-F2032</f>
        <v>855.13249999999994</v>
      </c>
      <c r="G2033" s="530"/>
      <c r="H2033" s="542"/>
    </row>
    <row r="2034" spans="1:8" x14ac:dyDescent="0.25">
      <c r="A2034" s="533" t="s">
        <v>22</v>
      </c>
      <c r="B2034" s="534"/>
      <c r="C2034" s="535">
        <v>2023</v>
      </c>
      <c r="D2034" s="536">
        <v>2024</v>
      </c>
      <c r="E2034" s="535">
        <v>2025</v>
      </c>
      <c r="F2034" s="535">
        <v>2026</v>
      </c>
      <c r="G2034" s="535">
        <v>2027</v>
      </c>
      <c r="H2034" s="543">
        <v>2028</v>
      </c>
    </row>
    <row r="2035" spans="1:8" x14ac:dyDescent="0.25">
      <c r="A2035" s="544" t="s">
        <v>691</v>
      </c>
      <c r="B2035" s="545"/>
      <c r="C2035" s="545"/>
      <c r="D2035" s="545"/>
      <c r="E2035" s="545"/>
      <c r="F2035" s="19"/>
      <c r="G2035" s="19"/>
      <c r="H2035" s="63"/>
    </row>
    <row r="2036" spans="1:8" ht="12.75" customHeight="1" x14ac:dyDescent="0.25">
      <c r="A2036" s="546" t="s">
        <v>699</v>
      </c>
      <c r="B2036" s="547"/>
      <c r="C2036" s="547"/>
      <c r="D2036" s="547"/>
      <c r="E2036" s="547"/>
      <c r="H2036" s="64"/>
    </row>
    <row r="2037" spans="1:8" x14ac:dyDescent="0.25">
      <c r="A2037" s="548" t="s">
        <v>700</v>
      </c>
      <c r="B2037" s="549"/>
      <c r="C2037" s="549"/>
      <c r="D2037" s="549"/>
      <c r="E2037" s="549"/>
      <c r="H2037" s="64"/>
    </row>
    <row r="2038" spans="1:8" x14ac:dyDescent="0.25">
      <c r="A2038" s="548" t="s">
        <v>940</v>
      </c>
      <c r="B2038" s="549"/>
      <c r="C2038" s="549"/>
      <c r="D2038" s="549"/>
      <c r="E2038" s="549"/>
      <c r="H2038" s="64"/>
    </row>
    <row r="2039" spans="1:8" x14ac:dyDescent="0.25">
      <c r="A2039" s="548" t="s">
        <v>1071</v>
      </c>
      <c r="B2039" s="549"/>
      <c r="C2039" s="549"/>
      <c r="D2039" s="549"/>
      <c r="E2039" s="549"/>
      <c r="H2039" s="64"/>
    </row>
    <row r="2040" spans="1:8" x14ac:dyDescent="0.25">
      <c r="A2040" s="550" t="s">
        <v>1206</v>
      </c>
      <c r="B2040" s="551"/>
      <c r="C2040" s="551"/>
      <c r="D2040" s="551"/>
      <c r="E2040" s="551"/>
      <c r="F2040" s="34"/>
      <c r="G2040" s="34"/>
      <c r="H2040" s="48"/>
    </row>
    <row r="2041" spans="1:8" x14ac:dyDescent="0.25">
      <c r="A2041" s="521"/>
      <c r="B2041" s="547"/>
      <c r="C2041" s="551"/>
      <c r="D2041" s="547"/>
      <c r="E2041" s="547"/>
    </row>
    <row r="2042" spans="1:8" x14ac:dyDescent="0.25">
      <c r="A2042" s="549"/>
      <c r="B2042" s="549"/>
      <c r="C2042" s="552"/>
      <c r="D2042" s="549"/>
      <c r="E2042" s="549"/>
    </row>
    <row r="2043" spans="1:8" x14ac:dyDescent="0.25">
      <c r="A2043" s="519" t="s">
        <v>14</v>
      </c>
      <c r="B2043" s="522" t="s">
        <v>638</v>
      </c>
      <c r="C2043" s="523" t="s">
        <v>15</v>
      </c>
      <c r="D2043" s="521"/>
      <c r="E2043" s="521"/>
      <c r="F2043" s="521"/>
      <c r="G2043" s="521"/>
      <c r="H2043" s="521"/>
    </row>
    <row r="2044" spans="1:8" x14ac:dyDescent="0.25">
      <c r="A2044" s="524" t="s">
        <v>16</v>
      </c>
      <c r="B2044" s="525"/>
      <c r="C2044" s="526">
        <v>2021</v>
      </c>
      <c r="D2044" s="527">
        <v>2022</v>
      </c>
      <c r="E2044" s="540">
        <v>2023</v>
      </c>
      <c r="F2044" s="540">
        <v>2024</v>
      </c>
      <c r="G2044" s="540">
        <v>2025</v>
      </c>
      <c r="H2044" s="540">
        <v>2026</v>
      </c>
    </row>
    <row r="2045" spans="1:8" x14ac:dyDescent="0.25">
      <c r="A2045" s="524" t="s">
        <v>17</v>
      </c>
      <c r="B2045" s="525"/>
      <c r="C2045" s="528">
        <v>100</v>
      </c>
      <c r="D2045" s="528">
        <v>100</v>
      </c>
      <c r="E2045" s="530">
        <v>120</v>
      </c>
      <c r="F2045" s="530">
        <v>120</v>
      </c>
      <c r="G2045" s="530">
        <v>120</v>
      </c>
      <c r="H2045" s="542">
        <v>120</v>
      </c>
    </row>
    <row r="2046" spans="1:8" x14ac:dyDescent="0.25">
      <c r="A2046" s="524" t="s">
        <v>18</v>
      </c>
      <c r="B2046" s="525"/>
      <c r="C2046" s="528"/>
      <c r="D2046" s="528">
        <v>125</v>
      </c>
      <c r="E2046" s="553">
        <f>E2045+0.25*C2045</f>
        <v>145</v>
      </c>
      <c r="F2046" s="553">
        <f>F2045+1.49</f>
        <v>121.49</v>
      </c>
      <c r="G2046" s="553">
        <f>G2045+0.25*E2045</f>
        <v>150</v>
      </c>
      <c r="H2046" s="542">
        <v>150</v>
      </c>
    </row>
    <row r="2047" spans="1:8" x14ac:dyDescent="0.25">
      <c r="A2047" s="524" t="s">
        <v>19</v>
      </c>
      <c r="B2047" s="525"/>
      <c r="C2047" s="553"/>
      <c r="D2047" s="553" t="s">
        <v>681</v>
      </c>
      <c r="E2047" s="553" t="s">
        <v>680</v>
      </c>
      <c r="F2047" s="553" t="s">
        <v>929</v>
      </c>
      <c r="G2047" s="553" t="s">
        <v>1073</v>
      </c>
      <c r="H2047" s="542" t="s">
        <v>1210</v>
      </c>
    </row>
    <row r="2048" spans="1:8" x14ac:dyDescent="0.25">
      <c r="A2048" s="524" t="s">
        <v>20</v>
      </c>
      <c r="B2048" s="525"/>
      <c r="C2048" s="528">
        <v>0</v>
      </c>
      <c r="D2048" s="532">
        <v>0</v>
      </c>
      <c r="E2048" s="530">
        <v>0</v>
      </c>
      <c r="F2048" s="530">
        <v>0</v>
      </c>
      <c r="G2048" s="530"/>
      <c r="H2048" s="542"/>
    </row>
    <row r="2049" spans="1:8" x14ac:dyDescent="0.25">
      <c r="A2049" s="524" t="s">
        <v>21</v>
      </c>
      <c r="B2049" s="525"/>
      <c r="C2049" s="528">
        <f>C2045-C2048</f>
        <v>100</v>
      </c>
      <c r="D2049" s="528">
        <f>D2046-D2048</f>
        <v>125</v>
      </c>
      <c r="E2049" s="528">
        <f>E2046-E2048</f>
        <v>145</v>
      </c>
      <c r="F2049" s="528">
        <f>F2046-F2048</f>
        <v>121.49</v>
      </c>
      <c r="G2049" s="530"/>
      <c r="H2049" s="542"/>
    </row>
    <row r="2050" spans="1:8" x14ac:dyDescent="0.25">
      <c r="A2050" s="533" t="s">
        <v>22</v>
      </c>
      <c r="B2050" s="534"/>
      <c r="C2050" s="535">
        <v>2023</v>
      </c>
      <c r="D2050" s="536">
        <v>2024</v>
      </c>
      <c r="E2050" s="535">
        <v>2025</v>
      </c>
      <c r="F2050" s="535">
        <v>2026</v>
      </c>
      <c r="G2050" s="535">
        <v>2027</v>
      </c>
      <c r="H2050" s="543">
        <v>2028</v>
      </c>
    </row>
    <row r="2051" spans="1:8" x14ac:dyDescent="0.25">
      <c r="A2051" s="544" t="s">
        <v>734</v>
      </c>
      <c r="B2051" s="554"/>
      <c r="C2051" s="555"/>
      <c r="D2051" s="555"/>
      <c r="E2051" s="555"/>
      <c r="F2051" s="555"/>
      <c r="G2051" s="555"/>
      <c r="H2051" s="63"/>
    </row>
    <row r="2052" spans="1:8" x14ac:dyDescent="0.25">
      <c r="A2052" s="546" t="s">
        <v>930</v>
      </c>
      <c r="B2052" s="521"/>
      <c r="C2052" s="556"/>
      <c r="D2052" s="556"/>
      <c r="E2052" s="556"/>
      <c r="F2052" s="556"/>
      <c r="G2052" s="556"/>
      <c r="H2052" s="64"/>
    </row>
    <row r="2053" spans="1:8" x14ac:dyDescent="0.25">
      <c r="A2053" s="546" t="s">
        <v>1072</v>
      </c>
      <c r="B2053" s="521"/>
      <c r="C2053" s="556"/>
      <c r="D2053" s="556"/>
      <c r="E2053" s="556"/>
      <c r="F2053" s="556"/>
      <c r="G2053" s="556"/>
      <c r="H2053" s="64"/>
    </row>
    <row r="2054" spans="1:8" x14ac:dyDescent="0.25">
      <c r="A2054" s="550" t="s">
        <v>1209</v>
      </c>
      <c r="B2054" s="537"/>
      <c r="C2054" s="537"/>
      <c r="D2054" s="537"/>
      <c r="E2054" s="537"/>
      <c r="F2054" s="34"/>
      <c r="G2054" s="34"/>
      <c r="H2054" s="48"/>
    </row>
    <row r="2055" spans="1:8" x14ac:dyDescent="0.25">
      <c r="A2055" s="521"/>
      <c r="B2055" s="521"/>
      <c r="C2055" s="521"/>
      <c r="D2055" s="521"/>
      <c r="E2055" s="521"/>
    </row>
    <row r="2056" spans="1:8" x14ac:dyDescent="0.25">
      <c r="A2056" s="519" t="s">
        <v>14</v>
      </c>
      <c r="B2056" s="522" t="s">
        <v>623</v>
      </c>
      <c r="C2056" s="523" t="s">
        <v>15</v>
      </c>
      <c r="D2056" s="521"/>
      <c r="E2056" s="521"/>
      <c r="F2056" s="521"/>
      <c r="G2056" s="521"/>
      <c r="H2056" s="521"/>
    </row>
    <row r="2057" spans="1:8" x14ac:dyDescent="0.25">
      <c r="A2057" s="524" t="s">
        <v>16</v>
      </c>
      <c r="B2057" s="525"/>
      <c r="C2057" s="526">
        <v>2021</v>
      </c>
      <c r="D2057" s="527">
        <v>2022</v>
      </c>
      <c r="E2057" s="540">
        <v>2023</v>
      </c>
      <c r="F2057" s="540">
        <v>2024</v>
      </c>
      <c r="G2057" s="540">
        <v>2025</v>
      </c>
      <c r="H2057" s="540">
        <v>2026</v>
      </c>
    </row>
    <row r="2058" spans="1:8" x14ac:dyDescent="0.25">
      <c r="A2058" s="524" t="s">
        <v>17</v>
      </c>
      <c r="B2058" s="525"/>
      <c r="C2058" s="528">
        <v>35</v>
      </c>
      <c r="D2058" s="528">
        <v>35</v>
      </c>
      <c r="E2058" s="528">
        <v>35.67</v>
      </c>
      <c r="F2058" s="528">
        <v>35.67</v>
      </c>
      <c r="G2058" s="528">
        <v>35.67</v>
      </c>
      <c r="H2058" s="542">
        <v>35.67</v>
      </c>
    </row>
    <row r="2059" spans="1:8" x14ac:dyDescent="0.25">
      <c r="A2059" s="524" t="s">
        <v>18</v>
      </c>
      <c r="B2059" s="525"/>
      <c r="C2059" s="528">
        <v>49.67</v>
      </c>
      <c r="D2059" s="528">
        <v>49.67</v>
      </c>
      <c r="E2059" s="530">
        <f>E2058+0.4*C2058</f>
        <v>49.67</v>
      </c>
      <c r="F2059" s="530">
        <f>F2058+0.4*D2058</f>
        <v>49.67</v>
      </c>
      <c r="G2059" s="530">
        <f>G2058+0.4*E2058</f>
        <v>49.938000000000002</v>
      </c>
      <c r="H2059" s="542">
        <v>49.94</v>
      </c>
    </row>
    <row r="2060" spans="1:8" ht="30.75" customHeight="1" x14ac:dyDescent="0.25">
      <c r="A2060" s="524" t="s">
        <v>19</v>
      </c>
      <c r="B2060" s="525"/>
      <c r="C2060" s="557" t="s">
        <v>702</v>
      </c>
      <c r="D2060" s="557" t="s">
        <v>703</v>
      </c>
      <c r="E2060" s="557" t="s">
        <v>687</v>
      </c>
      <c r="F2060" s="557" t="s">
        <v>852</v>
      </c>
      <c r="G2060" s="557" t="s">
        <v>1076</v>
      </c>
      <c r="H2060" s="542" t="s">
        <v>1211</v>
      </c>
    </row>
    <row r="2061" spans="1:8" x14ac:dyDescent="0.25">
      <c r="A2061" s="524" t="s">
        <v>20</v>
      </c>
      <c r="B2061" s="525"/>
      <c r="C2061" s="528">
        <v>5.9</v>
      </c>
      <c r="D2061" s="532">
        <v>3.351</v>
      </c>
      <c r="E2061" s="530">
        <v>3.54</v>
      </c>
      <c r="F2061" s="530">
        <v>4.3899999999999997</v>
      </c>
      <c r="G2061" s="530"/>
      <c r="H2061" s="542"/>
    </row>
    <row r="2062" spans="1:8" x14ac:dyDescent="0.25">
      <c r="A2062" s="524" t="s">
        <v>21</v>
      </c>
      <c r="B2062" s="525"/>
      <c r="C2062" s="528">
        <f>C2059-C2061</f>
        <v>43.77</v>
      </c>
      <c r="D2062" s="528">
        <f>D2059-D2061</f>
        <v>46.319000000000003</v>
      </c>
      <c r="E2062" s="528">
        <f>E2059-E2061</f>
        <v>46.13</v>
      </c>
      <c r="F2062" s="528">
        <f>F2059-F2061</f>
        <v>45.28</v>
      </c>
      <c r="G2062" s="530"/>
      <c r="H2062" s="542"/>
    </row>
    <row r="2063" spans="1:8" x14ac:dyDescent="0.25">
      <c r="A2063" s="533" t="s">
        <v>22</v>
      </c>
      <c r="B2063" s="534"/>
      <c r="C2063" s="535">
        <v>2023</v>
      </c>
      <c r="D2063" s="535">
        <v>2024</v>
      </c>
      <c r="E2063" s="535">
        <v>2025</v>
      </c>
      <c r="F2063" s="535">
        <v>2026</v>
      </c>
      <c r="G2063" s="535">
        <v>2027</v>
      </c>
      <c r="H2063" s="543">
        <v>2028</v>
      </c>
    </row>
    <row r="2064" spans="1:8" x14ac:dyDescent="0.25">
      <c r="A2064" s="544" t="s">
        <v>701</v>
      </c>
      <c r="B2064" s="554"/>
      <c r="C2064" s="554"/>
      <c r="D2064" s="554"/>
      <c r="E2064" s="554"/>
      <c r="F2064" s="19"/>
      <c r="G2064" s="19"/>
      <c r="H2064" s="63"/>
    </row>
    <row r="2065" spans="1:8" x14ac:dyDescent="0.25">
      <c r="A2065" s="546" t="s">
        <v>705</v>
      </c>
      <c r="B2065" s="521"/>
      <c r="C2065" s="521"/>
      <c r="D2065" s="521"/>
      <c r="E2065" s="521"/>
      <c r="H2065" s="64"/>
    </row>
    <row r="2066" spans="1:8" x14ac:dyDescent="0.25">
      <c r="A2066" s="546" t="s">
        <v>704</v>
      </c>
      <c r="B2066" s="521"/>
      <c r="C2066" s="521"/>
      <c r="D2066" s="521"/>
      <c r="E2066" s="521"/>
      <c r="H2066" s="64"/>
    </row>
    <row r="2067" spans="1:8" x14ac:dyDescent="0.25">
      <c r="A2067" s="546" t="s">
        <v>1074</v>
      </c>
      <c r="B2067" s="521"/>
      <c r="C2067" s="521"/>
      <c r="D2067" s="521"/>
      <c r="E2067" s="521"/>
      <c r="H2067" s="64"/>
    </row>
    <row r="2068" spans="1:8" x14ac:dyDescent="0.25">
      <c r="A2068" s="546" t="s">
        <v>1075</v>
      </c>
      <c r="B2068" s="521"/>
      <c r="C2068" s="521"/>
      <c r="D2068" s="521"/>
      <c r="E2068" s="521"/>
      <c r="H2068" s="64"/>
    </row>
    <row r="2069" spans="1:8" x14ac:dyDescent="0.25">
      <c r="A2069" s="550" t="s">
        <v>1212</v>
      </c>
      <c r="B2069" s="537"/>
      <c r="C2069" s="537"/>
      <c r="D2069" s="537"/>
      <c r="E2069" s="537"/>
      <c r="F2069" s="34"/>
      <c r="G2069" s="34"/>
      <c r="H2069" s="48"/>
    </row>
    <row r="2070" spans="1:8" x14ac:dyDescent="0.25">
      <c r="A2070" s="549"/>
      <c r="B2070" s="549"/>
      <c r="C2070" s="552"/>
      <c r="D2070" s="549"/>
      <c r="E2070" s="549"/>
    </row>
    <row r="2071" spans="1:8" x14ac:dyDescent="0.25">
      <c r="A2071" s="519" t="s">
        <v>14</v>
      </c>
      <c r="B2071" s="522" t="s">
        <v>641</v>
      </c>
      <c r="C2071" s="523" t="s">
        <v>15</v>
      </c>
      <c r="D2071" s="521"/>
      <c r="E2071" s="521"/>
      <c r="F2071" s="521"/>
      <c r="G2071" s="521"/>
      <c r="H2071" s="521"/>
    </row>
    <row r="2072" spans="1:8" x14ac:dyDescent="0.25">
      <c r="A2072" s="524" t="s">
        <v>16</v>
      </c>
      <c r="B2072" s="525"/>
      <c r="C2072" s="526">
        <v>2021</v>
      </c>
      <c r="D2072" s="527">
        <v>2022</v>
      </c>
      <c r="E2072" s="540">
        <v>2023</v>
      </c>
      <c r="F2072" s="540">
        <v>2024</v>
      </c>
      <c r="G2072" s="540">
        <v>2025</v>
      </c>
      <c r="H2072" s="540">
        <v>2026</v>
      </c>
    </row>
    <row r="2073" spans="1:8" x14ac:dyDescent="0.25">
      <c r="A2073" s="524" t="s">
        <v>17</v>
      </c>
      <c r="B2073" s="525"/>
      <c r="C2073" s="528">
        <v>25</v>
      </c>
      <c r="D2073" s="528">
        <v>25</v>
      </c>
      <c r="E2073" s="528">
        <v>25</v>
      </c>
      <c r="F2073" s="528">
        <v>25</v>
      </c>
      <c r="G2073" s="528">
        <v>25</v>
      </c>
      <c r="H2073" s="541">
        <v>25</v>
      </c>
    </row>
    <row r="2074" spans="1:8" x14ac:dyDescent="0.25">
      <c r="A2074" s="524" t="s">
        <v>18</v>
      </c>
      <c r="B2074" s="525"/>
      <c r="C2074" s="528">
        <v>30</v>
      </c>
      <c r="D2074" s="528">
        <v>30</v>
      </c>
      <c r="E2074" s="553">
        <f>E2073+0.1*C2073</f>
        <v>27.5</v>
      </c>
      <c r="F2074" s="553">
        <f>F2073+0.1*D2073</f>
        <v>27.5</v>
      </c>
      <c r="G2074" s="553">
        <f>G2073+0.1*E2073</f>
        <v>27.5</v>
      </c>
      <c r="H2074" s="541">
        <v>27.5</v>
      </c>
    </row>
    <row r="2075" spans="1:8" x14ac:dyDescent="0.25">
      <c r="A2075" s="524" t="s">
        <v>19</v>
      </c>
      <c r="B2075" s="525"/>
      <c r="C2075" s="553" t="s">
        <v>682</v>
      </c>
      <c r="D2075" s="553" t="s">
        <v>683</v>
      </c>
      <c r="E2075" s="553" t="s">
        <v>1077</v>
      </c>
      <c r="F2075" s="553" t="s">
        <v>1078</v>
      </c>
      <c r="G2075" s="553" t="s">
        <v>1079</v>
      </c>
      <c r="H2075" s="542" t="s">
        <v>1215</v>
      </c>
    </row>
    <row r="2076" spans="1:8" x14ac:dyDescent="0.25">
      <c r="A2076" s="524" t="s">
        <v>20</v>
      </c>
      <c r="B2076" s="525"/>
      <c r="C2076" s="528">
        <v>0</v>
      </c>
      <c r="D2076" s="532">
        <v>0</v>
      </c>
      <c r="E2076" s="530">
        <v>0</v>
      </c>
      <c r="F2076" s="530">
        <v>0</v>
      </c>
      <c r="G2076" s="530"/>
      <c r="H2076" s="542"/>
    </row>
    <row r="2077" spans="1:8" x14ac:dyDescent="0.25">
      <c r="A2077" s="524" t="s">
        <v>21</v>
      </c>
      <c r="B2077" s="525"/>
      <c r="C2077" s="528">
        <v>30</v>
      </c>
      <c r="D2077" s="532">
        <f>D2074-D2076</f>
        <v>30</v>
      </c>
      <c r="E2077" s="532">
        <f>E2074-E2076</f>
        <v>27.5</v>
      </c>
      <c r="F2077" s="532">
        <f>F2074-F2076</f>
        <v>27.5</v>
      </c>
      <c r="G2077" s="530"/>
      <c r="H2077" s="542"/>
    </row>
    <row r="2078" spans="1:8" x14ac:dyDescent="0.25">
      <c r="A2078" s="533" t="s">
        <v>22</v>
      </c>
      <c r="B2078" s="534"/>
      <c r="C2078" s="535">
        <v>2023</v>
      </c>
      <c r="D2078" s="536">
        <v>2024</v>
      </c>
      <c r="E2078" s="535">
        <v>2025</v>
      </c>
      <c r="F2078" s="535">
        <v>2026</v>
      </c>
      <c r="G2078" s="535">
        <v>2027</v>
      </c>
      <c r="H2078" s="543">
        <v>2028</v>
      </c>
    </row>
    <row r="2079" spans="1:8" x14ac:dyDescent="0.25">
      <c r="A2079" s="544" t="s">
        <v>688</v>
      </c>
      <c r="B2079" s="554"/>
      <c r="C2079" s="555"/>
      <c r="D2079" s="555"/>
      <c r="E2079" s="555"/>
      <c r="F2079" s="555"/>
      <c r="G2079" s="19"/>
      <c r="H2079" s="63"/>
    </row>
    <row r="2080" spans="1:8" x14ac:dyDescent="0.25">
      <c r="A2080" s="546" t="s">
        <v>1080</v>
      </c>
      <c r="B2080" s="521"/>
      <c r="C2080" s="521"/>
      <c r="D2080" s="521"/>
      <c r="E2080" s="521"/>
      <c r="H2080" s="64"/>
    </row>
    <row r="2081" spans="1:8" x14ac:dyDescent="0.25">
      <c r="A2081" s="546" t="s">
        <v>1081</v>
      </c>
      <c r="B2081" s="521"/>
      <c r="C2081" s="521"/>
      <c r="D2081" s="521"/>
      <c r="E2081" s="521"/>
      <c r="H2081" s="64"/>
    </row>
    <row r="2082" spans="1:8" x14ac:dyDescent="0.25">
      <c r="A2082" s="550" t="s">
        <v>1213</v>
      </c>
      <c r="B2082" s="537"/>
      <c r="C2082" s="537"/>
      <c r="D2082" s="537"/>
      <c r="E2082" s="537"/>
      <c r="F2082" s="34"/>
      <c r="G2082" s="34"/>
      <c r="H2082" s="48"/>
    </row>
    <row r="2083" spans="1:8" x14ac:dyDescent="0.25">
      <c r="A2083" s="521"/>
      <c r="B2083" s="521"/>
      <c r="C2083" s="521"/>
      <c r="D2083" s="521"/>
      <c r="E2083" s="521"/>
    </row>
    <row r="2084" spans="1:8" x14ac:dyDescent="0.25">
      <c r="A2084" s="519" t="s">
        <v>14</v>
      </c>
      <c r="B2084" s="522" t="s">
        <v>642</v>
      </c>
      <c r="C2084" s="523" t="s">
        <v>15</v>
      </c>
      <c r="D2084" s="521"/>
      <c r="E2084" s="521"/>
      <c r="F2084" s="521"/>
      <c r="G2084" s="521"/>
      <c r="H2084" s="521"/>
    </row>
    <row r="2085" spans="1:8" x14ac:dyDescent="0.25">
      <c r="A2085" s="524" t="s">
        <v>16</v>
      </c>
      <c r="B2085" s="525"/>
      <c r="C2085" s="526">
        <v>2021</v>
      </c>
      <c r="D2085" s="527">
        <v>2022</v>
      </c>
      <c r="E2085" s="540">
        <v>2023</v>
      </c>
      <c r="F2085" s="540">
        <v>2024</v>
      </c>
      <c r="G2085" s="540">
        <v>2025</v>
      </c>
      <c r="H2085" s="540">
        <v>2026</v>
      </c>
    </row>
    <row r="2086" spans="1:8" x14ac:dyDescent="0.25">
      <c r="A2086" s="524" t="s">
        <v>17</v>
      </c>
      <c r="B2086" s="525"/>
      <c r="C2086" s="528">
        <v>48.4</v>
      </c>
      <c r="D2086" s="528">
        <v>48.4</v>
      </c>
      <c r="E2086" s="528">
        <v>63</v>
      </c>
      <c r="F2086" s="528">
        <v>63</v>
      </c>
      <c r="G2086" s="528">
        <v>63</v>
      </c>
      <c r="H2086" s="528">
        <v>63</v>
      </c>
    </row>
    <row r="2087" spans="1:8" x14ac:dyDescent="0.25">
      <c r="A2087" s="524" t="s">
        <v>18</v>
      </c>
      <c r="B2087" s="525"/>
      <c r="C2087" s="528"/>
      <c r="D2087" s="528">
        <f>D2086+0.05*C2086</f>
        <v>50.82</v>
      </c>
      <c r="E2087" s="530">
        <f>E2086+0.05*D2086</f>
        <v>65.42</v>
      </c>
      <c r="F2087" s="530">
        <f>F2086+0.05*E2086</f>
        <v>66.150000000000006</v>
      </c>
      <c r="G2087" s="530">
        <v>66.150000000000006</v>
      </c>
      <c r="H2087" s="542"/>
    </row>
    <row r="2088" spans="1:8" x14ac:dyDescent="0.25">
      <c r="A2088" s="524" t="s">
        <v>19</v>
      </c>
      <c r="B2088" s="525"/>
      <c r="C2088" s="530"/>
      <c r="D2088" s="532" t="s">
        <v>853</v>
      </c>
      <c r="E2088" s="530" t="s">
        <v>854</v>
      </c>
      <c r="F2088" s="530" t="s">
        <v>855</v>
      </c>
      <c r="G2088" s="530" t="s">
        <v>1082</v>
      </c>
      <c r="H2088" s="542" t="s">
        <v>1216</v>
      </c>
    </row>
    <row r="2089" spans="1:8" x14ac:dyDescent="0.25">
      <c r="A2089" s="524" t="s">
        <v>20</v>
      </c>
      <c r="B2089" s="525"/>
      <c r="C2089" s="528">
        <v>2.92</v>
      </c>
      <c r="D2089" s="532">
        <v>4.609</v>
      </c>
      <c r="E2089" s="530">
        <v>22.1</v>
      </c>
      <c r="F2089" s="530">
        <v>39.75</v>
      </c>
      <c r="G2089" s="530"/>
      <c r="H2089" s="542"/>
    </row>
    <row r="2090" spans="1:8" x14ac:dyDescent="0.25">
      <c r="A2090" s="524" t="s">
        <v>21</v>
      </c>
      <c r="B2090" s="525"/>
      <c r="C2090" s="528">
        <f>C2086-C2089</f>
        <v>45.48</v>
      </c>
      <c r="D2090" s="528">
        <f>D2087-D2089</f>
        <v>46.210999999999999</v>
      </c>
      <c r="E2090" s="528">
        <f>E2087-E2089</f>
        <v>43.32</v>
      </c>
      <c r="F2090" s="528">
        <f>F2087-F2089</f>
        <v>26.400000000000006</v>
      </c>
      <c r="G2090" s="530"/>
      <c r="H2090" s="542"/>
    </row>
    <row r="2091" spans="1:8" x14ac:dyDescent="0.25">
      <c r="A2091" s="533" t="s">
        <v>22</v>
      </c>
      <c r="B2091" s="534"/>
      <c r="C2091" s="535">
        <v>2022</v>
      </c>
      <c r="D2091" s="536">
        <v>2023</v>
      </c>
      <c r="E2091" s="535">
        <v>2024</v>
      </c>
      <c r="F2091" s="535">
        <v>2025</v>
      </c>
      <c r="G2091" s="535">
        <v>2026</v>
      </c>
      <c r="H2091" s="543">
        <v>2027</v>
      </c>
    </row>
    <row r="2092" spans="1:8" x14ac:dyDescent="0.25">
      <c r="A2092" s="544" t="s">
        <v>689</v>
      </c>
      <c r="B2092" s="554"/>
      <c r="C2092" s="555"/>
      <c r="D2092" s="555"/>
      <c r="E2092" s="555"/>
      <c r="F2092" s="555"/>
      <c r="G2092" s="555"/>
      <c r="H2092" s="63"/>
    </row>
    <row r="2093" spans="1:8" x14ac:dyDescent="0.25">
      <c r="A2093" s="546" t="s">
        <v>856</v>
      </c>
      <c r="B2093" s="521"/>
      <c r="C2093" s="556"/>
      <c r="D2093" s="556"/>
      <c r="E2093" s="556"/>
      <c r="F2093" s="556"/>
      <c r="G2093" s="556"/>
      <c r="H2093" s="64"/>
    </row>
    <row r="2094" spans="1:8" x14ac:dyDescent="0.25">
      <c r="A2094" s="546" t="s">
        <v>1083</v>
      </c>
      <c r="B2094" s="521"/>
      <c r="C2094" s="556"/>
      <c r="D2094" s="556"/>
      <c r="E2094" s="556"/>
      <c r="F2094" s="556"/>
      <c r="G2094" s="556"/>
      <c r="H2094" s="64"/>
    </row>
    <row r="2095" spans="1:8" x14ac:dyDescent="0.25">
      <c r="A2095" s="550" t="s">
        <v>1214</v>
      </c>
      <c r="B2095" s="537"/>
      <c r="C2095" s="537"/>
      <c r="D2095" s="537"/>
      <c r="E2095" s="537"/>
      <c r="F2095" s="34"/>
      <c r="G2095" s="34"/>
      <c r="H2095" s="48"/>
    </row>
    <row r="2096" spans="1:8" x14ac:dyDescent="0.25">
      <c r="A2096" s="521"/>
      <c r="B2096" s="521"/>
      <c r="C2096" s="521"/>
      <c r="D2096" s="521"/>
      <c r="E2096" s="521"/>
    </row>
    <row r="2097" spans="1:8" x14ac:dyDescent="0.25">
      <c r="A2097" s="519" t="s">
        <v>14</v>
      </c>
      <c r="B2097" s="522" t="s">
        <v>645</v>
      </c>
      <c r="C2097" s="523" t="s">
        <v>15</v>
      </c>
      <c r="D2097" s="521"/>
      <c r="E2097" s="521"/>
      <c r="F2097" s="521"/>
      <c r="G2097" s="521"/>
      <c r="H2097" s="521"/>
    </row>
    <row r="2098" spans="1:8" x14ac:dyDescent="0.25">
      <c r="A2098" s="524" t="s">
        <v>16</v>
      </c>
      <c r="B2098" s="525"/>
      <c r="C2098" s="526">
        <v>2021</v>
      </c>
      <c r="D2098" s="527">
        <v>2022</v>
      </c>
      <c r="E2098" s="540">
        <v>2023</v>
      </c>
      <c r="F2098" s="540">
        <v>2024</v>
      </c>
      <c r="G2098" s="540">
        <v>2025</v>
      </c>
      <c r="H2098" s="540">
        <v>2026</v>
      </c>
    </row>
    <row r="2099" spans="1:8" x14ac:dyDescent="0.25">
      <c r="A2099" s="524" t="s">
        <v>17</v>
      </c>
      <c r="B2099" s="525"/>
      <c r="C2099" s="528">
        <v>5.31</v>
      </c>
      <c r="D2099" s="528">
        <v>6.18</v>
      </c>
      <c r="E2099" s="528">
        <v>6.18</v>
      </c>
      <c r="F2099" s="528">
        <v>6.18</v>
      </c>
      <c r="G2099" s="528">
        <v>6.18</v>
      </c>
      <c r="H2099" s="542">
        <v>6.18</v>
      </c>
    </row>
    <row r="2100" spans="1:8" x14ac:dyDescent="0.25">
      <c r="A2100" s="524" t="s">
        <v>18</v>
      </c>
      <c r="B2100" s="525"/>
      <c r="C2100" s="528">
        <v>10.62</v>
      </c>
      <c r="D2100" s="528">
        <f>D2099+C2099</f>
        <v>11.489999999999998</v>
      </c>
      <c r="E2100" s="530">
        <f>E2099+D2099</f>
        <v>12.36</v>
      </c>
      <c r="F2100" s="530">
        <f>F2099*2</f>
        <v>12.36</v>
      </c>
      <c r="G2100" s="530">
        <f>G2099*2</f>
        <v>12.36</v>
      </c>
      <c r="H2100" s="542">
        <v>12.36</v>
      </c>
    </row>
    <row r="2101" spans="1:8" x14ac:dyDescent="0.25">
      <c r="A2101" s="524" t="s">
        <v>19</v>
      </c>
      <c r="B2101" s="525"/>
      <c r="C2101" s="530"/>
      <c r="D2101" s="532" t="s">
        <v>857</v>
      </c>
      <c r="E2101" s="530" t="s">
        <v>858</v>
      </c>
      <c r="F2101" s="530" t="s">
        <v>859</v>
      </c>
      <c r="G2101" s="530" t="s">
        <v>1084</v>
      </c>
      <c r="H2101" s="542" t="s">
        <v>1217</v>
      </c>
    </row>
    <row r="2102" spans="1:8" x14ac:dyDescent="0.25">
      <c r="A2102" s="524" t="s">
        <v>20</v>
      </c>
      <c r="B2102" s="525"/>
      <c r="C2102" s="528">
        <v>0.71</v>
      </c>
      <c r="D2102" s="532">
        <v>0</v>
      </c>
      <c r="E2102" s="530">
        <v>0.55000000000000004</v>
      </c>
      <c r="F2102" s="530">
        <v>0</v>
      </c>
      <c r="G2102" s="530"/>
      <c r="H2102" s="542"/>
    </row>
    <row r="2103" spans="1:8" x14ac:dyDescent="0.25">
      <c r="A2103" s="524" t="s">
        <v>21</v>
      </c>
      <c r="B2103" s="525"/>
      <c r="C2103" s="528">
        <f>C2100-C2102</f>
        <v>9.91</v>
      </c>
      <c r="D2103" s="528">
        <f>D2100-D2102</f>
        <v>11.489999999999998</v>
      </c>
      <c r="E2103" s="528">
        <f>E2100-E2102</f>
        <v>11.809999999999999</v>
      </c>
      <c r="F2103" s="528">
        <f>F2100-F2102</f>
        <v>12.36</v>
      </c>
      <c r="G2103" s="530"/>
      <c r="H2103" s="542"/>
    </row>
    <row r="2104" spans="1:8" x14ac:dyDescent="0.25">
      <c r="A2104" s="533" t="s">
        <v>22</v>
      </c>
      <c r="B2104" s="534"/>
      <c r="C2104" s="535">
        <v>2022</v>
      </c>
      <c r="D2104" s="536">
        <v>2023</v>
      </c>
      <c r="E2104" s="535">
        <v>2024</v>
      </c>
      <c r="F2104" s="535">
        <v>2025</v>
      </c>
      <c r="G2104" s="535">
        <v>2026</v>
      </c>
      <c r="H2104" s="543">
        <v>2027</v>
      </c>
    </row>
    <row r="2105" spans="1:8" x14ac:dyDescent="0.25">
      <c r="A2105" s="544" t="s">
        <v>690</v>
      </c>
      <c r="B2105" s="554"/>
      <c r="C2105" s="555"/>
      <c r="D2105" s="555"/>
      <c r="E2105" s="555"/>
      <c r="F2105" s="555"/>
      <c r="G2105" s="555"/>
      <c r="H2105" s="63"/>
    </row>
    <row r="2106" spans="1:8" x14ac:dyDescent="0.25">
      <c r="A2106" s="546" t="s">
        <v>860</v>
      </c>
      <c r="B2106" s="521"/>
      <c r="C2106" s="521"/>
      <c r="D2106" s="521"/>
      <c r="E2106" s="521"/>
      <c r="F2106" s="521"/>
      <c r="G2106" s="521"/>
      <c r="H2106" s="64"/>
    </row>
    <row r="2107" spans="1:8" x14ac:dyDescent="0.25">
      <c r="A2107" s="546" t="s">
        <v>1085</v>
      </c>
      <c r="B2107" s="521"/>
      <c r="C2107" s="521"/>
      <c r="D2107" s="521"/>
      <c r="E2107" s="521"/>
      <c r="F2107" s="521"/>
      <c r="G2107" s="521"/>
      <c r="H2107" s="64"/>
    </row>
    <row r="2108" spans="1:8" x14ac:dyDescent="0.25">
      <c r="A2108" s="550" t="s">
        <v>1218</v>
      </c>
      <c r="B2108" s="537"/>
      <c r="C2108" s="537"/>
      <c r="D2108" s="537"/>
      <c r="E2108" s="537"/>
      <c r="F2108" s="34"/>
      <c r="G2108" s="34"/>
      <c r="H2108" s="48"/>
    </row>
    <row r="2109" spans="1:8" x14ac:dyDescent="0.25">
      <c r="A2109" s="521"/>
      <c r="B2109" s="521"/>
      <c r="C2109" s="521"/>
      <c r="D2109" s="521"/>
      <c r="E2109" s="521"/>
    </row>
    <row r="2110" spans="1:8" x14ac:dyDescent="0.25">
      <c r="A2110" s="6" t="s">
        <v>204</v>
      </c>
      <c r="B2110" s="7" t="s">
        <v>818</v>
      </c>
    </row>
    <row r="2111" spans="1:8" x14ac:dyDescent="0.25">
      <c r="A2111" s="6" t="s">
        <v>203</v>
      </c>
      <c r="B2111" s="7" t="s">
        <v>638</v>
      </c>
      <c r="C2111" s="9" t="s">
        <v>15</v>
      </c>
    </row>
    <row r="2112" spans="1:8" x14ac:dyDescent="0.25">
      <c r="A2112" s="11" t="s">
        <v>16</v>
      </c>
      <c r="B2112" s="11"/>
      <c r="C2112" s="11"/>
      <c r="D2112" s="154">
        <v>2022</v>
      </c>
      <c r="E2112" s="154">
        <v>2023</v>
      </c>
      <c r="F2112" s="154">
        <v>2024</v>
      </c>
      <c r="G2112" s="154">
        <v>2025</v>
      </c>
      <c r="H2112" s="493">
        <v>2026</v>
      </c>
    </row>
    <row r="2113" spans="1:8" x14ac:dyDescent="0.25">
      <c r="A2113" s="11" t="s">
        <v>17</v>
      </c>
      <c r="B2113" s="12"/>
      <c r="C2113" s="12"/>
      <c r="D2113" s="12">
        <v>440</v>
      </c>
      <c r="E2113" s="12">
        <v>530</v>
      </c>
      <c r="F2113" s="12">
        <v>530</v>
      </c>
      <c r="G2113" s="12">
        <v>530</v>
      </c>
      <c r="H2113" s="131">
        <v>530</v>
      </c>
    </row>
    <row r="2114" spans="1:8" x14ac:dyDescent="0.25">
      <c r="A2114" s="11" t="s">
        <v>18</v>
      </c>
      <c r="B2114" s="12"/>
      <c r="C2114" s="12"/>
      <c r="D2114" s="12">
        <f>D2113+0.25*440-52.95</f>
        <v>497.05</v>
      </c>
      <c r="E2114" s="12">
        <f>E2113+0.25*440-100</f>
        <v>540</v>
      </c>
      <c r="F2114" s="12">
        <f>F2113-100</f>
        <v>430</v>
      </c>
      <c r="G2114" s="12">
        <f>G2113+0.25*E2113-100</f>
        <v>562.5</v>
      </c>
      <c r="H2114" s="131">
        <f>H2113+0.25*F2113-100</f>
        <v>562.5</v>
      </c>
    </row>
    <row r="2115" spans="1:8" x14ac:dyDescent="0.25">
      <c r="A2115" s="10" t="s">
        <v>19</v>
      </c>
      <c r="B2115" s="284"/>
      <c r="C2115" s="12"/>
      <c r="D2115" s="12"/>
      <c r="E2115" s="12"/>
      <c r="F2115" s="12"/>
      <c r="G2115" s="12"/>
      <c r="H2115" s="131"/>
    </row>
    <row r="2116" spans="1:8" x14ac:dyDescent="0.25">
      <c r="A2116" s="10" t="s">
        <v>20</v>
      </c>
      <c r="B2116" s="12"/>
      <c r="C2116" s="12"/>
      <c r="D2116" s="12">
        <v>0</v>
      </c>
      <c r="E2116" s="12">
        <v>0</v>
      </c>
      <c r="F2116" s="12">
        <v>0</v>
      </c>
      <c r="G2116" s="12"/>
      <c r="H2116" s="131"/>
    </row>
    <row r="2117" spans="1:8" x14ac:dyDescent="0.25">
      <c r="A2117" s="10" t="s">
        <v>21</v>
      </c>
      <c r="B2117" s="12"/>
      <c r="C2117" s="12"/>
      <c r="D2117" s="12">
        <f>D2114-D2116</f>
        <v>497.05</v>
      </c>
      <c r="E2117" s="12">
        <f>E2114-E2116</f>
        <v>540</v>
      </c>
      <c r="F2117" s="12">
        <f>F2114-F2116</f>
        <v>430</v>
      </c>
      <c r="G2117" s="12"/>
      <c r="H2117" s="131"/>
    </row>
    <row r="2118" spans="1:8" x14ac:dyDescent="0.25">
      <c r="A2118" s="18" t="s">
        <v>22</v>
      </c>
      <c r="B2118" s="62"/>
      <c r="C2118" s="62"/>
      <c r="D2118" s="643">
        <v>2024</v>
      </c>
      <c r="E2118" s="643">
        <v>2025</v>
      </c>
      <c r="F2118" s="643">
        <v>2026</v>
      </c>
      <c r="G2118" s="643">
        <v>2027</v>
      </c>
      <c r="H2118" s="643">
        <v>2028</v>
      </c>
    </row>
    <row r="2119" spans="1:8" x14ac:dyDescent="0.25">
      <c r="A2119" s="18" t="s">
        <v>23</v>
      </c>
      <c r="B2119" s="19"/>
      <c r="C2119" s="19"/>
      <c r="D2119" s="439"/>
      <c r="E2119" s="439"/>
      <c r="F2119" s="439"/>
      <c r="G2119" s="439"/>
      <c r="H2119" s="63"/>
    </row>
    <row r="2120" spans="1:8" x14ac:dyDescent="0.25">
      <c r="A2120" s="39" t="s">
        <v>906</v>
      </c>
      <c r="D2120" s="446"/>
      <c r="E2120" s="446"/>
      <c r="F2120" s="446"/>
      <c r="G2120" s="446"/>
      <c r="H2120" s="64"/>
    </row>
    <row r="2121" spans="1:8" x14ac:dyDescent="0.25">
      <c r="A2121" s="39" t="s">
        <v>819</v>
      </c>
      <c r="H2121" s="64"/>
    </row>
    <row r="2122" spans="1:8" x14ac:dyDescent="0.25">
      <c r="A2122" s="39" t="s">
        <v>1098</v>
      </c>
      <c r="H2122" s="64"/>
    </row>
    <row r="2123" spans="1:8" x14ac:dyDescent="0.25">
      <c r="A2123" s="39" t="s">
        <v>1099</v>
      </c>
      <c r="H2123" s="64"/>
    </row>
    <row r="2124" spans="1:8" x14ac:dyDescent="0.25">
      <c r="A2124" s="42" t="s">
        <v>1265</v>
      </c>
      <c r="B2124" s="34"/>
      <c r="C2124" s="34"/>
      <c r="D2124" s="34"/>
      <c r="E2124" s="34"/>
      <c r="F2124" s="34"/>
      <c r="G2124" s="34"/>
      <c r="H2124" s="48"/>
    </row>
    <row r="2127" spans="1:8" x14ac:dyDescent="0.25">
      <c r="A2127" s="519" t="s">
        <v>12</v>
      </c>
      <c r="B2127" s="520" t="s">
        <v>114</v>
      </c>
      <c r="D2127" s="521"/>
      <c r="E2127" s="521"/>
      <c r="F2127" s="521"/>
      <c r="G2127" s="521"/>
      <c r="H2127" s="521"/>
    </row>
    <row r="2128" spans="1:8" x14ac:dyDescent="0.25">
      <c r="A2128" s="519" t="s">
        <v>14</v>
      </c>
      <c r="B2128" s="522" t="s">
        <v>624</v>
      </c>
      <c r="C2128" s="523" t="s">
        <v>15</v>
      </c>
      <c r="D2128" s="521"/>
      <c r="E2128" s="521"/>
      <c r="F2128" s="521"/>
      <c r="G2128" s="521"/>
      <c r="H2128" s="521"/>
    </row>
    <row r="2129" spans="1:12" x14ac:dyDescent="0.25">
      <c r="A2129" s="524" t="s">
        <v>16</v>
      </c>
      <c r="B2129" s="525"/>
      <c r="C2129" s="526">
        <v>2016</v>
      </c>
      <c r="D2129" s="527">
        <v>2017</v>
      </c>
      <c r="E2129" s="540">
        <v>2018</v>
      </c>
      <c r="F2129" s="558">
        <v>2019</v>
      </c>
      <c r="G2129" s="559">
        <v>2020</v>
      </c>
      <c r="H2129" s="559">
        <v>2021</v>
      </c>
      <c r="I2129" s="559">
        <v>2022</v>
      </c>
      <c r="J2129" s="559">
        <v>2023</v>
      </c>
      <c r="K2129" s="559">
        <v>2024</v>
      </c>
      <c r="L2129" s="559">
        <v>2025</v>
      </c>
    </row>
    <row r="2130" spans="1:12" x14ac:dyDescent="0.25">
      <c r="A2130" s="524" t="s">
        <v>17</v>
      </c>
      <c r="B2130" s="525"/>
      <c r="C2130" s="528">
        <v>527</v>
      </c>
      <c r="D2130" s="528">
        <v>527</v>
      </c>
      <c r="E2130" s="530">
        <v>632.4</v>
      </c>
      <c r="F2130" s="560">
        <v>632.4</v>
      </c>
      <c r="G2130" s="561">
        <v>632.4</v>
      </c>
      <c r="H2130" s="561">
        <v>711.5</v>
      </c>
      <c r="I2130" s="561">
        <v>711.5</v>
      </c>
      <c r="J2130" s="561">
        <v>711.5</v>
      </c>
      <c r="K2130" s="561">
        <v>889.4</v>
      </c>
      <c r="L2130" s="561">
        <v>889.4</v>
      </c>
    </row>
    <row r="2131" spans="1:12" x14ac:dyDescent="0.25">
      <c r="A2131" s="524" t="s">
        <v>18</v>
      </c>
      <c r="B2131" s="525"/>
      <c r="C2131" s="528">
        <v>658.75</v>
      </c>
      <c r="D2131" s="528">
        <v>658.75</v>
      </c>
      <c r="E2131" s="530">
        <v>764.15</v>
      </c>
      <c r="F2131" s="560">
        <v>790.5</v>
      </c>
      <c r="G2131" s="561">
        <v>790.5</v>
      </c>
      <c r="H2131" s="561">
        <f>H2130+0.25*G2130</f>
        <v>869.6</v>
      </c>
      <c r="I2131" s="561">
        <f>I2130+0.25*H2130</f>
        <v>889.375</v>
      </c>
      <c r="J2131" s="561">
        <f>J2130+0.25*I2130</f>
        <v>889.375</v>
      </c>
      <c r="K2131" s="561">
        <f>K2130+0.25*J2130</f>
        <v>1067.2750000000001</v>
      </c>
      <c r="L2131" s="561">
        <f>L2130+0.25*K2130</f>
        <v>1111.75</v>
      </c>
    </row>
    <row r="2132" spans="1:12" x14ac:dyDescent="0.25">
      <c r="A2132" s="524" t="s">
        <v>19</v>
      </c>
      <c r="B2132" s="525"/>
      <c r="C2132" s="530"/>
      <c r="D2132" s="532"/>
      <c r="E2132" s="530"/>
      <c r="F2132" s="560"/>
      <c r="G2132" s="561"/>
      <c r="H2132" s="561"/>
      <c r="I2132" s="561"/>
      <c r="J2132" s="561"/>
      <c r="K2132" s="561"/>
      <c r="L2132" s="561"/>
    </row>
    <row r="2133" spans="1:12" x14ac:dyDescent="0.25">
      <c r="A2133" s="524" t="s">
        <v>20</v>
      </c>
      <c r="B2133" s="525"/>
      <c r="C2133" s="528">
        <v>250.22</v>
      </c>
      <c r="D2133" s="532">
        <v>238.35</v>
      </c>
      <c r="E2133" s="530">
        <v>102.57</v>
      </c>
      <c r="F2133" s="560">
        <v>221.13</v>
      </c>
      <c r="G2133" s="561">
        <v>328.36</v>
      </c>
      <c r="H2133" s="561">
        <v>295.93</v>
      </c>
      <c r="I2133" s="561">
        <v>310.56</v>
      </c>
      <c r="J2133" s="562">
        <v>180.1</v>
      </c>
      <c r="K2133" s="562">
        <v>228.4</v>
      </c>
      <c r="L2133" s="561"/>
    </row>
    <row r="2134" spans="1:12" x14ac:dyDescent="0.25">
      <c r="A2134" s="524" t="s">
        <v>21</v>
      </c>
      <c r="B2134" s="525"/>
      <c r="C2134" s="528">
        <v>408.53</v>
      </c>
      <c r="D2134" s="532">
        <v>420.4</v>
      </c>
      <c r="E2134" s="530">
        <f t="shared" ref="E2134:K2134" si="85">E2131-E2133</f>
        <v>661.57999999999993</v>
      </c>
      <c r="F2134" s="560">
        <f t="shared" si="85"/>
        <v>569.37</v>
      </c>
      <c r="G2134" s="561">
        <f t="shared" si="85"/>
        <v>462.14</v>
      </c>
      <c r="H2134" s="561">
        <f t="shared" si="85"/>
        <v>573.67000000000007</v>
      </c>
      <c r="I2134" s="561">
        <f t="shared" si="85"/>
        <v>578.81500000000005</v>
      </c>
      <c r="J2134" s="562">
        <f t="shared" si="85"/>
        <v>709.27499999999998</v>
      </c>
      <c r="K2134" s="562">
        <f t="shared" si="85"/>
        <v>838.87500000000011</v>
      </c>
      <c r="L2134" s="561"/>
    </row>
    <row r="2135" spans="1:12" x14ac:dyDescent="0.25">
      <c r="A2135" s="533" t="s">
        <v>22</v>
      </c>
      <c r="B2135" s="534"/>
      <c r="C2135" s="535">
        <v>2017</v>
      </c>
      <c r="D2135" s="536">
        <v>2018</v>
      </c>
      <c r="E2135" s="535">
        <v>2019</v>
      </c>
      <c r="F2135" s="563">
        <v>2020</v>
      </c>
      <c r="G2135" s="564">
        <v>2021</v>
      </c>
      <c r="H2135" s="564">
        <v>2022</v>
      </c>
      <c r="I2135" s="564">
        <v>2023</v>
      </c>
      <c r="J2135" s="564">
        <v>2024</v>
      </c>
      <c r="K2135" s="564">
        <v>2025</v>
      </c>
      <c r="L2135" s="565">
        <v>2026</v>
      </c>
    </row>
    <row r="2136" spans="1:12" x14ac:dyDescent="0.25">
      <c r="A2136" s="566" t="s">
        <v>115</v>
      </c>
      <c r="B2136" s="567"/>
      <c r="C2136" s="567"/>
      <c r="D2136" s="567"/>
      <c r="E2136" s="567"/>
      <c r="F2136" s="567"/>
      <c r="G2136" s="567"/>
      <c r="H2136" s="567"/>
      <c r="I2136" s="567"/>
      <c r="J2136" s="567"/>
      <c r="K2136" s="567"/>
      <c r="L2136" s="88"/>
    </row>
    <row r="2137" spans="1:12" x14ac:dyDescent="0.25">
      <c r="A2137" s="544" t="s">
        <v>116</v>
      </c>
      <c r="B2137" s="554"/>
      <c r="C2137" s="554"/>
      <c r="D2137" s="489"/>
      <c r="E2137" s="489"/>
      <c r="F2137" s="489"/>
      <c r="G2137" s="489"/>
      <c r="H2137" s="489"/>
      <c r="I2137" s="489"/>
      <c r="J2137" s="554"/>
      <c r="K2137" s="554"/>
      <c r="L2137" s="63"/>
    </row>
    <row r="2138" spans="1:12" x14ac:dyDescent="0.25">
      <c r="A2138" s="546" t="s">
        <v>117</v>
      </c>
      <c r="B2138" s="521"/>
      <c r="C2138" s="521"/>
      <c r="D2138" s="521"/>
      <c r="E2138" s="521"/>
      <c r="F2138" s="521"/>
      <c r="G2138" s="521"/>
      <c r="H2138" s="521"/>
      <c r="I2138" s="521"/>
      <c r="J2138" s="521"/>
      <c r="K2138" s="521"/>
      <c r="L2138" s="64"/>
    </row>
    <row r="2139" spans="1:12" x14ac:dyDescent="0.25">
      <c r="A2139" s="546" t="s">
        <v>118</v>
      </c>
      <c r="B2139" s="521"/>
      <c r="C2139" s="521"/>
      <c r="D2139" s="521"/>
      <c r="E2139" s="521"/>
      <c r="F2139" s="521"/>
      <c r="G2139" s="521"/>
      <c r="H2139" s="521"/>
      <c r="I2139" s="521"/>
      <c r="J2139" s="521"/>
      <c r="K2139" s="521"/>
      <c r="L2139" s="64"/>
    </row>
    <row r="2140" spans="1:12" x14ac:dyDescent="0.25">
      <c r="A2140" s="546" t="s">
        <v>119</v>
      </c>
      <c r="B2140" s="521"/>
      <c r="C2140" s="521"/>
      <c r="D2140" s="521"/>
      <c r="E2140" s="521"/>
      <c r="F2140" s="521"/>
      <c r="G2140" s="521"/>
      <c r="H2140" s="521"/>
      <c r="I2140" s="521"/>
      <c r="J2140" s="521"/>
      <c r="K2140" s="521"/>
      <c r="L2140" s="64"/>
    </row>
    <row r="2141" spans="1:12" x14ac:dyDescent="0.25">
      <c r="A2141" s="546" t="s">
        <v>301</v>
      </c>
      <c r="B2141" s="521"/>
      <c r="C2141" s="521"/>
      <c r="D2141" s="521"/>
      <c r="E2141" s="521"/>
      <c r="F2141" s="521"/>
      <c r="G2141" s="521"/>
      <c r="H2141" s="521"/>
      <c r="I2141" s="521"/>
      <c r="J2141" s="521"/>
      <c r="K2141" s="521"/>
      <c r="L2141" s="64"/>
    </row>
    <row r="2142" spans="1:12" x14ac:dyDescent="0.25">
      <c r="A2142" s="546" t="s">
        <v>532</v>
      </c>
      <c r="B2142" s="521"/>
      <c r="C2142" s="521"/>
      <c r="D2142" s="521"/>
      <c r="E2142" s="521"/>
      <c r="F2142" s="521"/>
      <c r="G2142" s="521"/>
      <c r="H2142" s="521"/>
      <c r="I2142" s="521"/>
      <c r="J2142" s="521"/>
      <c r="K2142" s="521"/>
      <c r="L2142" s="64"/>
    </row>
    <row r="2143" spans="1:12" x14ac:dyDescent="0.25">
      <c r="A2143" s="546" t="s">
        <v>666</v>
      </c>
      <c r="B2143" s="521"/>
      <c r="C2143" s="521"/>
      <c r="D2143" s="521"/>
      <c r="E2143" s="521"/>
      <c r="F2143" s="521"/>
      <c r="G2143" s="521"/>
      <c r="H2143" s="521"/>
      <c r="I2143" s="521"/>
      <c r="J2143" s="521"/>
      <c r="K2143" s="521"/>
      <c r="L2143" s="64"/>
    </row>
    <row r="2144" spans="1:12" x14ac:dyDescent="0.25">
      <c r="A2144" s="546" t="s">
        <v>865</v>
      </c>
      <c r="B2144" s="521"/>
      <c r="C2144" s="521"/>
      <c r="D2144" s="521"/>
      <c r="E2144" s="521"/>
      <c r="F2144" s="521"/>
      <c r="G2144" s="521"/>
      <c r="H2144" s="521"/>
      <c r="I2144" s="521"/>
      <c r="J2144" s="521"/>
      <c r="K2144" s="521"/>
      <c r="L2144" s="64"/>
    </row>
    <row r="2145" spans="1:26" s="50" customFormat="1" ht="14.4" x14ac:dyDescent="0.3">
      <c r="A2145" s="39" t="s">
        <v>1020</v>
      </c>
      <c r="B2145" s="3"/>
      <c r="C2145" s="3"/>
      <c r="D2145" s="3"/>
      <c r="E2145" s="3"/>
      <c r="F2145" s="3"/>
      <c r="G2145" s="3"/>
      <c r="H2145" s="3"/>
      <c r="I2145" s="3"/>
      <c r="J2145" s="3"/>
      <c r="K2145" s="3"/>
      <c r="L2145" s="64"/>
      <c r="M2145" s="3"/>
      <c r="N2145" s="3"/>
      <c r="O2145" s="3"/>
      <c r="P2145" s="3"/>
      <c r="Q2145" s="3"/>
      <c r="R2145" s="3"/>
      <c r="S2145" s="3"/>
      <c r="T2145" s="3"/>
      <c r="U2145" s="3"/>
      <c r="V2145" s="3"/>
      <c r="W2145" s="3"/>
      <c r="X2145" s="3"/>
      <c r="Y2145" s="3"/>
      <c r="Z2145" s="3"/>
    </row>
    <row r="2146" spans="1:26" s="50" customFormat="1" ht="14.4" x14ac:dyDescent="0.3">
      <c r="A2146" s="150" t="s">
        <v>1123</v>
      </c>
      <c r="B2146" s="3"/>
      <c r="C2146" s="3"/>
      <c r="D2146" s="3"/>
      <c r="E2146" s="3"/>
      <c r="F2146" s="3"/>
      <c r="G2146" s="3"/>
      <c r="H2146" s="3"/>
      <c r="I2146" s="3"/>
      <c r="J2146" s="3"/>
      <c r="K2146" s="3"/>
      <c r="L2146" s="64"/>
      <c r="M2146" s="3"/>
      <c r="N2146" s="3"/>
      <c r="O2146" s="3"/>
      <c r="P2146" s="3"/>
      <c r="Q2146" s="3"/>
      <c r="R2146" s="3"/>
      <c r="S2146" s="3"/>
      <c r="T2146" s="3"/>
      <c r="U2146" s="3"/>
      <c r="V2146" s="3"/>
      <c r="W2146" s="3"/>
      <c r="X2146" s="3"/>
      <c r="Y2146" s="3"/>
      <c r="Z2146" s="3"/>
    </row>
    <row r="2147" spans="1:26" x14ac:dyDescent="0.25">
      <c r="A2147" s="546" t="s">
        <v>533</v>
      </c>
      <c r="B2147" s="521"/>
      <c r="C2147" s="521"/>
      <c r="D2147" s="521"/>
      <c r="E2147" s="521"/>
      <c r="F2147" s="521"/>
      <c r="G2147" s="521"/>
      <c r="H2147" s="521"/>
      <c r="I2147" s="521"/>
      <c r="J2147" s="521"/>
      <c r="K2147" s="521"/>
      <c r="L2147" s="64"/>
    </row>
    <row r="2148" spans="1:26" x14ac:dyDescent="0.25">
      <c r="A2148" s="546" t="s">
        <v>534</v>
      </c>
      <c r="B2148" s="521"/>
      <c r="C2148" s="521"/>
      <c r="D2148" s="521"/>
      <c r="E2148" s="521"/>
      <c r="F2148" s="521"/>
      <c r="G2148" s="521"/>
      <c r="H2148" s="521"/>
      <c r="I2148" s="521"/>
      <c r="J2148" s="521"/>
      <c r="K2148" s="521"/>
      <c r="L2148" s="64"/>
    </row>
    <row r="2149" spans="1:26" s="50" customFormat="1" ht="12.75" customHeight="1" x14ac:dyDescent="0.3">
      <c r="A2149" s="39" t="s">
        <v>1021</v>
      </c>
      <c r="B2149" s="3"/>
      <c r="C2149" s="3"/>
      <c r="D2149" s="3"/>
      <c r="E2149" s="3"/>
      <c r="F2149" s="3"/>
      <c r="G2149" s="3"/>
      <c r="H2149" s="3"/>
      <c r="I2149" s="3"/>
      <c r="J2149" s="3"/>
      <c r="K2149" s="3"/>
      <c r="L2149" s="64"/>
      <c r="M2149" s="3"/>
      <c r="N2149" s="3"/>
      <c r="O2149" s="3"/>
      <c r="P2149" s="3"/>
      <c r="Q2149" s="3"/>
      <c r="R2149" s="3"/>
      <c r="S2149" s="3"/>
      <c r="T2149" s="3"/>
      <c r="U2149" s="3"/>
      <c r="V2149" s="3"/>
      <c r="W2149" s="3"/>
      <c r="X2149" s="3"/>
      <c r="Y2149" s="3"/>
      <c r="Z2149" s="3"/>
    </row>
    <row r="2150" spans="1:26" s="59" customFormat="1" ht="12.75" customHeight="1" x14ac:dyDescent="0.3">
      <c r="A2150" s="42" t="s">
        <v>1124</v>
      </c>
      <c r="B2150" s="34"/>
      <c r="C2150" s="34"/>
      <c r="D2150" s="34"/>
      <c r="E2150" s="34"/>
      <c r="F2150" s="34"/>
      <c r="G2150" s="34"/>
      <c r="H2150" s="34"/>
      <c r="I2150" s="34"/>
      <c r="J2150" s="34"/>
      <c r="K2150" s="34"/>
      <c r="L2150" s="48"/>
      <c r="M2150" s="34"/>
      <c r="N2150" s="34"/>
      <c r="O2150" s="34"/>
      <c r="P2150" s="34"/>
      <c r="Q2150" s="34"/>
      <c r="R2150" s="34"/>
      <c r="S2150" s="34"/>
      <c r="T2150" s="34"/>
      <c r="U2150" s="34"/>
      <c r="V2150" s="34"/>
      <c r="W2150" s="34"/>
      <c r="X2150" s="34"/>
      <c r="Y2150" s="34"/>
      <c r="Z2150" s="34"/>
    </row>
    <row r="2152" spans="1:26" x14ac:dyDescent="0.25">
      <c r="A2152" s="519" t="s">
        <v>14</v>
      </c>
      <c r="B2152" s="522" t="s">
        <v>623</v>
      </c>
      <c r="C2152" s="523" t="s">
        <v>15</v>
      </c>
      <c r="D2152" s="521"/>
      <c r="E2152" s="521"/>
      <c r="F2152" s="521"/>
      <c r="G2152" s="521"/>
      <c r="H2152" s="521"/>
    </row>
    <row r="2153" spans="1:26" x14ac:dyDescent="0.25">
      <c r="A2153" s="524" t="s">
        <v>16</v>
      </c>
      <c r="B2153" s="525"/>
      <c r="C2153" s="568">
        <v>2017</v>
      </c>
      <c r="D2153" s="540">
        <v>2018</v>
      </c>
      <c r="E2153" s="540">
        <v>2019</v>
      </c>
      <c r="F2153" s="558">
        <v>2020</v>
      </c>
      <c r="G2153" s="559">
        <v>2021</v>
      </c>
      <c r="H2153" s="559">
        <v>2022</v>
      </c>
      <c r="I2153" s="559">
        <v>2023</v>
      </c>
      <c r="J2153" s="559">
        <v>2024</v>
      </c>
      <c r="K2153" s="569">
        <v>2025</v>
      </c>
    </row>
    <row r="2154" spans="1:26" x14ac:dyDescent="0.25">
      <c r="A2154" s="524" t="s">
        <v>17</v>
      </c>
      <c r="B2154" s="525"/>
      <c r="C2154" s="528">
        <v>3907</v>
      </c>
      <c r="D2154" s="528">
        <v>3907</v>
      </c>
      <c r="E2154" s="530">
        <v>3907</v>
      </c>
      <c r="F2154" s="560">
        <v>3907</v>
      </c>
      <c r="G2154" s="561">
        <v>3907</v>
      </c>
      <c r="H2154" s="561">
        <v>3907</v>
      </c>
      <c r="I2154" s="561">
        <v>3907</v>
      </c>
      <c r="J2154" s="561">
        <v>3907</v>
      </c>
      <c r="K2154" s="562">
        <v>3907</v>
      </c>
    </row>
    <row r="2155" spans="1:26" x14ac:dyDescent="0.25">
      <c r="A2155" s="524" t="s">
        <v>18</v>
      </c>
      <c r="B2155" s="525"/>
      <c r="C2155" s="528">
        <v>4468.05</v>
      </c>
      <c r="D2155" s="528">
        <v>4493.05</v>
      </c>
      <c r="E2155" s="530">
        <v>4493.05</v>
      </c>
      <c r="F2155" s="560">
        <v>4493.05</v>
      </c>
      <c r="G2155" s="561">
        <v>4493.05</v>
      </c>
      <c r="H2155" s="561">
        <v>4493.05</v>
      </c>
      <c r="I2155" s="561">
        <v>4493.05</v>
      </c>
      <c r="J2155" s="561">
        <f>J2154+I2154*0.15-200</f>
        <v>4293.05</v>
      </c>
      <c r="K2155" s="562">
        <f>K2154+(K2154*0.15)-300</f>
        <v>4193.05</v>
      </c>
    </row>
    <row r="2156" spans="1:26" x14ac:dyDescent="0.25">
      <c r="A2156" s="524" t="s">
        <v>19</v>
      </c>
      <c r="B2156" s="525"/>
      <c r="C2156" s="570"/>
      <c r="D2156" s="530"/>
      <c r="E2156" s="530"/>
      <c r="F2156" s="560"/>
      <c r="G2156" s="561"/>
      <c r="H2156" s="561"/>
      <c r="I2156" s="561"/>
      <c r="J2156" s="561"/>
      <c r="K2156" s="562"/>
    </row>
    <row r="2157" spans="1:26" x14ac:dyDescent="0.25">
      <c r="A2157" s="524" t="s">
        <v>20</v>
      </c>
      <c r="B2157" s="525"/>
      <c r="C2157" s="571">
        <v>1404.81</v>
      </c>
      <c r="D2157" s="530">
        <v>1274.78</v>
      </c>
      <c r="E2157" s="530">
        <v>1736.49</v>
      </c>
      <c r="F2157" s="560">
        <v>1441.75</v>
      </c>
      <c r="G2157" s="561">
        <v>1231.69</v>
      </c>
      <c r="H2157" s="561">
        <v>1339.32</v>
      </c>
      <c r="I2157" s="561">
        <v>1008.8</v>
      </c>
      <c r="J2157" s="561">
        <v>890.44</v>
      </c>
      <c r="K2157" s="562"/>
    </row>
    <row r="2158" spans="1:26" x14ac:dyDescent="0.25">
      <c r="A2158" s="524" t="s">
        <v>21</v>
      </c>
      <c r="B2158" s="525"/>
      <c r="C2158" s="528">
        <v>3063.24</v>
      </c>
      <c r="D2158" s="530">
        <f t="shared" ref="D2158:H2158" si="86">D2155-D2157</f>
        <v>3218.2700000000004</v>
      </c>
      <c r="E2158" s="530">
        <f t="shared" si="86"/>
        <v>2756.5600000000004</v>
      </c>
      <c r="F2158" s="530">
        <f t="shared" si="86"/>
        <v>3051.3</v>
      </c>
      <c r="G2158" s="561">
        <f t="shared" si="86"/>
        <v>3261.36</v>
      </c>
      <c r="H2158" s="561">
        <f t="shared" si="86"/>
        <v>3153.7300000000005</v>
      </c>
      <c r="I2158" s="561">
        <v>3484.25</v>
      </c>
      <c r="J2158" s="561">
        <v>3402.61</v>
      </c>
      <c r="K2158" s="562"/>
    </row>
    <row r="2159" spans="1:26" x14ac:dyDescent="0.25">
      <c r="A2159" s="533" t="s">
        <v>22</v>
      </c>
      <c r="B2159" s="534"/>
      <c r="C2159" s="556">
        <v>2018</v>
      </c>
      <c r="D2159" s="535">
        <v>2019</v>
      </c>
      <c r="E2159" s="535">
        <v>2020</v>
      </c>
      <c r="F2159" s="563">
        <v>2021</v>
      </c>
      <c r="G2159" s="564">
        <v>2022</v>
      </c>
      <c r="H2159" s="564">
        <v>2023</v>
      </c>
      <c r="I2159" s="564">
        <v>2024</v>
      </c>
      <c r="J2159" s="564">
        <v>2025</v>
      </c>
      <c r="K2159" s="572">
        <v>2026</v>
      </c>
    </row>
    <row r="2160" spans="1:26" x14ac:dyDescent="0.25">
      <c r="A2160" s="566" t="s">
        <v>120</v>
      </c>
      <c r="B2160" s="567"/>
      <c r="C2160" s="567"/>
      <c r="D2160" s="567"/>
      <c r="E2160" s="567"/>
      <c r="F2160" s="567"/>
      <c r="G2160" s="567"/>
      <c r="H2160" s="567"/>
      <c r="I2160" s="567"/>
      <c r="J2160" s="567"/>
      <c r="K2160" s="88"/>
    </row>
    <row r="2161" spans="1:11" x14ac:dyDescent="0.25">
      <c r="A2161" s="544" t="s">
        <v>121</v>
      </c>
      <c r="B2161" s="554"/>
      <c r="C2161" s="554"/>
      <c r="D2161" s="554"/>
      <c r="E2161" s="554"/>
      <c r="F2161" s="554"/>
      <c r="G2161" s="554"/>
      <c r="H2161" s="554"/>
      <c r="I2161" s="554"/>
      <c r="J2161" s="554"/>
      <c r="K2161" s="63"/>
    </row>
    <row r="2162" spans="1:11" x14ac:dyDescent="0.25">
      <c r="A2162" s="546" t="s">
        <v>122</v>
      </c>
      <c r="B2162" s="521"/>
      <c r="C2162" s="521"/>
      <c r="D2162" s="521"/>
      <c r="E2162" s="521"/>
      <c r="F2162" s="521"/>
      <c r="G2162" s="521"/>
      <c r="H2162" s="521"/>
      <c r="I2162" s="521"/>
      <c r="J2162" s="521"/>
      <c r="K2162" s="64"/>
    </row>
    <row r="2163" spans="1:11" x14ac:dyDescent="0.25">
      <c r="A2163" s="546" t="s">
        <v>123</v>
      </c>
      <c r="B2163" s="521"/>
      <c r="C2163" s="521"/>
      <c r="D2163" s="521"/>
      <c r="E2163" s="521"/>
      <c r="F2163" s="521"/>
      <c r="G2163" s="521"/>
      <c r="H2163" s="521"/>
      <c r="I2163" s="521"/>
      <c r="J2163" s="521"/>
      <c r="K2163" s="64"/>
    </row>
    <row r="2164" spans="1:11" x14ac:dyDescent="0.25">
      <c r="A2164" s="39" t="s">
        <v>302</v>
      </c>
      <c r="B2164" s="521"/>
      <c r="C2164" s="521"/>
      <c r="D2164" s="521"/>
      <c r="E2164" s="521"/>
      <c r="F2164" s="521"/>
      <c r="G2164" s="521"/>
      <c r="H2164" s="521"/>
      <c r="I2164" s="521"/>
      <c r="J2164" s="521"/>
      <c r="K2164" s="64"/>
    </row>
    <row r="2165" spans="1:11" x14ac:dyDescent="0.25">
      <c r="A2165" s="546" t="s">
        <v>535</v>
      </c>
      <c r="B2165" s="521"/>
      <c r="C2165" s="521"/>
      <c r="D2165" s="521"/>
      <c r="E2165" s="521"/>
      <c r="F2165" s="521"/>
      <c r="G2165" s="521"/>
      <c r="H2165" s="521"/>
      <c r="I2165" s="521"/>
      <c r="J2165" s="521"/>
      <c r="K2165" s="64"/>
    </row>
    <row r="2166" spans="1:11" x14ac:dyDescent="0.25">
      <c r="A2166" s="546" t="s">
        <v>667</v>
      </c>
      <c r="B2166" s="521"/>
      <c r="C2166" s="521"/>
      <c r="D2166" s="521"/>
      <c r="E2166" s="521"/>
      <c r="F2166" s="521"/>
      <c r="G2166" s="521"/>
      <c r="H2166" s="521"/>
      <c r="I2166" s="521"/>
      <c r="J2166" s="521"/>
      <c r="K2166" s="64"/>
    </row>
    <row r="2167" spans="1:11" x14ac:dyDescent="0.25">
      <c r="A2167" s="546" t="s">
        <v>866</v>
      </c>
      <c r="B2167" s="521"/>
      <c r="C2167" s="521"/>
      <c r="D2167" s="521"/>
      <c r="E2167" s="521"/>
      <c r="F2167" s="521"/>
      <c r="G2167" s="521"/>
      <c r="H2167" s="521"/>
      <c r="I2167" s="521"/>
      <c r="J2167" s="521"/>
      <c r="K2167" s="64"/>
    </row>
    <row r="2168" spans="1:11" x14ac:dyDescent="0.25">
      <c r="A2168" s="546" t="s">
        <v>1022</v>
      </c>
      <c r="B2168" s="521"/>
      <c r="C2168" s="521"/>
      <c r="D2168" s="521"/>
      <c r="E2168" s="521"/>
      <c r="F2168" s="521"/>
      <c r="G2168" s="521"/>
      <c r="H2168" s="521"/>
      <c r="I2168" s="521"/>
      <c r="J2168" s="521"/>
      <c r="K2168" s="64"/>
    </row>
    <row r="2169" spans="1:11" x14ac:dyDescent="0.25">
      <c r="A2169" s="550" t="s">
        <v>1219</v>
      </c>
      <c r="B2169" s="537"/>
      <c r="C2169" s="537"/>
      <c r="D2169" s="537"/>
      <c r="E2169" s="537"/>
      <c r="F2169" s="537"/>
      <c r="G2169" s="537"/>
      <c r="H2169" s="537"/>
      <c r="I2169" s="537"/>
      <c r="J2169" s="537"/>
      <c r="K2169" s="48"/>
    </row>
    <row r="2171" spans="1:11" x14ac:dyDescent="0.25">
      <c r="A2171" s="519" t="s">
        <v>14</v>
      </c>
      <c r="B2171" s="522" t="s">
        <v>641</v>
      </c>
      <c r="C2171" s="523" t="s">
        <v>15</v>
      </c>
      <c r="D2171" s="521"/>
      <c r="E2171" s="521"/>
      <c r="F2171" s="521"/>
      <c r="G2171" s="521"/>
      <c r="H2171" s="521"/>
    </row>
    <row r="2172" spans="1:11" x14ac:dyDescent="0.25">
      <c r="A2172" s="524" t="s">
        <v>16</v>
      </c>
      <c r="B2172" s="525"/>
      <c r="C2172" s="573">
        <v>2017</v>
      </c>
      <c r="D2172" s="574">
        <v>2018</v>
      </c>
      <c r="E2172" s="574">
        <v>2019</v>
      </c>
      <c r="F2172" s="575">
        <v>2020</v>
      </c>
      <c r="G2172" s="559">
        <v>2021</v>
      </c>
      <c r="H2172" s="559">
        <v>2022</v>
      </c>
      <c r="I2172" s="559">
        <v>2023</v>
      </c>
      <c r="J2172" s="559">
        <v>2024</v>
      </c>
      <c r="K2172" s="569">
        <v>2025</v>
      </c>
    </row>
    <row r="2173" spans="1:11" x14ac:dyDescent="0.25">
      <c r="A2173" s="524" t="s">
        <v>17</v>
      </c>
      <c r="B2173" s="524"/>
      <c r="C2173" s="576">
        <v>100</v>
      </c>
      <c r="D2173" s="576">
        <v>100</v>
      </c>
      <c r="E2173" s="561">
        <v>100</v>
      </c>
      <c r="F2173" s="561">
        <v>100</v>
      </c>
      <c r="G2173" s="561">
        <v>100</v>
      </c>
      <c r="H2173" s="561">
        <v>100</v>
      </c>
      <c r="I2173" s="561">
        <v>100</v>
      </c>
      <c r="J2173" s="561">
        <v>100</v>
      </c>
      <c r="K2173" s="562">
        <v>100</v>
      </c>
    </row>
    <row r="2174" spans="1:11" x14ac:dyDescent="0.25">
      <c r="A2174" s="524" t="s">
        <v>18</v>
      </c>
      <c r="B2174" s="524"/>
      <c r="C2174" s="576">
        <v>99.94</v>
      </c>
      <c r="D2174" s="576">
        <v>99.94</v>
      </c>
      <c r="E2174" s="561">
        <v>99.94</v>
      </c>
      <c r="F2174" s="561">
        <v>99.94</v>
      </c>
      <c r="G2174" s="561">
        <v>99.94</v>
      </c>
      <c r="H2174" s="561">
        <f>H2173-50-25-24.94+G2177</f>
        <v>100</v>
      </c>
      <c r="I2174" s="561">
        <f>I2173-50-25-25+H2177</f>
        <v>100</v>
      </c>
      <c r="J2174" s="561">
        <f>J2173-50-25-25+I2177</f>
        <v>100</v>
      </c>
      <c r="K2174" s="562">
        <f t="shared" ref="K2174" si="87">K2173-50-25-25+I2177</f>
        <v>100</v>
      </c>
    </row>
    <row r="2175" spans="1:11" x14ac:dyDescent="0.25">
      <c r="A2175" s="524" t="s">
        <v>19</v>
      </c>
      <c r="B2175" s="524"/>
      <c r="C2175" s="561"/>
      <c r="D2175" s="561"/>
      <c r="E2175" s="561"/>
      <c r="F2175" s="561"/>
      <c r="G2175" s="561"/>
      <c r="H2175" s="561"/>
      <c r="I2175" s="561"/>
      <c r="J2175" s="561"/>
      <c r="K2175" s="562"/>
    </row>
    <row r="2176" spans="1:11" x14ac:dyDescent="0.25">
      <c r="A2176" s="524" t="s">
        <v>20</v>
      </c>
      <c r="B2176" s="524"/>
      <c r="C2176" s="576">
        <v>0</v>
      </c>
      <c r="D2176" s="576">
        <v>0</v>
      </c>
      <c r="E2176" s="576">
        <v>0</v>
      </c>
      <c r="F2176" s="561">
        <v>0</v>
      </c>
      <c r="G2176" s="561">
        <v>0</v>
      </c>
      <c r="H2176" s="561">
        <v>0</v>
      </c>
      <c r="I2176" s="561">
        <v>0</v>
      </c>
      <c r="J2176" s="562">
        <v>0</v>
      </c>
      <c r="K2176" s="562"/>
    </row>
    <row r="2177" spans="1:12" x14ac:dyDescent="0.25">
      <c r="A2177" s="524" t="s">
        <v>21</v>
      </c>
      <c r="B2177" s="525"/>
      <c r="C2177" s="577">
        <v>99.94</v>
      </c>
      <c r="D2177" s="577">
        <v>99.94</v>
      </c>
      <c r="E2177" s="577">
        <v>99.94</v>
      </c>
      <c r="F2177" s="570">
        <v>99.94</v>
      </c>
      <c r="G2177" s="561">
        <v>99.94</v>
      </c>
      <c r="H2177" s="561">
        <f>H2173-H2176</f>
        <v>100</v>
      </c>
      <c r="I2177" s="561">
        <v>100</v>
      </c>
      <c r="J2177" s="562">
        <v>100</v>
      </c>
      <c r="K2177" s="562"/>
    </row>
    <row r="2178" spans="1:12" x14ac:dyDescent="0.25">
      <c r="A2178" s="533" t="s">
        <v>22</v>
      </c>
      <c r="B2178" s="534"/>
      <c r="C2178" s="556">
        <v>2018</v>
      </c>
      <c r="D2178" s="535">
        <v>2019</v>
      </c>
      <c r="E2178" s="535">
        <v>2020</v>
      </c>
      <c r="F2178" s="563">
        <v>2021</v>
      </c>
      <c r="G2178" s="564">
        <v>2022</v>
      </c>
      <c r="H2178" s="564">
        <v>2023</v>
      </c>
      <c r="I2178" s="564">
        <v>2024</v>
      </c>
      <c r="J2178" s="564">
        <v>2025</v>
      </c>
      <c r="K2178" s="572">
        <v>2026</v>
      </c>
    </row>
    <row r="2179" spans="1:12" x14ac:dyDescent="0.25">
      <c r="A2179" s="544" t="s">
        <v>124</v>
      </c>
      <c r="B2179" s="554"/>
      <c r="C2179" s="554"/>
      <c r="D2179" s="554"/>
      <c r="E2179" s="554"/>
      <c r="F2179" s="554"/>
      <c r="G2179" s="554"/>
      <c r="H2179" s="554"/>
      <c r="I2179" s="554"/>
      <c r="J2179" s="554"/>
      <c r="K2179" s="63"/>
    </row>
    <row r="2180" spans="1:12" x14ac:dyDescent="0.25">
      <c r="A2180" s="546" t="s">
        <v>125</v>
      </c>
      <c r="B2180" s="521"/>
      <c r="C2180" s="521"/>
      <c r="D2180" s="521"/>
      <c r="E2180" s="521"/>
      <c r="F2180" s="521"/>
      <c r="G2180" s="521"/>
      <c r="H2180" s="521"/>
      <c r="I2180" s="521"/>
      <c r="J2180" s="521"/>
      <c r="K2180" s="64"/>
    </row>
    <row r="2181" spans="1:12" x14ac:dyDescent="0.25">
      <c r="A2181" s="546" t="s">
        <v>126</v>
      </c>
      <c r="B2181" s="521"/>
      <c r="C2181" s="521"/>
      <c r="D2181" s="521"/>
      <c r="E2181" s="521"/>
      <c r="F2181" s="521"/>
      <c r="G2181" s="521"/>
      <c r="H2181" s="521"/>
      <c r="I2181" s="521"/>
      <c r="J2181" s="521"/>
      <c r="K2181" s="64"/>
    </row>
    <row r="2182" spans="1:12" x14ac:dyDescent="0.25">
      <c r="A2182" s="546" t="s">
        <v>127</v>
      </c>
      <c r="B2182" s="521"/>
      <c r="C2182" s="521"/>
      <c r="D2182" s="521"/>
      <c r="E2182" s="521"/>
      <c r="F2182" s="521"/>
      <c r="G2182" s="521"/>
      <c r="H2182" s="521"/>
      <c r="I2182" s="521"/>
      <c r="J2182" s="521"/>
      <c r="K2182" s="64"/>
    </row>
    <row r="2183" spans="1:12" x14ac:dyDescent="0.25">
      <c r="A2183" s="546" t="s">
        <v>303</v>
      </c>
      <c r="B2183" s="521"/>
      <c r="C2183" s="521"/>
      <c r="D2183" s="521"/>
      <c r="E2183" s="521"/>
      <c r="F2183" s="521"/>
      <c r="G2183" s="521"/>
      <c r="H2183" s="521"/>
      <c r="I2183" s="521"/>
      <c r="J2183" s="521"/>
      <c r="K2183" s="64"/>
    </row>
    <row r="2184" spans="1:12" x14ac:dyDescent="0.25">
      <c r="A2184" s="546" t="s">
        <v>536</v>
      </c>
      <c r="B2184" s="521"/>
      <c r="C2184" s="521"/>
      <c r="D2184" s="521"/>
      <c r="E2184" s="521"/>
      <c r="F2184" s="521"/>
      <c r="G2184" s="521"/>
      <c r="H2184" s="521"/>
      <c r="I2184" s="521"/>
      <c r="J2184" s="521"/>
      <c r="K2184" s="64"/>
    </row>
    <row r="2185" spans="1:12" x14ac:dyDescent="0.25">
      <c r="A2185" s="546" t="s">
        <v>577</v>
      </c>
      <c r="B2185" s="521"/>
      <c r="C2185" s="521"/>
      <c r="D2185" s="521"/>
      <c r="E2185" s="521"/>
      <c r="F2185" s="521"/>
      <c r="G2185" s="521"/>
      <c r="H2185" s="521"/>
      <c r="I2185" s="521"/>
      <c r="J2185" s="521"/>
      <c r="K2185" s="64"/>
    </row>
    <row r="2186" spans="1:12" x14ac:dyDescent="0.25">
      <c r="A2186" s="546" t="s">
        <v>867</v>
      </c>
      <c r="B2186" s="521"/>
      <c r="C2186" s="521"/>
      <c r="D2186" s="521"/>
      <c r="E2186" s="521"/>
      <c r="F2186" s="521"/>
      <c r="G2186" s="521"/>
      <c r="H2186" s="521"/>
      <c r="I2186" s="521"/>
      <c r="J2186" s="521"/>
      <c r="K2186" s="64"/>
    </row>
    <row r="2187" spans="1:12" x14ac:dyDescent="0.25">
      <c r="A2187" s="546" t="s">
        <v>1023</v>
      </c>
      <c r="B2187" s="521"/>
      <c r="C2187" s="521"/>
      <c r="D2187" s="521"/>
      <c r="E2187" s="521"/>
      <c r="F2187" s="521"/>
      <c r="G2187" s="521"/>
      <c r="H2187" s="521"/>
      <c r="I2187" s="521"/>
      <c r="J2187" s="521"/>
      <c r="K2187" s="64"/>
    </row>
    <row r="2188" spans="1:12" x14ac:dyDescent="0.25">
      <c r="A2188" s="42" t="s">
        <v>1220</v>
      </c>
      <c r="B2188" s="537"/>
      <c r="C2188" s="537"/>
      <c r="D2188" s="537"/>
      <c r="E2188" s="537"/>
      <c r="F2188" s="537"/>
      <c r="G2188" s="537"/>
      <c r="H2188" s="537"/>
      <c r="I2188" s="537"/>
      <c r="J2188" s="537"/>
      <c r="K2188" s="48"/>
    </row>
    <row r="2190" spans="1:12" x14ac:dyDescent="0.25">
      <c r="A2190" s="519" t="s">
        <v>14</v>
      </c>
      <c r="B2190" s="522" t="s">
        <v>645</v>
      </c>
      <c r="C2190" s="523" t="s">
        <v>15</v>
      </c>
      <c r="D2190" s="521"/>
      <c r="E2190" s="521"/>
      <c r="F2190" s="521"/>
    </row>
    <row r="2191" spans="1:12" x14ac:dyDescent="0.25">
      <c r="A2191" s="524" t="s">
        <v>16</v>
      </c>
      <c r="B2191" s="525"/>
      <c r="C2191" s="526">
        <v>2016</v>
      </c>
      <c r="D2191" s="558">
        <v>2017</v>
      </c>
      <c r="E2191" s="540">
        <v>2018</v>
      </c>
      <c r="F2191" s="558">
        <v>2019</v>
      </c>
      <c r="G2191" s="154">
        <v>2020</v>
      </c>
      <c r="H2191" s="154">
        <v>2021</v>
      </c>
      <c r="I2191" s="154">
        <v>2022</v>
      </c>
      <c r="J2191" s="154">
        <v>2023</v>
      </c>
      <c r="K2191" s="154">
        <v>2024</v>
      </c>
      <c r="L2191" s="569">
        <v>2025</v>
      </c>
    </row>
    <row r="2192" spans="1:12" x14ac:dyDescent="0.25">
      <c r="A2192" s="524" t="s">
        <v>17</v>
      </c>
      <c r="B2192" s="525"/>
      <c r="C2192" s="578">
        <v>1083.79</v>
      </c>
      <c r="D2192" s="578">
        <v>1083.79</v>
      </c>
      <c r="E2192" s="525">
        <v>1272.8599999999999</v>
      </c>
      <c r="F2192" s="579">
        <v>1272.8599999999999</v>
      </c>
      <c r="G2192" s="11">
        <v>1272.8599999999999</v>
      </c>
      <c r="H2192" s="11">
        <v>1272.8599999999999</v>
      </c>
      <c r="I2192" s="12">
        <v>1341.14</v>
      </c>
      <c r="J2192" s="11">
        <v>1341.14</v>
      </c>
      <c r="K2192" s="11">
        <v>1341.14</v>
      </c>
      <c r="L2192" s="580">
        <v>1341.14</v>
      </c>
    </row>
    <row r="2193" spans="1:26 2515:2515" x14ac:dyDescent="0.25">
      <c r="A2193" s="524" t="s">
        <v>18</v>
      </c>
      <c r="B2193" s="525"/>
      <c r="C2193" s="578">
        <v>1192.17</v>
      </c>
      <c r="D2193" s="578">
        <v>1192.17</v>
      </c>
      <c r="E2193" s="525">
        <v>1381.24</v>
      </c>
      <c r="F2193" s="579">
        <v>1400.15</v>
      </c>
      <c r="G2193" s="11">
        <v>1400.15</v>
      </c>
      <c r="H2193" s="11">
        <v>1400.15</v>
      </c>
      <c r="I2193" s="12">
        <f>I2192+0.1*H2192</f>
        <v>1468.4260000000002</v>
      </c>
      <c r="J2193" s="12">
        <f>J2192+I2196</f>
        <v>1447.6760000000002</v>
      </c>
      <c r="K2193" s="12">
        <f>K2192+0.1*J2192</f>
        <v>1475.2540000000001</v>
      </c>
      <c r="L2193" s="562">
        <v>1199.96</v>
      </c>
    </row>
    <row r="2194" spans="1:26 2515:2515" x14ac:dyDescent="0.25">
      <c r="A2194" s="524" t="s">
        <v>19</v>
      </c>
      <c r="B2194" s="525"/>
      <c r="C2194" s="525"/>
      <c r="D2194" s="579"/>
      <c r="E2194" s="525"/>
      <c r="F2194" s="579"/>
      <c r="G2194" s="11"/>
      <c r="H2194" s="11"/>
      <c r="I2194" s="12"/>
      <c r="J2194" s="11"/>
      <c r="K2194" s="11"/>
      <c r="L2194" s="580"/>
    </row>
    <row r="2195" spans="1:26 2515:2515" x14ac:dyDescent="0.25">
      <c r="A2195" s="524" t="s">
        <v>20</v>
      </c>
      <c r="B2195" s="525"/>
      <c r="C2195" s="578">
        <v>1025.0999999999999</v>
      </c>
      <c r="D2195" s="579">
        <v>996.8</v>
      </c>
      <c r="E2195" s="525">
        <v>1028.26</v>
      </c>
      <c r="F2195" s="579">
        <v>1190.78</v>
      </c>
      <c r="G2195" s="11">
        <v>1184.99</v>
      </c>
      <c r="H2195" s="11">
        <v>1205.69</v>
      </c>
      <c r="I2195" s="12">
        <v>1361.89</v>
      </c>
      <c r="J2195" s="11">
        <v>1311.3</v>
      </c>
      <c r="K2195" s="11">
        <v>1616.43</v>
      </c>
      <c r="L2195" s="580"/>
    </row>
    <row r="2196" spans="1:26 2515:2515" x14ac:dyDescent="0.25">
      <c r="A2196" s="524" t="s">
        <v>21</v>
      </c>
      <c r="B2196" s="525"/>
      <c r="C2196" s="578">
        <f t="shared" ref="C2196:I2196" si="88">C2193-C2195</f>
        <v>167.07000000000016</v>
      </c>
      <c r="D2196" s="578">
        <f t="shared" si="88"/>
        <v>195.37000000000012</v>
      </c>
      <c r="E2196" s="578">
        <f t="shared" si="88"/>
        <v>352.98</v>
      </c>
      <c r="F2196" s="578">
        <f t="shared" si="88"/>
        <v>209.37000000000012</v>
      </c>
      <c r="G2196" s="578">
        <f t="shared" si="88"/>
        <v>215.16000000000008</v>
      </c>
      <c r="H2196" s="11">
        <f t="shared" si="88"/>
        <v>194.46000000000004</v>
      </c>
      <c r="I2196" s="12">
        <f t="shared" si="88"/>
        <v>106.53600000000006</v>
      </c>
      <c r="J2196" s="12">
        <v>136.3760000000002</v>
      </c>
      <c r="K2196" s="25">
        <v>-141.18</v>
      </c>
      <c r="L2196" s="580"/>
    </row>
    <row r="2197" spans="1:26 2515:2515" x14ac:dyDescent="0.25">
      <c r="A2197" s="533" t="s">
        <v>22</v>
      </c>
      <c r="B2197" s="534"/>
      <c r="C2197" s="535">
        <v>2017</v>
      </c>
      <c r="D2197" s="563">
        <v>2018</v>
      </c>
      <c r="E2197" s="535">
        <v>2019</v>
      </c>
      <c r="F2197" s="563">
        <v>2020</v>
      </c>
      <c r="G2197" s="159">
        <v>2021</v>
      </c>
      <c r="H2197" s="159">
        <v>2022</v>
      </c>
      <c r="I2197" s="159">
        <v>2023</v>
      </c>
      <c r="J2197" s="159">
        <v>2024</v>
      </c>
      <c r="K2197" s="159">
        <v>2025</v>
      </c>
      <c r="L2197" s="572">
        <v>2026</v>
      </c>
    </row>
    <row r="2198" spans="1:26 2515:2515" x14ac:dyDescent="0.25">
      <c r="A2198" s="566" t="s">
        <v>538</v>
      </c>
      <c r="B2198" s="567"/>
      <c r="C2198" s="581"/>
      <c r="D2198" s="581"/>
      <c r="E2198" s="581"/>
      <c r="F2198" s="581"/>
      <c r="G2198" s="186"/>
      <c r="H2198" s="186"/>
      <c r="I2198" s="186"/>
      <c r="J2198" s="186"/>
      <c r="K2198" s="186"/>
      <c r="L2198" s="88"/>
    </row>
    <row r="2199" spans="1:26 2515:2515" x14ac:dyDescent="0.25">
      <c r="A2199" s="544" t="s">
        <v>128</v>
      </c>
      <c r="B2199" s="554"/>
      <c r="C2199" s="554"/>
      <c r="D2199" s="554"/>
      <c r="E2199" s="554"/>
      <c r="F2199" s="554"/>
      <c r="G2199" s="19"/>
      <c r="H2199" s="19"/>
      <c r="I2199" s="19"/>
      <c r="J2199" s="19"/>
      <c r="K2199" s="19"/>
      <c r="L2199" s="63"/>
    </row>
    <row r="2200" spans="1:26 2515:2515" x14ac:dyDescent="0.25">
      <c r="A2200" s="546" t="s">
        <v>129</v>
      </c>
      <c r="B2200" s="521"/>
      <c r="C2200" s="521"/>
      <c r="D2200" s="521"/>
      <c r="E2200" s="521"/>
      <c r="F2200" s="521"/>
      <c r="L2200" s="64"/>
    </row>
    <row r="2201" spans="1:26 2515:2515" x14ac:dyDescent="0.25">
      <c r="A2201" s="546" t="s">
        <v>130</v>
      </c>
      <c r="B2201" s="521"/>
      <c r="C2201" s="521"/>
      <c r="D2201" s="521"/>
      <c r="E2201" s="521"/>
      <c r="F2201" s="521"/>
      <c r="L2201" s="64"/>
    </row>
    <row r="2202" spans="1:26 2515:2515" x14ac:dyDescent="0.25">
      <c r="A2202" s="546" t="s">
        <v>131</v>
      </c>
      <c r="B2202" s="521"/>
      <c r="C2202" s="521"/>
      <c r="D2202" s="521"/>
      <c r="E2202" s="521"/>
      <c r="F2202" s="521"/>
      <c r="L2202" s="64"/>
    </row>
    <row r="2203" spans="1:26 2515:2515" x14ac:dyDescent="0.25">
      <c r="A2203" s="546" t="s">
        <v>304</v>
      </c>
      <c r="B2203" s="521"/>
      <c r="C2203" s="521"/>
      <c r="D2203" s="521"/>
      <c r="E2203" s="521"/>
      <c r="F2203" s="521"/>
      <c r="L2203" s="64"/>
    </row>
    <row r="2204" spans="1:26 2515:2515" x14ac:dyDescent="0.25">
      <c r="A2204" s="546" t="s">
        <v>537</v>
      </c>
      <c r="B2204" s="521"/>
      <c r="C2204" s="521"/>
      <c r="D2204" s="521"/>
      <c r="E2204" s="521"/>
      <c r="F2204" s="521"/>
      <c r="L2204" s="64"/>
    </row>
    <row r="2205" spans="1:26 2515:2515" x14ac:dyDescent="0.25">
      <c r="A2205" s="546" t="s">
        <v>668</v>
      </c>
      <c r="B2205" s="521"/>
      <c r="C2205" s="521"/>
      <c r="D2205" s="521"/>
      <c r="E2205" s="521"/>
      <c r="F2205" s="521"/>
      <c r="L2205" s="64"/>
      <c r="CRS2205" s="150"/>
    </row>
    <row r="2206" spans="1:26 2515:2515" x14ac:dyDescent="0.25">
      <c r="A2206" s="546" t="s">
        <v>868</v>
      </c>
      <c r="B2206" s="521"/>
      <c r="C2206" s="521"/>
      <c r="D2206" s="521"/>
      <c r="E2206" s="521"/>
      <c r="F2206" s="521"/>
      <c r="L2206" s="64"/>
    </row>
    <row r="2207" spans="1:26 2515:2515" s="50" customFormat="1" ht="12.75" customHeight="1" x14ac:dyDescent="0.3">
      <c r="A2207" s="39" t="s">
        <v>1024</v>
      </c>
      <c r="B2207" s="3"/>
      <c r="C2207" s="3"/>
      <c r="D2207" s="3"/>
      <c r="E2207" s="3"/>
      <c r="F2207" s="3"/>
      <c r="G2207" s="3"/>
      <c r="H2207" s="3"/>
      <c r="I2207" s="3"/>
      <c r="J2207" s="3"/>
      <c r="K2207" s="3"/>
      <c r="L2207" s="64"/>
      <c r="M2207" s="3"/>
      <c r="N2207" s="3"/>
      <c r="O2207" s="3"/>
      <c r="P2207" s="3"/>
      <c r="Q2207" s="3"/>
      <c r="R2207" s="3"/>
      <c r="S2207" s="3"/>
      <c r="T2207" s="3"/>
      <c r="U2207" s="3"/>
      <c r="V2207" s="3"/>
      <c r="W2207" s="3"/>
      <c r="X2207" s="3"/>
      <c r="Y2207" s="3"/>
      <c r="Z2207" s="3"/>
    </row>
    <row r="2208" spans="1:26 2515:2515" s="582" customFormat="1" ht="12.75" customHeight="1" x14ac:dyDescent="0.3">
      <c r="A2208" s="150" t="s">
        <v>1221</v>
      </c>
      <c r="B2208" s="45"/>
      <c r="C2208" s="45"/>
      <c r="D2208" s="45"/>
      <c r="E2208" s="45"/>
      <c r="F2208" s="45"/>
      <c r="G2208" s="45"/>
      <c r="H2208" s="45"/>
      <c r="I2208" s="45"/>
      <c r="J2208" s="45"/>
      <c r="K2208" s="45"/>
      <c r="L2208" s="40"/>
      <c r="M2208" s="45"/>
      <c r="N2208" s="45"/>
      <c r="O2208" s="45"/>
      <c r="P2208" s="45"/>
      <c r="Q2208" s="45"/>
      <c r="R2208" s="45"/>
      <c r="S2208" s="45"/>
      <c r="T2208" s="45"/>
      <c r="U2208" s="45"/>
      <c r="V2208" s="45"/>
      <c r="W2208" s="45"/>
      <c r="X2208" s="45"/>
      <c r="Y2208" s="45"/>
      <c r="Z2208" s="45"/>
    </row>
    <row r="2209" spans="1:26" x14ac:dyDescent="0.25">
      <c r="A2209" s="39" t="s">
        <v>539</v>
      </c>
      <c r="L2209" s="64"/>
    </row>
    <row r="2210" spans="1:26" x14ac:dyDescent="0.25">
      <c r="A2210" s="39" t="s">
        <v>669</v>
      </c>
      <c r="L2210" s="64"/>
    </row>
    <row r="2211" spans="1:26" s="50" customFormat="1" ht="12.75" customHeight="1" x14ac:dyDescent="0.3">
      <c r="A2211" s="39" t="s">
        <v>1025</v>
      </c>
      <c r="B2211" s="3"/>
      <c r="C2211" s="3"/>
      <c r="D2211" s="3"/>
      <c r="E2211" s="3"/>
      <c r="F2211" s="3"/>
      <c r="G2211" s="3"/>
      <c r="H2211" s="3"/>
      <c r="I2211" s="3"/>
      <c r="J2211" s="3"/>
      <c r="K2211" s="3"/>
      <c r="L2211" s="64"/>
      <c r="M2211" s="3"/>
      <c r="N2211" s="3"/>
      <c r="O2211" s="3"/>
      <c r="P2211" s="3"/>
      <c r="Q2211" s="3"/>
      <c r="R2211" s="3"/>
      <c r="S2211" s="3"/>
      <c r="T2211" s="3"/>
      <c r="U2211" s="3"/>
      <c r="V2211" s="3"/>
      <c r="W2211" s="3"/>
      <c r="X2211" s="3"/>
      <c r="Y2211" s="3"/>
      <c r="Z2211" s="3"/>
    </row>
    <row r="2212" spans="1:26" x14ac:dyDescent="0.25">
      <c r="A2212" s="41" t="s">
        <v>869</v>
      </c>
      <c r="B2212" s="34"/>
      <c r="C2212" s="34"/>
      <c r="D2212" s="34"/>
      <c r="E2212" s="34"/>
      <c r="F2212" s="34"/>
      <c r="G2212" s="34"/>
      <c r="H2212" s="34"/>
      <c r="I2212" s="34"/>
      <c r="J2212" s="34"/>
      <c r="K2212" s="34"/>
      <c r="L2212" s="48"/>
    </row>
    <row r="2215" spans="1:26" x14ac:dyDescent="0.25">
      <c r="A2215" s="6" t="s">
        <v>24</v>
      </c>
      <c r="B2215" s="7" t="s">
        <v>540</v>
      </c>
    </row>
    <row r="2216" spans="1:26" x14ac:dyDescent="0.25">
      <c r="A2216" s="151" t="s">
        <v>14</v>
      </c>
      <c r="B2216" s="24" t="s">
        <v>624</v>
      </c>
      <c r="C2216" s="473" t="s">
        <v>26</v>
      </c>
    </row>
    <row r="2217" spans="1:26" x14ac:dyDescent="0.25">
      <c r="A2217" s="170" t="s">
        <v>27</v>
      </c>
      <c r="B2217" s="274">
        <v>2016</v>
      </c>
      <c r="C2217" s="154">
        <v>2017</v>
      </c>
      <c r="D2217" s="474">
        <v>2018</v>
      </c>
      <c r="E2217" s="154">
        <v>2019</v>
      </c>
      <c r="F2217" s="154">
        <v>2020</v>
      </c>
      <c r="G2217" s="154">
        <v>2021</v>
      </c>
      <c r="H2217" s="154">
        <v>2022</v>
      </c>
      <c r="I2217" s="154">
        <v>2023</v>
      </c>
      <c r="J2217" s="154">
        <v>2024</v>
      </c>
      <c r="K2217" s="154">
        <v>2025</v>
      </c>
    </row>
    <row r="2218" spans="1:26" x14ac:dyDescent="0.25">
      <c r="A2218" s="11" t="s">
        <v>28</v>
      </c>
      <c r="B2218" s="72">
        <v>250</v>
      </c>
      <c r="C2218" s="72">
        <v>250</v>
      </c>
      <c r="D2218" s="72">
        <v>300</v>
      </c>
      <c r="E2218" s="72">
        <v>300</v>
      </c>
      <c r="F2218" s="12">
        <v>300</v>
      </c>
      <c r="G2218" s="12">
        <v>337.5</v>
      </c>
      <c r="H2218" s="12">
        <v>337.5</v>
      </c>
      <c r="I2218" s="12">
        <v>337.5</v>
      </c>
      <c r="J2218" s="12">
        <v>421.9</v>
      </c>
      <c r="K2218" s="12">
        <v>421.9</v>
      </c>
    </row>
    <row r="2219" spans="1:26" x14ac:dyDescent="0.25">
      <c r="A2219" s="11" t="s">
        <v>29</v>
      </c>
      <c r="B2219" s="72">
        <v>-415.21000000000004</v>
      </c>
      <c r="C2219" s="72">
        <f>B2222+C2218+60+150+114</f>
        <v>-128.19000000000005</v>
      </c>
      <c r="D2219" s="72">
        <f>C2222+D2218</f>
        <v>-129.54000000000008</v>
      </c>
      <c r="E2219" s="72">
        <f>E2218+D2222</f>
        <v>5.0099999999999341</v>
      </c>
      <c r="F2219" s="72">
        <f>E2222+F2218</f>
        <v>84.089999999999947</v>
      </c>
      <c r="G2219" s="72">
        <f>G2218+F2222</f>
        <v>175.66999999999996</v>
      </c>
      <c r="H2219" s="72">
        <f>H2218+G2222</f>
        <v>214.65699999999998</v>
      </c>
      <c r="I2219" s="72">
        <f>I2218+H2222</f>
        <v>234.81599999999997</v>
      </c>
      <c r="J2219" s="72">
        <f>J2218+I2222</f>
        <v>443.82599999999996</v>
      </c>
      <c r="K2219" s="72">
        <f>K2218+0.25*J2218</f>
        <v>527.375</v>
      </c>
    </row>
    <row r="2220" spans="1:26" x14ac:dyDescent="0.25">
      <c r="A2220" s="11" t="s">
        <v>30</v>
      </c>
      <c r="B2220" s="486"/>
      <c r="C2220" s="583" t="s">
        <v>543</v>
      </c>
      <c r="D2220" s="486" t="s">
        <v>544</v>
      </c>
      <c r="E2220" s="486" t="s">
        <v>545</v>
      </c>
      <c r="F2220" s="486" t="s">
        <v>548</v>
      </c>
      <c r="G2220" s="486" t="s">
        <v>550</v>
      </c>
      <c r="H2220" s="486" t="s">
        <v>692</v>
      </c>
      <c r="I2220" s="486" t="s">
        <v>849</v>
      </c>
      <c r="J2220" s="486" t="s">
        <v>1017</v>
      </c>
      <c r="K2220" s="486" t="s">
        <v>1122</v>
      </c>
    </row>
    <row r="2221" spans="1:26" x14ac:dyDescent="0.25">
      <c r="A2221" s="11" t="s">
        <v>31</v>
      </c>
      <c r="B2221" s="72">
        <v>286.98</v>
      </c>
      <c r="C2221" s="72">
        <v>301.35000000000002</v>
      </c>
      <c r="D2221" s="72">
        <v>165.45</v>
      </c>
      <c r="E2221" s="72">
        <v>220.92</v>
      </c>
      <c r="F2221" s="12">
        <v>245.92</v>
      </c>
      <c r="G2221" s="12">
        <v>298.51299999999998</v>
      </c>
      <c r="H2221" s="12">
        <v>317.34100000000001</v>
      </c>
      <c r="I2221" s="12">
        <v>212.89</v>
      </c>
      <c r="J2221" s="11">
        <v>179.49600000000001</v>
      </c>
      <c r="K2221" s="11"/>
    </row>
    <row r="2222" spans="1:26" x14ac:dyDescent="0.25">
      <c r="A2222" s="11" t="s">
        <v>32</v>
      </c>
      <c r="B2222" s="72">
        <f t="shared" ref="B2222:J2222" si="89">B2219-B2221</f>
        <v>-702.19</v>
      </c>
      <c r="C2222" s="72">
        <f t="shared" si="89"/>
        <v>-429.54000000000008</v>
      </c>
      <c r="D2222" s="72">
        <f t="shared" si="89"/>
        <v>-294.99000000000007</v>
      </c>
      <c r="E2222" s="72">
        <f t="shared" si="89"/>
        <v>-215.91000000000005</v>
      </c>
      <c r="F2222" s="72">
        <f t="shared" si="89"/>
        <v>-161.83000000000004</v>
      </c>
      <c r="G2222" s="12">
        <f t="shared" si="89"/>
        <v>-122.84300000000002</v>
      </c>
      <c r="H2222" s="12">
        <f t="shared" si="89"/>
        <v>-102.68400000000003</v>
      </c>
      <c r="I2222" s="12">
        <f t="shared" si="89"/>
        <v>21.925999999999988</v>
      </c>
      <c r="J2222" s="12">
        <f t="shared" si="89"/>
        <v>264.32999999999993</v>
      </c>
      <c r="K2222" s="11"/>
    </row>
    <row r="2223" spans="1:26" x14ac:dyDescent="0.25">
      <c r="A2223" s="16" t="s">
        <v>33</v>
      </c>
      <c r="B2223" s="159">
        <v>2018</v>
      </c>
      <c r="C2223" s="159">
        <v>2018</v>
      </c>
      <c r="D2223" s="159">
        <v>2019</v>
      </c>
      <c r="E2223" s="159">
        <v>2020</v>
      </c>
      <c r="F2223" s="159">
        <v>2021</v>
      </c>
      <c r="G2223" s="159">
        <v>2022</v>
      </c>
      <c r="H2223" s="159">
        <v>2023</v>
      </c>
      <c r="I2223" s="159">
        <v>2024</v>
      </c>
      <c r="J2223" s="159">
        <v>2025</v>
      </c>
      <c r="K2223" s="197">
        <v>2026</v>
      </c>
    </row>
    <row r="2224" spans="1:26" x14ac:dyDescent="0.25">
      <c r="A2224" s="18" t="s">
        <v>542</v>
      </c>
      <c r="B2224" s="439"/>
      <c r="C2224" s="439"/>
      <c r="D2224" s="439"/>
      <c r="E2224" s="439"/>
      <c r="F2224" s="439"/>
      <c r="G2224" s="19"/>
      <c r="H2224" s="19"/>
      <c r="I2224" s="19"/>
      <c r="J2224" s="19"/>
      <c r="K2224" s="63"/>
    </row>
    <row r="2225" spans="1:11" x14ac:dyDescent="0.25">
      <c r="A2225" s="39" t="s">
        <v>546</v>
      </c>
      <c r="B2225" s="446"/>
      <c r="C2225" s="446"/>
      <c r="D2225" s="446"/>
      <c r="E2225" s="446"/>
      <c r="F2225" s="446"/>
      <c r="K2225" s="64"/>
    </row>
    <row r="2226" spans="1:11" x14ac:dyDescent="0.25">
      <c r="A2226" s="39" t="s">
        <v>547</v>
      </c>
      <c r="B2226" s="446"/>
      <c r="C2226" s="446"/>
      <c r="D2226" s="446"/>
      <c r="E2226" s="446"/>
      <c r="F2226" s="446"/>
      <c r="K2226" s="64"/>
    </row>
    <row r="2227" spans="1:11" x14ac:dyDescent="0.25">
      <c r="A2227" s="39" t="s">
        <v>549</v>
      </c>
      <c r="B2227" s="446"/>
      <c r="C2227" s="446"/>
      <c r="D2227" s="446"/>
      <c r="E2227" s="446"/>
      <c r="F2227" s="446"/>
      <c r="K2227" s="64"/>
    </row>
    <row r="2228" spans="1:11" x14ac:dyDescent="0.25">
      <c r="A2228" s="39" t="s">
        <v>551</v>
      </c>
      <c r="B2228" s="446"/>
      <c r="C2228" s="446"/>
      <c r="D2228" s="446"/>
      <c r="E2228" s="446"/>
      <c r="F2228" s="446"/>
      <c r="K2228" s="64"/>
    </row>
    <row r="2229" spans="1:11" x14ac:dyDescent="0.25">
      <c r="A2229" s="39" t="s">
        <v>693</v>
      </c>
      <c r="B2229" s="446"/>
      <c r="C2229" s="446"/>
      <c r="D2229" s="446"/>
      <c r="E2229" s="446"/>
      <c r="F2229" s="446"/>
      <c r="K2229" s="64"/>
    </row>
    <row r="2230" spans="1:11" x14ac:dyDescent="0.25">
      <c r="A2230" s="39" t="s">
        <v>850</v>
      </c>
      <c r="B2230" s="446"/>
      <c r="C2230" s="446"/>
      <c r="D2230" s="446"/>
      <c r="E2230" s="446"/>
      <c r="F2230" s="446"/>
      <c r="K2230" s="64"/>
    </row>
    <row r="2231" spans="1:11" x14ac:dyDescent="0.25">
      <c r="A2231" s="39" t="s">
        <v>1018</v>
      </c>
      <c r="B2231" s="446"/>
      <c r="C2231" s="446"/>
      <c r="D2231" s="446"/>
      <c r="E2231" s="446"/>
      <c r="F2231" s="446"/>
      <c r="K2231" s="64"/>
    </row>
    <row r="2232" spans="1:11" x14ac:dyDescent="0.25">
      <c r="A2232" s="39" t="s">
        <v>1125</v>
      </c>
      <c r="B2232" s="446"/>
      <c r="C2232" s="446"/>
      <c r="D2232" s="446"/>
      <c r="E2232" s="446"/>
      <c r="F2232" s="446"/>
      <c r="K2232" s="64"/>
    </row>
    <row r="2233" spans="1:11" x14ac:dyDescent="0.25">
      <c r="A2233" s="41" t="s">
        <v>541</v>
      </c>
      <c r="B2233" s="487"/>
      <c r="C2233" s="487"/>
      <c r="D2233" s="487"/>
      <c r="E2233" s="487"/>
      <c r="F2233" s="487"/>
      <c r="G2233" s="34"/>
      <c r="H2233" s="34"/>
      <c r="I2233" s="34"/>
      <c r="J2233" s="34"/>
      <c r="K2233" s="48"/>
    </row>
    <row r="2234" spans="1:11" x14ac:dyDescent="0.25">
      <c r="A2234" s="2"/>
      <c r="B2234" s="2"/>
    </row>
    <row r="2235" spans="1:11" x14ac:dyDescent="0.25">
      <c r="A2235" s="6" t="s">
        <v>14</v>
      </c>
      <c r="B2235" s="7" t="s">
        <v>623</v>
      </c>
      <c r="C2235" s="473" t="s">
        <v>26</v>
      </c>
    </row>
    <row r="2236" spans="1:11" x14ac:dyDescent="0.25">
      <c r="A2236" s="170" t="s">
        <v>27</v>
      </c>
      <c r="B2236" s="154">
        <v>2016</v>
      </c>
      <c r="C2236" s="154">
        <v>2017</v>
      </c>
      <c r="D2236" s="474">
        <v>2018</v>
      </c>
      <c r="E2236" s="154">
        <v>2019</v>
      </c>
      <c r="F2236" s="154">
        <v>2020</v>
      </c>
      <c r="G2236" s="154">
        <v>2021</v>
      </c>
      <c r="H2236" s="154">
        <v>2022</v>
      </c>
      <c r="I2236" s="154">
        <v>2023</v>
      </c>
      <c r="J2236" s="154">
        <v>2024</v>
      </c>
      <c r="K2236" s="154">
        <v>2025</v>
      </c>
    </row>
    <row r="2237" spans="1:11" x14ac:dyDescent="0.25">
      <c r="A2237" s="11" t="s">
        <v>28</v>
      </c>
      <c r="B2237" s="72">
        <v>85</v>
      </c>
      <c r="C2237" s="72">
        <v>85</v>
      </c>
      <c r="D2237" s="72">
        <v>85</v>
      </c>
      <c r="E2237" s="72">
        <v>85</v>
      </c>
      <c r="F2237" s="12">
        <v>85</v>
      </c>
      <c r="G2237" s="12">
        <v>85</v>
      </c>
      <c r="H2237" s="12">
        <v>85</v>
      </c>
      <c r="I2237" s="12">
        <v>85</v>
      </c>
      <c r="J2237" s="12">
        <v>85</v>
      </c>
      <c r="K2237" s="12">
        <v>85</v>
      </c>
    </row>
    <row r="2238" spans="1:11" x14ac:dyDescent="0.25">
      <c r="A2238" s="11" t="s">
        <v>29</v>
      </c>
      <c r="B2238" s="72">
        <f>B2237*1.5</f>
        <v>127.5</v>
      </c>
      <c r="C2238" s="72">
        <f>C2237+0.5*B2237-12.75</f>
        <v>114.75</v>
      </c>
      <c r="D2238" s="72">
        <f>D2237+0.4*B2237-12.75</f>
        <v>106.25</v>
      </c>
      <c r="E2238" s="72">
        <f t="shared" ref="E2238:K2238" si="90">E2237+0.4*C2237</f>
        <v>119</v>
      </c>
      <c r="F2238" s="72">
        <f t="shared" si="90"/>
        <v>119</v>
      </c>
      <c r="G2238" s="72">
        <f t="shared" si="90"/>
        <v>119</v>
      </c>
      <c r="H2238" s="72">
        <f t="shared" si="90"/>
        <v>119</v>
      </c>
      <c r="I2238" s="72">
        <f t="shared" si="90"/>
        <v>119</v>
      </c>
      <c r="J2238" s="72">
        <f t="shared" si="90"/>
        <v>119</v>
      </c>
      <c r="K2238" s="72">
        <f t="shared" si="90"/>
        <v>119</v>
      </c>
    </row>
    <row r="2239" spans="1:11" x14ac:dyDescent="0.25">
      <c r="A2239" s="11" t="s">
        <v>30</v>
      </c>
      <c r="B2239" s="252" t="s">
        <v>552</v>
      </c>
      <c r="C2239" s="252" t="s">
        <v>555</v>
      </c>
      <c r="D2239" s="252" t="s">
        <v>556</v>
      </c>
      <c r="E2239" s="252" t="s">
        <v>557</v>
      </c>
      <c r="F2239" s="252" t="s">
        <v>557</v>
      </c>
      <c r="G2239" s="252" t="s">
        <v>557</v>
      </c>
      <c r="H2239" s="252" t="s">
        <v>557</v>
      </c>
      <c r="I2239" s="252" t="s">
        <v>557</v>
      </c>
      <c r="J2239" s="252" t="s">
        <v>557</v>
      </c>
      <c r="K2239" s="252" t="s">
        <v>557</v>
      </c>
    </row>
    <row r="2240" spans="1:11" x14ac:dyDescent="0.25">
      <c r="A2240" s="11" t="s">
        <v>31</v>
      </c>
      <c r="B2240" s="72">
        <v>52.75</v>
      </c>
      <c r="C2240" s="72">
        <v>52.26</v>
      </c>
      <c r="D2240" s="72">
        <v>30.79</v>
      </c>
      <c r="E2240" s="72">
        <v>31.39</v>
      </c>
      <c r="F2240" s="12">
        <v>14.36</v>
      </c>
      <c r="G2240" s="12">
        <v>13.391</v>
      </c>
      <c r="H2240" s="12">
        <v>16.809999999999999</v>
      </c>
      <c r="I2240" s="12">
        <v>31.181000000000001</v>
      </c>
      <c r="J2240" s="12">
        <v>38.901000000000003</v>
      </c>
      <c r="K2240" s="112"/>
    </row>
    <row r="2241" spans="1:11" x14ac:dyDescent="0.25">
      <c r="A2241" s="11" t="s">
        <v>32</v>
      </c>
      <c r="B2241" s="72">
        <f t="shared" ref="B2241:J2241" si="91">B2238-B2240</f>
        <v>74.75</v>
      </c>
      <c r="C2241" s="72">
        <f t="shared" si="91"/>
        <v>62.49</v>
      </c>
      <c r="D2241" s="72">
        <f t="shared" si="91"/>
        <v>75.460000000000008</v>
      </c>
      <c r="E2241" s="72">
        <f t="shared" si="91"/>
        <v>87.61</v>
      </c>
      <c r="F2241" s="72">
        <f t="shared" si="91"/>
        <v>104.64</v>
      </c>
      <c r="G2241" s="12">
        <f t="shared" si="91"/>
        <v>105.60899999999999</v>
      </c>
      <c r="H2241" s="12">
        <f t="shared" si="91"/>
        <v>102.19</v>
      </c>
      <c r="I2241" s="12">
        <f t="shared" si="91"/>
        <v>87.819000000000003</v>
      </c>
      <c r="J2241" s="12">
        <f t="shared" si="91"/>
        <v>80.09899999999999</v>
      </c>
      <c r="K2241" s="113"/>
    </row>
    <row r="2242" spans="1:11" x14ac:dyDescent="0.25">
      <c r="A2242" s="16" t="s">
        <v>33</v>
      </c>
      <c r="B2242" s="159">
        <v>2018</v>
      </c>
      <c r="C2242" s="159">
        <v>2019</v>
      </c>
      <c r="D2242" s="475">
        <v>2020</v>
      </c>
      <c r="E2242" s="159">
        <v>2021</v>
      </c>
      <c r="F2242" s="159">
        <v>2022</v>
      </c>
      <c r="G2242" s="159">
        <v>2023</v>
      </c>
      <c r="H2242" s="159">
        <v>2024</v>
      </c>
      <c r="I2242" s="159">
        <v>2025</v>
      </c>
      <c r="J2242" s="159">
        <v>2025</v>
      </c>
      <c r="K2242" s="584">
        <v>2027</v>
      </c>
    </row>
    <row r="2243" spans="1:11" ht="13.2" customHeight="1" x14ac:dyDescent="0.25">
      <c r="A2243" s="18" t="s">
        <v>502</v>
      </c>
      <c r="B2243" s="585"/>
      <c r="C2243" s="585"/>
      <c r="D2243" s="585"/>
      <c r="E2243" s="585"/>
      <c r="F2243" s="585"/>
      <c r="G2243" s="585"/>
      <c r="H2243" s="585"/>
      <c r="I2243" s="585"/>
      <c r="J2243" s="585"/>
      <c r="K2243" s="63"/>
    </row>
    <row r="2244" spans="1:11" x14ac:dyDescent="0.25">
      <c r="A2244" s="161" t="s">
        <v>503</v>
      </c>
      <c r="B2244" s="32"/>
      <c r="C2244" s="32"/>
      <c r="D2244" s="32"/>
      <c r="E2244" s="32"/>
      <c r="F2244" s="32"/>
      <c r="G2244" s="32"/>
      <c r="H2244" s="32"/>
      <c r="I2244" s="32"/>
      <c r="J2244" s="32"/>
      <c r="K2244" s="64"/>
    </row>
    <row r="2245" spans="1:11" x14ac:dyDescent="0.25">
      <c r="A2245" s="39" t="s">
        <v>553</v>
      </c>
      <c r="K2245" s="64"/>
    </row>
    <row r="2246" spans="1:11" x14ac:dyDescent="0.25">
      <c r="A2246" s="41" t="s">
        <v>554</v>
      </c>
      <c r="B2246" s="34"/>
      <c r="C2246" s="34"/>
      <c r="D2246" s="34"/>
      <c r="E2246" s="34"/>
      <c r="F2246" s="34"/>
      <c r="G2246" s="34"/>
      <c r="H2246" s="34"/>
      <c r="I2246" s="34"/>
      <c r="J2246" s="34"/>
      <c r="K2246" s="48"/>
    </row>
    <row r="2248" spans="1:11" x14ac:dyDescent="0.25">
      <c r="A2248" s="6" t="s">
        <v>14</v>
      </c>
      <c r="B2248" s="7" t="s">
        <v>74</v>
      </c>
      <c r="C2248" s="473" t="s">
        <v>26</v>
      </c>
    </row>
    <row r="2249" spans="1:11" x14ac:dyDescent="0.25">
      <c r="A2249" s="170" t="s">
        <v>27</v>
      </c>
      <c r="B2249" s="154">
        <v>2016</v>
      </c>
      <c r="C2249" s="154">
        <v>2017</v>
      </c>
      <c r="D2249" s="474">
        <v>2018</v>
      </c>
      <c r="E2249" s="154">
        <v>2019</v>
      </c>
      <c r="F2249" s="154">
        <v>2020</v>
      </c>
      <c r="G2249" s="154">
        <v>2021</v>
      </c>
      <c r="H2249" s="154">
        <v>2022</v>
      </c>
      <c r="I2249" s="154">
        <v>2023</v>
      </c>
      <c r="J2249" s="154">
        <v>2024</v>
      </c>
      <c r="K2249" s="154">
        <v>2025</v>
      </c>
    </row>
    <row r="2250" spans="1:11" x14ac:dyDescent="0.25">
      <c r="A2250" s="11" t="s">
        <v>28</v>
      </c>
      <c r="B2250" s="72">
        <v>100</v>
      </c>
      <c r="C2250" s="72">
        <v>100</v>
      </c>
      <c r="D2250" s="72">
        <v>100</v>
      </c>
      <c r="E2250" s="72">
        <v>100</v>
      </c>
      <c r="F2250" s="12">
        <v>84.1</v>
      </c>
      <c r="G2250" s="12">
        <v>84.1</v>
      </c>
      <c r="H2250" s="12">
        <v>84.1</v>
      </c>
      <c r="I2250" s="12">
        <v>84.1</v>
      </c>
      <c r="J2250" s="12">
        <v>84.1</v>
      </c>
      <c r="K2250" s="12">
        <v>84.1</v>
      </c>
    </row>
    <row r="2251" spans="1:11" x14ac:dyDescent="0.25">
      <c r="A2251" s="11" t="s">
        <v>29</v>
      </c>
      <c r="B2251" s="72">
        <f>B2250*1.1</f>
        <v>110.00000000000001</v>
      </c>
      <c r="C2251" s="72">
        <f>C2250*1.1-30</f>
        <v>80.000000000000014</v>
      </c>
      <c r="D2251" s="72">
        <f>D2250+C2254+0.1*B2250</f>
        <v>92.590000000000018</v>
      </c>
      <c r="E2251" s="72">
        <v>100</v>
      </c>
      <c r="F2251" s="72">
        <f>F2250+0.1*D2250</f>
        <v>94.1</v>
      </c>
      <c r="G2251" s="72">
        <f>G2250+0.1*E2250</f>
        <v>94.1</v>
      </c>
      <c r="H2251" s="72"/>
      <c r="I2251" s="72"/>
      <c r="J2251" s="72">
        <f>J2250+I2254</f>
        <v>82.440999999999988</v>
      </c>
      <c r="K2251" s="72">
        <f>K2250+1.25*J2254</f>
        <v>60.978749999999977</v>
      </c>
    </row>
    <row r="2252" spans="1:11" x14ac:dyDescent="0.25">
      <c r="A2252" s="11" t="s">
        <v>30</v>
      </c>
      <c r="B2252" s="252" t="s">
        <v>559</v>
      </c>
      <c r="C2252" s="252" t="s">
        <v>560</v>
      </c>
      <c r="D2252" s="586" t="s">
        <v>543</v>
      </c>
      <c r="E2252" s="252"/>
      <c r="F2252" s="252" t="s">
        <v>562</v>
      </c>
      <c r="G2252" s="252" t="s">
        <v>562</v>
      </c>
      <c r="H2252" s="252"/>
      <c r="I2252" s="252"/>
      <c r="J2252" s="252"/>
      <c r="K2252" s="252" t="s">
        <v>400</v>
      </c>
    </row>
    <row r="2253" spans="1:11" x14ac:dyDescent="0.25">
      <c r="A2253" s="11" t="s">
        <v>31</v>
      </c>
      <c r="B2253" s="72">
        <v>82.51</v>
      </c>
      <c r="C2253" s="72">
        <v>97.41</v>
      </c>
      <c r="D2253" s="72">
        <v>61.54</v>
      </c>
      <c r="E2253" s="72">
        <v>60.49</v>
      </c>
      <c r="F2253" s="12">
        <v>42.46</v>
      </c>
      <c r="G2253" s="12">
        <v>42.97</v>
      </c>
      <c r="H2253" s="12">
        <v>71.760000000000005</v>
      </c>
      <c r="I2253" s="12">
        <v>85.759</v>
      </c>
      <c r="J2253" s="12">
        <v>100.938</v>
      </c>
      <c r="K2253" s="12"/>
    </row>
    <row r="2254" spans="1:11" x14ac:dyDescent="0.25">
      <c r="A2254" s="11" t="s">
        <v>32</v>
      </c>
      <c r="B2254" s="72">
        <f t="shared" ref="B2254:G2254" si="92">B2251-B2253</f>
        <v>27.490000000000009</v>
      </c>
      <c r="C2254" s="72">
        <f t="shared" si="92"/>
        <v>-17.409999999999982</v>
      </c>
      <c r="D2254" s="72">
        <f t="shared" si="92"/>
        <v>31.050000000000018</v>
      </c>
      <c r="E2254" s="72">
        <f t="shared" si="92"/>
        <v>39.51</v>
      </c>
      <c r="F2254" s="72">
        <f t="shared" si="92"/>
        <v>51.639999999999993</v>
      </c>
      <c r="G2254" s="12">
        <f t="shared" si="92"/>
        <v>51.129999999999995</v>
      </c>
      <c r="H2254" s="12">
        <f>H2250-H2253</f>
        <v>12.339999999999989</v>
      </c>
      <c r="I2254" s="12">
        <f>I2250-I2253</f>
        <v>-1.659000000000006</v>
      </c>
      <c r="J2254" s="12">
        <f>J2251-J2253</f>
        <v>-18.497000000000014</v>
      </c>
      <c r="K2254" s="12"/>
    </row>
    <row r="2255" spans="1:11" x14ac:dyDescent="0.25">
      <c r="A2255" s="16" t="s">
        <v>33</v>
      </c>
      <c r="B2255" s="159">
        <v>2018</v>
      </c>
      <c r="C2255" s="159">
        <v>2018</v>
      </c>
      <c r="D2255" s="475">
        <v>2020</v>
      </c>
      <c r="E2255" s="159">
        <v>2021</v>
      </c>
      <c r="F2255" s="159"/>
      <c r="G2255" s="159"/>
      <c r="H2255" s="159"/>
      <c r="I2255" s="159">
        <v>2024</v>
      </c>
      <c r="J2255" s="159">
        <v>2025</v>
      </c>
      <c r="K2255" s="159">
        <v>2026</v>
      </c>
    </row>
    <row r="2256" spans="1:11" x14ac:dyDescent="0.25">
      <c r="A2256" s="18" t="s">
        <v>558</v>
      </c>
      <c r="B2256" s="585"/>
      <c r="C2256" s="585"/>
      <c r="D2256" s="585"/>
      <c r="E2256" s="585"/>
      <c r="F2256" s="585"/>
      <c r="G2256" s="585"/>
      <c r="H2256" s="585"/>
      <c r="I2256" s="585"/>
      <c r="J2256" s="585"/>
      <c r="K2256" s="63"/>
    </row>
    <row r="2257" spans="1:11" x14ac:dyDescent="0.25">
      <c r="A2257" s="39" t="s">
        <v>563</v>
      </c>
      <c r="B2257" s="4"/>
      <c r="C2257" s="4"/>
      <c r="D2257" s="4"/>
      <c r="E2257" s="4"/>
      <c r="F2257" s="4"/>
      <c r="G2257" s="4"/>
      <c r="H2257" s="4"/>
      <c r="I2257" s="4"/>
      <c r="J2257" s="4"/>
      <c r="K2257" s="64"/>
    </row>
    <row r="2258" spans="1:11" x14ac:dyDescent="0.25">
      <c r="A2258" s="39" t="s">
        <v>561</v>
      </c>
      <c r="B2258" s="4"/>
      <c r="C2258" s="4"/>
      <c r="D2258" s="4"/>
      <c r="E2258" s="4"/>
      <c r="F2258" s="4"/>
      <c r="G2258" s="4"/>
      <c r="H2258" s="4"/>
      <c r="I2258" s="4"/>
      <c r="J2258" s="4"/>
      <c r="K2258" s="64"/>
    </row>
    <row r="2259" spans="1:11" x14ac:dyDescent="0.25">
      <c r="A2259" s="41" t="s">
        <v>1226</v>
      </c>
      <c r="B2259" s="34"/>
      <c r="C2259" s="34"/>
      <c r="D2259" s="34"/>
      <c r="E2259" s="34"/>
      <c r="F2259" s="34"/>
      <c r="G2259" s="34"/>
      <c r="H2259" s="34"/>
      <c r="I2259" s="34"/>
      <c r="J2259" s="34"/>
      <c r="K2259" s="48"/>
    </row>
    <row r="2261" spans="1:11" x14ac:dyDescent="0.25">
      <c r="A2261" s="6" t="s">
        <v>14</v>
      </c>
      <c r="B2261" s="7" t="s">
        <v>79</v>
      </c>
      <c r="C2261" s="473" t="s">
        <v>26</v>
      </c>
    </row>
    <row r="2262" spans="1:11" x14ac:dyDescent="0.25">
      <c r="A2262" s="170" t="s">
        <v>27</v>
      </c>
      <c r="B2262" s="154">
        <v>2016</v>
      </c>
      <c r="C2262" s="154">
        <v>2017</v>
      </c>
      <c r="D2262" s="474">
        <v>2018</v>
      </c>
      <c r="E2262" s="154">
        <v>2019</v>
      </c>
      <c r="F2262" s="154">
        <v>2020</v>
      </c>
      <c r="G2262" s="154">
        <v>2021</v>
      </c>
      <c r="H2262" s="154">
        <v>2022</v>
      </c>
      <c r="I2262" s="154">
        <v>2023</v>
      </c>
      <c r="J2262" s="154">
        <v>2024</v>
      </c>
      <c r="K2262" s="154">
        <v>2025</v>
      </c>
    </row>
    <row r="2263" spans="1:11" x14ac:dyDescent="0.25">
      <c r="A2263" s="11" t="s">
        <v>28</v>
      </c>
      <c r="B2263" s="72">
        <v>50</v>
      </c>
      <c r="C2263" s="72">
        <v>50</v>
      </c>
      <c r="D2263" s="72">
        <v>50</v>
      </c>
      <c r="E2263" s="72">
        <v>50</v>
      </c>
      <c r="F2263" s="72">
        <v>50</v>
      </c>
      <c r="G2263" s="72">
        <v>50</v>
      </c>
      <c r="H2263" s="72">
        <v>50</v>
      </c>
      <c r="I2263" s="72">
        <v>50</v>
      </c>
      <c r="J2263" s="72">
        <v>50</v>
      </c>
      <c r="K2263" s="12">
        <v>50</v>
      </c>
    </row>
    <row r="2264" spans="1:11" x14ac:dyDescent="0.25">
      <c r="A2264" s="11" t="s">
        <v>29</v>
      </c>
      <c r="B2264" s="72"/>
      <c r="C2264" s="72">
        <f>C2263+B2267</f>
        <v>-57.97999999999999</v>
      </c>
      <c r="D2264" s="72">
        <f>D2263+C2267</f>
        <v>-158.07</v>
      </c>
      <c r="E2264" s="72">
        <f>D2267+E2263</f>
        <v>-175.964</v>
      </c>
      <c r="F2264" s="72">
        <f>E2267+F2263</f>
        <v>-177.393</v>
      </c>
      <c r="G2264" s="72">
        <f>F2267+G2263</f>
        <v>-162.78800000000001</v>
      </c>
      <c r="H2264" s="72">
        <f>G2267*1.25+H2263</f>
        <v>-193.19875000000002</v>
      </c>
      <c r="I2264" s="72">
        <f>H2267*1.25+I2263</f>
        <v>-245.52468750000003</v>
      </c>
      <c r="J2264" s="72">
        <f>I2267*1.25+J2263</f>
        <v>-318.318359375</v>
      </c>
      <c r="K2264" s="72">
        <f>K2263+1.25*J2267</f>
        <v>-400.58919921875003</v>
      </c>
    </row>
    <row r="2265" spans="1:11" x14ac:dyDescent="0.25">
      <c r="A2265" s="11" t="s">
        <v>30</v>
      </c>
      <c r="B2265" s="252"/>
      <c r="C2265" s="486" t="s">
        <v>543</v>
      </c>
      <c r="D2265" s="486" t="s">
        <v>544</v>
      </c>
      <c r="E2265" s="486" t="s">
        <v>545</v>
      </c>
      <c r="F2265" s="486" t="s">
        <v>548</v>
      </c>
      <c r="G2265" s="486" t="s">
        <v>550</v>
      </c>
      <c r="H2265" s="486" t="s">
        <v>692</v>
      </c>
      <c r="I2265" s="486" t="s">
        <v>849</v>
      </c>
      <c r="J2265" s="486" t="s">
        <v>1017</v>
      </c>
      <c r="K2265" s="486" t="s">
        <v>1122</v>
      </c>
    </row>
    <row r="2266" spans="1:11" x14ac:dyDescent="0.25">
      <c r="A2266" s="11" t="s">
        <v>31</v>
      </c>
      <c r="B2266" s="72">
        <v>157.97999999999999</v>
      </c>
      <c r="C2266" s="72">
        <v>150.09</v>
      </c>
      <c r="D2266" s="72">
        <v>67.894000000000005</v>
      </c>
      <c r="E2266" s="72">
        <v>51.429000000000002</v>
      </c>
      <c r="F2266" s="12">
        <v>35.395000000000003</v>
      </c>
      <c r="G2266" s="12">
        <v>31.771000000000001</v>
      </c>
      <c r="H2266" s="12">
        <v>43.220999999999997</v>
      </c>
      <c r="I2266" s="12">
        <v>49.13</v>
      </c>
      <c r="J2266" s="12">
        <v>42.152999999999999</v>
      </c>
      <c r="K2266" s="12"/>
    </row>
    <row r="2267" spans="1:11" x14ac:dyDescent="0.25">
      <c r="A2267" s="11" t="s">
        <v>32</v>
      </c>
      <c r="B2267" s="72">
        <f>B2263-B2266</f>
        <v>-107.97999999999999</v>
      </c>
      <c r="C2267" s="72">
        <f t="shared" ref="C2267:J2267" si="93">C2264-C2266</f>
        <v>-208.07</v>
      </c>
      <c r="D2267" s="72">
        <f t="shared" si="93"/>
        <v>-225.964</v>
      </c>
      <c r="E2267" s="72">
        <f t="shared" si="93"/>
        <v>-227.393</v>
      </c>
      <c r="F2267" s="72">
        <f t="shared" si="93"/>
        <v>-212.78800000000001</v>
      </c>
      <c r="G2267" s="72">
        <f t="shared" si="93"/>
        <v>-194.55900000000003</v>
      </c>
      <c r="H2267" s="72">
        <f t="shared" si="93"/>
        <v>-236.41975000000002</v>
      </c>
      <c r="I2267" s="72">
        <f t="shared" si="93"/>
        <v>-294.65468750000002</v>
      </c>
      <c r="J2267" s="72">
        <f t="shared" si="93"/>
        <v>-360.47135937500002</v>
      </c>
      <c r="K2267" s="12"/>
    </row>
    <row r="2268" spans="1:11" x14ac:dyDescent="0.25">
      <c r="A2268" s="16" t="s">
        <v>33</v>
      </c>
      <c r="B2268" s="159">
        <v>2017</v>
      </c>
      <c r="C2268" s="159">
        <v>2018</v>
      </c>
      <c r="D2268" s="159">
        <v>2019</v>
      </c>
      <c r="E2268" s="159">
        <v>2020</v>
      </c>
      <c r="F2268" s="159">
        <v>2021</v>
      </c>
      <c r="G2268" s="159">
        <v>2022</v>
      </c>
      <c r="H2268" s="159">
        <v>2023</v>
      </c>
      <c r="I2268" s="159">
        <v>2024</v>
      </c>
      <c r="J2268" s="159">
        <v>2025</v>
      </c>
      <c r="K2268" s="159">
        <v>2026</v>
      </c>
    </row>
    <row r="2269" spans="1:11" x14ac:dyDescent="0.25">
      <c r="A2269" s="18" t="s">
        <v>694</v>
      </c>
      <c r="B2269" s="585"/>
      <c r="C2269" s="585"/>
      <c r="D2269" s="585"/>
      <c r="E2269" s="585"/>
      <c r="F2269" s="585"/>
      <c r="G2269" s="585"/>
      <c r="H2269" s="585"/>
      <c r="I2269" s="585"/>
      <c r="J2269" s="585"/>
      <c r="K2269" s="63"/>
    </row>
    <row r="2270" spans="1:11" x14ac:dyDescent="0.25">
      <c r="A2270" s="39" t="s">
        <v>546</v>
      </c>
      <c r="B2270" s="4"/>
      <c r="C2270" s="4"/>
      <c r="D2270" s="4"/>
      <c r="E2270" s="4"/>
      <c r="F2270" s="4"/>
      <c r="G2270" s="4"/>
      <c r="H2270" s="4"/>
      <c r="I2270" s="4"/>
      <c r="J2270" s="4"/>
      <c r="K2270" s="64"/>
    </row>
    <row r="2271" spans="1:11" x14ac:dyDescent="0.25">
      <c r="A2271" s="39" t="s">
        <v>547</v>
      </c>
      <c r="K2271" s="64"/>
    </row>
    <row r="2272" spans="1:11" x14ac:dyDescent="0.25">
      <c r="A2272" s="39" t="s">
        <v>549</v>
      </c>
      <c r="K2272" s="64"/>
    </row>
    <row r="2273" spans="1:11" x14ac:dyDescent="0.25">
      <c r="A2273" s="39" t="s">
        <v>551</v>
      </c>
      <c r="K2273" s="64"/>
    </row>
    <row r="2274" spans="1:11" x14ac:dyDescent="0.25">
      <c r="A2274" s="39" t="s">
        <v>903</v>
      </c>
      <c r="K2274" s="64"/>
    </row>
    <row r="2275" spans="1:11" x14ac:dyDescent="0.25">
      <c r="A2275" s="39" t="s">
        <v>904</v>
      </c>
      <c r="K2275" s="64"/>
    </row>
    <row r="2276" spans="1:11" x14ac:dyDescent="0.25">
      <c r="A2276" s="39" t="s">
        <v>1019</v>
      </c>
      <c r="K2276" s="64"/>
    </row>
    <row r="2277" spans="1:11" s="34" customFormat="1" x14ac:dyDescent="0.25">
      <c r="A2277" s="41" t="s">
        <v>1132</v>
      </c>
      <c r="K2277" s="48"/>
    </row>
  </sheetData>
  <mergeCells count="55">
    <mergeCell ref="A1691:H1691"/>
    <mergeCell ref="A478:G478"/>
    <mergeCell ref="A491:F491"/>
    <mergeCell ref="A508:F508"/>
    <mergeCell ref="A925:G925"/>
    <mergeCell ref="A920:F920"/>
    <mergeCell ref="A815:L815"/>
    <mergeCell ref="A922:F922"/>
    <mergeCell ref="A924:G924"/>
    <mergeCell ref="A1995:G1995"/>
    <mergeCell ref="A926:G926"/>
    <mergeCell ref="A1744:G1744"/>
    <mergeCell ref="A1473:G1473"/>
    <mergeCell ref="A1474:G1474"/>
    <mergeCell ref="A1715:D1715"/>
    <mergeCell ref="A1689:H1689"/>
    <mergeCell ref="A1687:H1687"/>
    <mergeCell ref="A1688:H1688"/>
    <mergeCell ref="A927:G927"/>
    <mergeCell ref="A1080:N1080"/>
    <mergeCell ref="C1423:J1423"/>
    <mergeCell ref="A1692:H1692"/>
    <mergeCell ref="A1475:G1475"/>
    <mergeCell ref="A932:G932"/>
    <mergeCell ref="A928:G928"/>
    <mergeCell ref="A26:E26"/>
    <mergeCell ref="A280:F280"/>
    <mergeCell ref="A212:G212"/>
    <mergeCell ref="A39:D39"/>
    <mergeCell ref="E121:K121"/>
    <mergeCell ref="C142:K142"/>
    <mergeCell ref="C159:K159"/>
    <mergeCell ref="A125:F125"/>
    <mergeCell ref="A126:F126"/>
    <mergeCell ref="A230:G230"/>
    <mergeCell ref="A244:G244"/>
    <mergeCell ref="A232:G232"/>
    <mergeCell ref="A40:D40"/>
    <mergeCell ref="A270:L270"/>
    <mergeCell ref="A281:L281"/>
    <mergeCell ref="B490:M490"/>
    <mergeCell ref="A1690:H1690"/>
    <mergeCell ref="A344:O344"/>
    <mergeCell ref="A764:E764"/>
    <mergeCell ref="A923:F923"/>
    <mergeCell ref="A830:J830"/>
    <mergeCell ref="A714:H714"/>
    <mergeCell ref="A383:M383"/>
    <mergeCell ref="A472:G472"/>
    <mergeCell ref="A598:F598"/>
    <mergeCell ref="A529:F529"/>
    <mergeCell ref="A583:F583"/>
    <mergeCell ref="A1627:E1627"/>
    <mergeCell ref="A1638:E1638"/>
    <mergeCell ref="A1472:G1472"/>
  </mergeCells>
  <phoneticPr fontId="10" type="noConversion"/>
  <pageMargins left="0.7" right="0.7" top="0.75" bottom="0.75" header="0.3" footer="0.3"/>
  <pageSetup paperSize="9" scale="10" orientation="landscape" r:id="rId1"/>
  <ignoredErrors>
    <ignoredError sqref="F1603 K1091 E2219:F2219 H175 I485 J1884" formula="1"/>
    <ignoredError sqref="H1969 I787:K787 I822:J822 H854 H803 H1950 C836 I803:J803 E836" unlockedFormula="1"/>
    <ignoredError sqref="C1709 H2265 E722"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Adjustement data</vt:lpstr>
      <vt:lpstr>'Adjustement data'!Print_Area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Carmen Ochoa</dc:creator>
  <cp:lastModifiedBy>Valerie Samedy</cp:lastModifiedBy>
  <cp:lastPrinted>2021-10-08T09:47:24Z</cp:lastPrinted>
  <dcterms:created xsi:type="dcterms:W3CDTF">2018-06-01T11:58:01Z</dcterms:created>
  <dcterms:modified xsi:type="dcterms:W3CDTF">2025-11-21T15:04:22Z</dcterms:modified>
</cp:coreProperties>
</file>