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tunadata\Compliance\2025_SharedDocs\Commission\COC\COC-304\"/>
    </mc:Choice>
  </mc:AlternateContent>
  <xr:revisionPtr revIDLastSave="0" documentId="13_ncr:1_{867C7702-88AA-4963-90FB-581E74B06F15}" xr6:coauthVersionLast="47" xr6:coauthVersionMax="47" xr10:uidLastSave="{00000000-0000-0000-0000-000000000000}"/>
  <bookViews>
    <workbookView xWindow="-108" yWindow="-108" windowWidth="23256" windowHeight="12576" xr2:uid="{00000000-000D-0000-FFFF-FFFF00000000}"/>
  </bookViews>
  <sheets>
    <sheet name="Adjustement data" sheetId="1" r:id="rId1"/>
  </sheets>
  <definedNames>
    <definedName name="_xlnm.Print_Area" localSheetId="0">'Adjustement data'!$A$1:$R$1990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721" i="1" l="1"/>
  <c r="H2113" i="1" l="1"/>
  <c r="G2113" i="1"/>
  <c r="N786" i="1" l="1"/>
  <c r="N207" i="1"/>
  <c r="H1631" i="1" l="1"/>
  <c r="I1631" i="1"/>
  <c r="M1632" i="1"/>
  <c r="J196" i="1" l="1"/>
  <c r="N335" i="1"/>
  <c r="N339" i="1"/>
  <c r="I1582" i="1" l="1"/>
  <c r="M1584" i="1"/>
  <c r="M1949" i="1"/>
  <c r="L697" i="1" l="1"/>
  <c r="K697" i="1"/>
  <c r="M697" i="1"/>
  <c r="L891" i="1"/>
  <c r="K891" i="1"/>
  <c r="K894" i="1" s="1"/>
  <c r="L913" i="1" l="1"/>
  <c r="L916" i="1" s="1"/>
  <c r="M686" i="1"/>
  <c r="L686" i="1"/>
  <c r="K686" i="1"/>
  <c r="J686" i="1"/>
  <c r="I12" i="1"/>
  <c r="J9" i="1"/>
  <c r="J12" i="1" s="1"/>
  <c r="S1120" i="1" l="1"/>
  <c r="E746" i="1"/>
  <c r="F746" i="1"/>
  <c r="D746" i="1"/>
  <c r="C289" i="1" l="1"/>
  <c r="K239" i="1"/>
  <c r="M239" i="1"/>
  <c r="M207" i="1"/>
  <c r="E724" i="1"/>
  <c r="I1684" i="1" l="1"/>
  <c r="F2005" i="1" l="1"/>
  <c r="K1971" i="1" l="1"/>
  <c r="L1968" i="1" s="1"/>
  <c r="L1971" i="1" s="1"/>
  <c r="L1936" i="1" l="1"/>
  <c r="E2020" i="1"/>
  <c r="B1291" i="1"/>
  <c r="S1089" i="1" l="1"/>
  <c r="E1700" i="1" l="1"/>
  <c r="D1700" i="1"/>
  <c r="C1700" i="1"/>
  <c r="B1700" i="1"/>
  <c r="H1697" i="1"/>
  <c r="M1324" i="1" l="1"/>
  <c r="L1324" i="1"/>
  <c r="L1327" i="1" s="1"/>
  <c r="M852" i="1"/>
  <c r="L852" i="1"/>
  <c r="Q1194" i="1"/>
  <c r="O1194" i="1"/>
  <c r="Q1197" i="1" l="1"/>
  <c r="S1194" i="1" s="1"/>
  <c r="F733" i="1" l="1"/>
  <c r="F736" i="1" s="1"/>
  <c r="K2237" i="1" l="1"/>
  <c r="K2218" i="1"/>
  <c r="K2173" i="1" l="1"/>
  <c r="K2154" i="1"/>
  <c r="G2099" i="1"/>
  <c r="D2020" i="1" l="1"/>
  <c r="K1921" i="1" l="1"/>
  <c r="K1902" i="1" l="1"/>
  <c r="K1905" i="1" s="1"/>
  <c r="B1873" i="1" l="1"/>
  <c r="C1870" i="1" s="1"/>
  <c r="I1821" i="1"/>
  <c r="L1736" i="1" l="1"/>
  <c r="B1671" i="1" l="1"/>
  <c r="M1604" i="1"/>
  <c r="L1584" i="1"/>
  <c r="N1544" i="1"/>
  <c r="M1547" i="1"/>
  <c r="K1481" i="1" l="1"/>
  <c r="K1464" i="1"/>
  <c r="L1398" i="1"/>
  <c r="N1347" i="1"/>
  <c r="M1347" i="1"/>
  <c r="M1350" i="1" s="1"/>
  <c r="M1335" i="1"/>
  <c r="L1338" i="1"/>
  <c r="N1324" i="1"/>
  <c r="M1314" i="1"/>
  <c r="C1302" i="1" l="1"/>
  <c r="Q1249" i="1"/>
  <c r="R1249" i="1"/>
  <c r="K960" i="1" l="1"/>
  <c r="L869" i="1" l="1"/>
  <c r="L855" i="1"/>
  <c r="G835" i="1"/>
  <c r="L789" i="1"/>
  <c r="G761" i="1"/>
  <c r="H761" i="1"/>
  <c r="I761" i="1"/>
  <c r="K595" i="1" l="1"/>
  <c r="K580" i="1"/>
  <c r="K545" i="1"/>
  <c r="J545" i="1"/>
  <c r="J505" i="1"/>
  <c r="P451" i="1" l="1"/>
  <c r="P435" i="1"/>
  <c r="Q396" i="1"/>
  <c r="K268" i="1" l="1"/>
  <c r="L268" i="1"/>
  <c r="J268" i="1"/>
  <c r="G250" i="1"/>
  <c r="K250" i="1"/>
  <c r="J250" i="1"/>
  <c r="N225" i="1"/>
  <c r="M225" i="1"/>
  <c r="M196" i="1"/>
  <c r="J120" i="1" l="1"/>
  <c r="J123" i="1" s="1"/>
  <c r="I120" i="1" l="1"/>
  <c r="I123" i="1" s="1"/>
  <c r="H68" i="1" l="1"/>
  <c r="H47" i="1"/>
  <c r="H50" i="1" s="1"/>
  <c r="F2006" i="1" l="1"/>
  <c r="J1989" i="1"/>
  <c r="L1314" i="1" l="1"/>
  <c r="L1317" i="1" s="1"/>
  <c r="C36" i="1" l="1"/>
  <c r="F23" i="1" l="1"/>
  <c r="K1534" i="1"/>
  <c r="K649" i="1" l="1"/>
  <c r="H577" i="1" l="1"/>
  <c r="J580" i="1"/>
  <c r="O435" i="1"/>
  <c r="E670" i="1"/>
  <c r="Q357" i="1"/>
  <c r="R357" i="1"/>
  <c r="L141" i="1"/>
  <c r="K141" i="1"/>
  <c r="H835" i="1" l="1"/>
  <c r="L2130" i="1"/>
  <c r="K2130" i="1"/>
  <c r="K2133" i="1" s="1"/>
  <c r="I47" i="1" l="1"/>
  <c r="L465" i="1" l="1"/>
  <c r="L468" i="1" s="1"/>
  <c r="N239" i="1" l="1"/>
  <c r="L239" i="1"/>
  <c r="L242" i="1" s="1"/>
  <c r="L225" i="1"/>
  <c r="L228" i="1" s="1"/>
  <c r="K225" i="1"/>
  <c r="K228" i="1" s="1"/>
  <c r="M786" i="1" l="1"/>
  <c r="D670" i="1"/>
  <c r="F2113" i="1"/>
  <c r="F2116" i="1" s="1"/>
  <c r="B1763" i="1" l="1"/>
  <c r="C1760" i="1" s="1"/>
  <c r="C1763" i="1" s="1"/>
  <c r="D1760" i="1" s="1"/>
  <c r="D1763" i="1" s="1"/>
  <c r="E1760" i="1" s="1"/>
  <c r="E1763" i="1" s="1"/>
  <c r="B1302" i="1"/>
  <c r="G1269" i="1"/>
  <c r="R1120" i="1"/>
  <c r="F2099" i="1"/>
  <c r="F2102" i="1" s="1"/>
  <c r="F2086" i="1"/>
  <c r="F2089" i="1" s="1"/>
  <c r="F2073" i="1"/>
  <c r="F2076" i="1" s="1"/>
  <c r="G2073" i="1"/>
  <c r="E2073" i="1"/>
  <c r="E2076" i="1" s="1"/>
  <c r="G2058" i="1"/>
  <c r="G2045" i="1"/>
  <c r="G2029" i="1"/>
  <c r="F1760" i="1" l="1"/>
  <c r="F1763" i="1" s="1"/>
  <c r="G1760" i="1" s="1"/>
  <c r="G1763" i="1" s="1"/>
  <c r="H1760" i="1" s="1"/>
  <c r="H1763" i="1" s="1"/>
  <c r="C2020" i="1"/>
  <c r="I1989" i="1"/>
  <c r="I1760" i="1" l="1"/>
  <c r="I1763" i="1" s="1"/>
  <c r="J1760" i="1" s="1"/>
  <c r="J1763" i="1" s="1"/>
  <c r="K1760" i="1" s="1"/>
  <c r="L1934" i="1"/>
  <c r="K1936" i="1"/>
  <c r="L1949" i="1"/>
  <c r="L1952" i="1" s="1"/>
  <c r="E1748" i="1" l="1"/>
  <c r="K1736" i="1" l="1"/>
  <c r="K1739" i="1" s="1"/>
  <c r="I1902" i="1" l="1"/>
  <c r="H1902" i="1"/>
  <c r="J1902" i="1"/>
  <c r="J1905" i="1" s="1"/>
  <c r="K1883" i="1"/>
  <c r="J1883" i="1"/>
  <c r="J1886" i="1" s="1"/>
  <c r="J207" i="1"/>
  <c r="I1840" i="1" l="1"/>
  <c r="I1839" i="1" s="1"/>
  <c r="I1842" i="1" s="1"/>
  <c r="I1820" i="1"/>
  <c r="I1823" i="1" s="1"/>
  <c r="C1668" i="1" l="1"/>
  <c r="C1671" i="1" s="1"/>
  <c r="K1634" i="1" l="1"/>
  <c r="D1623" i="1"/>
  <c r="L1620" i="1"/>
  <c r="J1620" i="1"/>
  <c r="J1623" i="1" s="1"/>
  <c r="I1620" i="1"/>
  <c r="I1623" i="1" s="1"/>
  <c r="K1620" i="1" s="1"/>
  <c r="K1623" i="1" s="1"/>
  <c r="H1620" i="1"/>
  <c r="H1623" i="1" s="1"/>
  <c r="G1620" i="1"/>
  <c r="G1623" i="1" s="1"/>
  <c r="F1620" i="1"/>
  <c r="F1623" i="1" s="1"/>
  <c r="E1620" i="1"/>
  <c r="E1623" i="1" s="1"/>
  <c r="C1620" i="1"/>
  <c r="C1623" i="1" s="1"/>
  <c r="L1604" i="1"/>
  <c r="L1547" i="1"/>
  <c r="J1534" i="1"/>
  <c r="J1537" i="1" s="1"/>
  <c r="K1398" i="1" l="1"/>
  <c r="K1350" i="1"/>
  <c r="K1338" i="1"/>
  <c r="L1376" i="1" l="1"/>
  <c r="L1379" i="1" s="1"/>
  <c r="F1269" i="1" l="1"/>
  <c r="F1272" i="1" s="1"/>
  <c r="E1272" i="1"/>
  <c r="Q1227" i="1"/>
  <c r="Q1120" i="1"/>
  <c r="Q1123" i="1" s="1"/>
  <c r="L196" i="1" l="1"/>
  <c r="L199" i="1" s="1"/>
  <c r="L207" i="1" l="1"/>
  <c r="L210" i="1" s="1"/>
  <c r="K207" i="1"/>
  <c r="K210" i="1" s="1"/>
  <c r="C1423" i="1" l="1"/>
  <c r="J2154" i="1" l="1"/>
  <c r="K2192" i="1"/>
  <c r="J2173" i="1"/>
  <c r="I2253" i="1"/>
  <c r="J2250" i="1" s="1"/>
  <c r="J2253" i="1" s="1"/>
  <c r="K2250" i="1" s="1"/>
  <c r="J2237" i="1" l="1"/>
  <c r="J2240" i="1" s="1"/>
  <c r="D1420" i="1"/>
  <c r="D1423" i="1" s="1"/>
  <c r="E1420" i="1" s="1"/>
  <c r="E1423" i="1" s="1"/>
  <c r="F1420" i="1" s="1"/>
  <c r="F1423" i="1" s="1"/>
  <c r="G1420" i="1" s="1"/>
  <c r="G1423" i="1" l="1"/>
  <c r="H1420" i="1" s="1"/>
  <c r="H1423" i="1" l="1"/>
  <c r="I1420" i="1" s="1"/>
  <c r="I1423" i="1" s="1"/>
  <c r="D724" i="1"/>
  <c r="E721" i="1" s="1"/>
  <c r="C724" i="1"/>
  <c r="K869" i="1"/>
  <c r="F835" i="1"/>
  <c r="F838" i="1" s="1"/>
  <c r="L821" i="1"/>
  <c r="L824" i="1" s="1"/>
  <c r="L802" i="1"/>
  <c r="L805" i="1" s="1"/>
  <c r="J1420" i="1" l="1"/>
  <c r="J1423" i="1" s="1"/>
  <c r="K1420" i="1" s="1"/>
  <c r="J609" i="1"/>
  <c r="J612" i="1" s="1"/>
  <c r="P414" i="1"/>
  <c r="P417" i="1" s="1"/>
  <c r="O451" i="1"/>
  <c r="P396" i="1" l="1"/>
  <c r="P399" i="1" s="1"/>
  <c r="P377" i="1"/>
  <c r="P380" i="1" s="1"/>
  <c r="K485" i="1" l="1"/>
  <c r="K488" i="1" s="1"/>
  <c r="K175" i="1" l="1"/>
  <c r="J175" i="1"/>
  <c r="J178" i="1" s="1"/>
  <c r="I175" i="1"/>
  <c r="I178" i="1" s="1"/>
  <c r="K158" i="1"/>
  <c r="G68" i="1" l="1"/>
  <c r="D33" i="1" l="1"/>
  <c r="D36" i="1" s="1"/>
  <c r="E47" i="1"/>
  <c r="E50" i="1" s="1"/>
  <c r="F47" i="1"/>
  <c r="F50" i="1" s="1"/>
  <c r="G47" i="1"/>
  <c r="G50" i="1" s="1"/>
  <c r="C50" i="1"/>
  <c r="D50" i="1"/>
  <c r="E23" i="1" l="1"/>
  <c r="J960" i="1" l="1"/>
  <c r="K297" i="1" l="1"/>
  <c r="K300" i="1" s="1"/>
  <c r="K913" i="1" l="1"/>
  <c r="K916" i="1" s="1"/>
  <c r="J595" i="1" l="1"/>
  <c r="K559" i="1"/>
  <c r="K562" i="1" s="1"/>
  <c r="K522" i="1"/>
  <c r="K525" i="1" s="1"/>
  <c r="K502" i="1"/>
  <c r="K505" i="1" s="1"/>
  <c r="K465" i="1"/>
  <c r="K468" i="1" s="1"/>
  <c r="E316" i="1" l="1"/>
  <c r="C316" i="1"/>
  <c r="C319" i="1" l="1"/>
  <c r="D316" i="1" s="1"/>
  <c r="H1519" i="1" l="1"/>
  <c r="I1516" i="1" s="1"/>
  <c r="I1519" i="1" s="1"/>
  <c r="J1516" i="1" s="1"/>
  <c r="H1500" i="1"/>
  <c r="J1464" i="1" l="1"/>
  <c r="E2005" i="1" l="1"/>
  <c r="E2006" i="1" l="1"/>
  <c r="H1986" i="1" l="1"/>
  <c r="E835" i="1"/>
  <c r="E838" i="1" s="1"/>
  <c r="B982" i="1" l="1"/>
  <c r="C979" i="1" s="1"/>
  <c r="C982" i="1" s="1"/>
  <c r="D979" i="1" s="1"/>
  <c r="D982" i="1" s="1"/>
  <c r="E979" i="1" s="1"/>
  <c r="E982" i="1" s="1"/>
  <c r="F979" i="1" s="1"/>
  <c r="F982" i="1" s="1"/>
  <c r="G979" i="1" s="1"/>
  <c r="G982" i="1" s="1"/>
  <c r="B1018" i="1"/>
  <c r="C1015" i="1" s="1"/>
  <c r="C1018" i="1" s="1"/>
  <c r="D1015" i="1" s="1"/>
  <c r="D1018" i="1" s="1"/>
  <c r="E1015" i="1" s="1"/>
  <c r="E1018" i="1" s="1"/>
  <c r="F1015" i="1" s="1"/>
  <c r="F1018" i="1" s="1"/>
  <c r="G1015" i="1" s="1"/>
  <c r="G1018" i="1" s="1"/>
  <c r="H1015" i="1" s="1"/>
  <c r="H1018" i="1" s="1"/>
  <c r="I1015" i="1" s="1"/>
  <c r="I1018" i="1" s="1"/>
  <c r="J1015" i="1" s="1"/>
  <c r="J1018" i="1" s="1"/>
  <c r="K1015" i="1" s="1"/>
  <c r="B1000" i="1"/>
  <c r="C997" i="1" s="1"/>
  <c r="C1000" i="1" s="1"/>
  <c r="D997" i="1" s="1"/>
  <c r="D1000" i="1" s="1"/>
  <c r="G253" i="1"/>
  <c r="I250" i="1" s="1"/>
  <c r="F2045" i="1"/>
  <c r="F2048" i="1" s="1"/>
  <c r="D1748" i="1"/>
  <c r="D1751" i="1" s="1"/>
  <c r="C670" i="1"/>
  <c r="C673" i="1" s="1"/>
  <c r="P357" i="1"/>
  <c r="P360" i="1" s="1"/>
  <c r="J141" i="1"/>
  <c r="J144" i="1" s="1"/>
  <c r="H979" i="1" l="1"/>
  <c r="H982" i="1" s="1"/>
  <c r="I979" i="1" s="1"/>
  <c r="I982" i="1" s="1"/>
  <c r="J979" i="1" s="1"/>
  <c r="J982" i="1" s="1"/>
  <c r="K979" i="1" s="1"/>
  <c r="E997" i="1"/>
  <c r="E1000" i="1" s="1"/>
  <c r="F997" i="1" l="1"/>
  <c r="F1000" i="1" s="1"/>
  <c r="C100" i="1"/>
  <c r="B100" i="1"/>
  <c r="F97" i="1"/>
  <c r="F100" i="1" s="1"/>
  <c r="H97" i="1" s="1"/>
  <c r="H100" i="1" s="1"/>
  <c r="J97" i="1" s="1"/>
  <c r="J100" i="1" s="1"/>
  <c r="L97" i="1" s="1"/>
  <c r="L100" i="1" s="1"/>
  <c r="N97" i="1" s="1"/>
  <c r="E97" i="1"/>
  <c r="E100" i="1" s="1"/>
  <c r="G97" i="1" s="1"/>
  <c r="G100" i="1" s="1"/>
  <c r="I97" i="1" s="1"/>
  <c r="I100" i="1" s="1"/>
  <c r="K97" i="1" s="1"/>
  <c r="K100" i="1" s="1"/>
  <c r="M97" i="1" s="1"/>
  <c r="M100" i="1" s="1"/>
  <c r="D97" i="1"/>
  <c r="D100" i="1" s="1"/>
  <c r="C79" i="1"/>
  <c r="E76" i="1" s="1"/>
  <c r="E79" i="1" s="1"/>
  <c r="G76" i="1" s="1"/>
  <c r="G79" i="1" s="1"/>
  <c r="I76" i="1" s="1"/>
  <c r="I79" i="1" s="1"/>
  <c r="K76" i="1" s="1"/>
  <c r="K79" i="1" s="1"/>
  <c r="M76" i="1" s="1"/>
  <c r="M79" i="1" s="1"/>
  <c r="O76" i="1" s="1"/>
  <c r="B79" i="1"/>
  <c r="D76" i="1" s="1"/>
  <c r="D79" i="1" s="1"/>
  <c r="F76" i="1" s="1"/>
  <c r="F79" i="1" s="1"/>
  <c r="H76" i="1" s="1"/>
  <c r="H79" i="1" s="1"/>
  <c r="J76" i="1" s="1"/>
  <c r="J79" i="1" s="1"/>
  <c r="L76" i="1" s="1"/>
  <c r="L79" i="1" s="1"/>
  <c r="N76" i="1" s="1"/>
  <c r="G997" i="1" l="1"/>
  <c r="G1000" i="1" s="1"/>
  <c r="H997" i="1" s="1"/>
  <c r="H1000" i="1" s="1"/>
  <c r="I997" i="1" s="1"/>
  <c r="I1000" i="1" s="1"/>
  <c r="J997" i="1" s="1"/>
  <c r="J1000" i="1" s="1"/>
  <c r="K997" i="1" s="1"/>
  <c r="D2113" i="1" l="1"/>
  <c r="G1803" i="1" l="1"/>
  <c r="F1800" i="1"/>
  <c r="C1800" i="1"/>
  <c r="B1803" i="1"/>
  <c r="E1800" i="1"/>
  <c r="E1803" i="1" s="1"/>
  <c r="D1800" i="1"/>
  <c r="D1803" i="1" s="1"/>
  <c r="C1803" i="1" l="1"/>
  <c r="F1803" i="1"/>
  <c r="H1800" i="1" l="1"/>
  <c r="H1803" i="1" s="1"/>
  <c r="I1800" i="1" s="1"/>
  <c r="I1803" i="1" s="1"/>
  <c r="J1800" i="1" s="1"/>
  <c r="J1803" i="1" s="1"/>
  <c r="K1800" i="1" s="1"/>
  <c r="D1781" i="1"/>
  <c r="E1781" i="1"/>
  <c r="B1784" i="1"/>
  <c r="C1781" i="1" s="1"/>
  <c r="B1651" i="1"/>
  <c r="C1648" i="1" s="1"/>
  <c r="C1651" i="1" s="1"/>
  <c r="D1648" i="1" s="1"/>
  <c r="D1651" i="1" s="1"/>
  <c r="E1648" i="1" s="1"/>
  <c r="E1651" i="1" s="1"/>
  <c r="F1648" i="1" s="1"/>
  <c r="F1651" i="1" s="1"/>
  <c r="G1648" i="1" s="1"/>
  <c r="G1651" i="1" s="1"/>
  <c r="H1648" i="1" s="1"/>
  <c r="H1651" i="1" s="1"/>
  <c r="I1648" i="1" s="1"/>
  <c r="I1651" i="1" s="1"/>
  <c r="J1648" i="1" s="1"/>
  <c r="J1651" i="1" s="1"/>
  <c r="K1648" i="1" s="1"/>
  <c r="C1784" i="1" l="1"/>
  <c r="D1784" i="1" s="1"/>
  <c r="E1784" i="1" s="1"/>
  <c r="F1781" i="1" l="1"/>
  <c r="F1784" i="1" s="1"/>
  <c r="G1781" i="1" l="1"/>
  <c r="G1784" i="1" s="1"/>
  <c r="H1781" i="1" l="1"/>
  <c r="H1784" i="1" s="1"/>
  <c r="I1781" i="1" s="1"/>
  <c r="I1784" i="1" s="1"/>
  <c r="J1781" i="1" s="1"/>
  <c r="J1784" i="1" s="1"/>
  <c r="K1781" i="1" s="1"/>
  <c r="C711" i="1" l="1"/>
  <c r="D708" i="1" s="1"/>
  <c r="D711" i="1" s="1"/>
  <c r="E708" i="1" s="1"/>
  <c r="E711" i="1" s="1"/>
  <c r="F708" i="1" s="1"/>
  <c r="F711" i="1" s="1"/>
  <c r="G708" i="1" s="1"/>
  <c r="G711" i="1" s="1"/>
  <c r="B711" i="1"/>
  <c r="P708" i="1"/>
  <c r="O708" i="1"/>
  <c r="N708" i="1"/>
  <c r="M708" i="1"/>
  <c r="L708" i="1"/>
  <c r="K708" i="1"/>
  <c r="J708" i="1"/>
  <c r="J711" i="1" s="1"/>
  <c r="I708" i="1"/>
  <c r="I711" i="1" s="1"/>
  <c r="H708" i="1"/>
  <c r="H711" i="1" s="1"/>
  <c r="B652" i="1"/>
  <c r="C649" i="1" s="1"/>
  <c r="C652" i="1" s="1"/>
  <c r="D649" i="1" s="1"/>
  <c r="D652" i="1" s="1"/>
  <c r="E649" i="1" s="1"/>
  <c r="E652" i="1" s="1"/>
  <c r="F649" i="1" s="1"/>
  <c r="F652" i="1" s="1"/>
  <c r="G649" i="1" l="1"/>
  <c r="G652" i="1" s="1"/>
  <c r="H649" i="1" s="1"/>
  <c r="H652" i="1" s="1"/>
  <c r="I649" i="1" s="1"/>
  <c r="I652" i="1" s="1"/>
  <c r="J649" i="1" s="1"/>
  <c r="C1748" i="1" l="1"/>
  <c r="C1751" i="1" s="1"/>
  <c r="B1748" i="1"/>
  <c r="B1751" i="1" s="1"/>
  <c r="J916" i="1" l="1"/>
  <c r="K802" i="1"/>
  <c r="K805" i="1" s="1"/>
  <c r="N1060" i="1"/>
  <c r="I697" i="1" l="1"/>
  <c r="J697" i="1"/>
  <c r="I686" i="1"/>
  <c r="J881" i="1"/>
  <c r="J869" i="1"/>
  <c r="K821" i="1"/>
  <c r="K824" i="1" s="1"/>
  <c r="M821" i="1" s="1"/>
  <c r="K852" i="1" l="1"/>
  <c r="K855" i="1" s="1"/>
  <c r="B838" i="1"/>
  <c r="C835" i="1" s="1"/>
  <c r="J485" i="1" l="1"/>
  <c r="J488" i="1" s="1"/>
  <c r="L485" i="1" s="1"/>
  <c r="I2192" i="1" l="1"/>
  <c r="I2195" i="1" s="1"/>
  <c r="J2192" i="1" s="1"/>
  <c r="H2176" i="1"/>
  <c r="I2173" i="1" s="1"/>
  <c r="H2157" i="1"/>
  <c r="J2130" i="1"/>
  <c r="J2133" i="1" s="1"/>
  <c r="D2006" i="1"/>
  <c r="C2008" i="1"/>
  <c r="D2005" i="1" s="1"/>
  <c r="D2007" i="1" s="1"/>
  <c r="E2099" i="1"/>
  <c r="E2102" i="1" s="1"/>
  <c r="E2086" i="1"/>
  <c r="E2089" i="1" s="1"/>
  <c r="D2076" i="1"/>
  <c r="F2058" i="1"/>
  <c r="F2061" i="1" s="1"/>
  <c r="E2058" i="1"/>
  <c r="E2061" i="1" s="1"/>
  <c r="D2061" i="1"/>
  <c r="D2048" i="1"/>
  <c r="F2029" i="1"/>
  <c r="F2032" i="1" s="1"/>
  <c r="H2253" i="1" l="1"/>
  <c r="I2237" i="1"/>
  <c r="I2240" i="1" s="1"/>
  <c r="H1989" i="1" l="1"/>
  <c r="K1949" i="1" l="1"/>
  <c r="K1952" i="1" s="1"/>
  <c r="J1936" i="1"/>
  <c r="G1857" i="1" l="1"/>
  <c r="G1860" i="1" s="1"/>
  <c r="I1857" i="1"/>
  <c r="J1857" i="1"/>
  <c r="K1857" i="1"/>
  <c r="L1857" i="1"/>
  <c r="M1857" i="1"/>
  <c r="N1857" i="1"/>
  <c r="O1857" i="1"/>
  <c r="F1857" i="1"/>
  <c r="F1860" i="1" s="1"/>
  <c r="H1857" i="1" s="1"/>
  <c r="E1860" i="1"/>
  <c r="H1840" i="1"/>
  <c r="H1839" i="1" s="1"/>
  <c r="H1842" i="1" s="1"/>
  <c r="G1842" i="1"/>
  <c r="H1821" i="1"/>
  <c r="H1820" i="1" s="1"/>
  <c r="H1823" i="1" s="1"/>
  <c r="D1710" i="1" l="1"/>
  <c r="J1634" i="1" l="1"/>
  <c r="I1634" i="1"/>
  <c r="J1398" i="1"/>
  <c r="K1376" i="1"/>
  <c r="K1379" i="1" s="1"/>
  <c r="J1338" i="1"/>
  <c r="K1314" i="1"/>
  <c r="K1317" i="1" s="1"/>
  <c r="E2113" i="1" l="1"/>
  <c r="E2116" i="1" s="1"/>
  <c r="D2116" i="1"/>
  <c r="D1272" i="1" l="1"/>
  <c r="P1249" i="1"/>
  <c r="P1227" i="1"/>
  <c r="R1224" i="1" s="1"/>
  <c r="R1227" i="1" s="1"/>
  <c r="P1194" i="1"/>
  <c r="P1197" i="1" s="1"/>
  <c r="R1194" i="1" s="1"/>
  <c r="P1120" i="1"/>
  <c r="P1123" i="1" s="1"/>
  <c r="O1063" i="1" l="1"/>
  <c r="Q1060" i="1" s="1"/>
  <c r="O1038" i="1"/>
  <c r="K1604" i="1" l="1"/>
  <c r="K1584" i="1"/>
  <c r="K1547" i="1"/>
  <c r="I1534" i="1"/>
  <c r="I1537" i="1" s="1"/>
  <c r="G891" i="1" l="1"/>
  <c r="H891" i="1"/>
  <c r="H894" i="1" s="1"/>
  <c r="I891" i="1"/>
  <c r="I894" i="1" s="1"/>
  <c r="J891" i="1"/>
  <c r="J894" i="1" s="1"/>
  <c r="F891" i="1"/>
  <c r="K242" i="1"/>
  <c r="J210" i="1"/>
  <c r="K196" i="1"/>
  <c r="K199" i="1" s="1"/>
  <c r="J1736" i="1" l="1"/>
  <c r="J1739" i="1" s="1"/>
  <c r="F761" i="1" l="1"/>
  <c r="E733" i="1" l="1"/>
  <c r="E736" i="1" s="1"/>
  <c r="I609" i="1" l="1"/>
  <c r="I612" i="1" s="1"/>
  <c r="I595" i="1"/>
  <c r="I580" i="1"/>
  <c r="J559" i="1"/>
  <c r="J562" i="1" s="1"/>
  <c r="J522" i="1"/>
  <c r="J525" i="1" s="1"/>
  <c r="J465" i="1"/>
  <c r="J468" i="1" s="1"/>
  <c r="N451" i="1" l="1"/>
  <c r="N435" i="1"/>
  <c r="O414" i="1"/>
  <c r="O417" i="1" s="1"/>
  <c r="O396" i="1"/>
  <c r="O399" i="1" s="1"/>
  <c r="O377" i="1"/>
  <c r="O380" i="1" s="1"/>
  <c r="J297" i="1" l="1"/>
  <c r="J300" i="1" s="1"/>
  <c r="J158" i="1" l="1"/>
  <c r="J161" i="1" s="1"/>
  <c r="F68" i="1" l="1"/>
  <c r="D20" i="1" l="1"/>
  <c r="D23" i="1" s="1"/>
  <c r="C23" i="1"/>
  <c r="H1681" i="1"/>
  <c r="H1684" i="1" s="1"/>
  <c r="G1681" i="1"/>
  <c r="G1684" i="1" s="1"/>
  <c r="I1464" i="1"/>
  <c r="I1467" i="1" s="1"/>
  <c r="I957" i="1" l="1"/>
  <c r="I960" i="1" s="1"/>
  <c r="E2045" i="1" l="1"/>
  <c r="E2048" i="1" s="1"/>
  <c r="O357" i="1"/>
  <c r="O360" i="1" s="1"/>
  <c r="D319" i="1"/>
  <c r="E319" i="1" s="1"/>
  <c r="G316" i="1"/>
  <c r="G319" i="1" s="1"/>
  <c r="H316" i="1" s="1"/>
  <c r="H319" i="1" s="1"/>
  <c r="I316" i="1" s="1"/>
  <c r="I319" i="1" s="1"/>
  <c r="J316" i="1" s="1"/>
  <c r="J319" i="1" s="1"/>
  <c r="K316" i="1" s="1"/>
  <c r="K319" i="1" s="1"/>
  <c r="L316" i="1" s="1"/>
  <c r="L319" i="1" s="1"/>
  <c r="M316" i="1" s="1"/>
  <c r="F316" i="1"/>
  <c r="F319" i="1" s="1"/>
  <c r="F1556" i="1"/>
  <c r="F1555" i="1" s="1"/>
  <c r="F1558" i="1" s="1"/>
  <c r="G1556" i="1" s="1"/>
  <c r="G1555" i="1" s="1"/>
  <c r="G1558" i="1" s="1"/>
  <c r="H1556" i="1" s="1"/>
  <c r="H1555" i="1" s="1"/>
  <c r="H1558" i="1" s="1"/>
  <c r="I1556" i="1" s="1"/>
  <c r="I1555" i="1" s="1"/>
  <c r="I1558" i="1" s="1"/>
  <c r="J1556" i="1" s="1"/>
  <c r="J1555" i="1" s="1"/>
  <c r="J1558" i="1" s="1"/>
  <c r="K1556" i="1" s="1"/>
  <c r="K1555" i="1" s="1"/>
  <c r="K1558" i="1" s="1"/>
  <c r="L1556" i="1" s="1"/>
  <c r="L1555" i="1" s="1"/>
  <c r="L1558" i="1" s="1"/>
  <c r="M1556" i="1" s="1"/>
  <c r="M1555" i="1" s="1"/>
  <c r="M1558" i="1" s="1"/>
  <c r="N1556" i="1" s="1"/>
  <c r="N1555" i="1" s="1"/>
  <c r="N1558" i="1" s="1"/>
  <c r="D1556" i="1"/>
  <c r="D1555" i="1" s="1"/>
  <c r="D1558" i="1" s="1"/>
  <c r="E1556" i="1" s="1"/>
  <c r="E1555" i="1" s="1"/>
  <c r="E1558" i="1" s="1"/>
  <c r="B1556" i="1"/>
  <c r="B1555" i="1" s="1"/>
  <c r="B1558" i="1" s="1"/>
  <c r="C1556" i="1" s="1"/>
  <c r="C1555" i="1" s="1"/>
  <c r="C1558" i="1" s="1"/>
  <c r="D253" i="1"/>
  <c r="F250" i="1" s="1"/>
  <c r="F253" i="1" s="1"/>
  <c r="H250" i="1" s="1"/>
  <c r="I141" i="1"/>
  <c r="I144" i="1" s="1"/>
  <c r="K786" i="1"/>
  <c r="K789" i="1" s="1"/>
  <c r="D1860" i="1"/>
  <c r="C1860" i="1"/>
  <c r="C2061" i="1"/>
  <c r="F1842" i="1"/>
  <c r="G1821" i="1"/>
  <c r="G1820" i="1" s="1"/>
  <c r="G1823" i="1" s="1"/>
  <c r="H1736" i="1"/>
  <c r="H1739" i="1" s="1"/>
  <c r="G1739" i="1"/>
  <c r="I1736" i="1" s="1"/>
  <c r="I1739" i="1" s="1"/>
  <c r="C1710" i="1"/>
  <c r="B2266" i="1"/>
  <c r="C2263" i="1" s="1"/>
  <c r="C2266" i="1" s="1"/>
  <c r="D2263" i="1" s="1"/>
  <c r="D2266" i="1" s="1"/>
  <c r="E2263" i="1" s="1"/>
  <c r="E2266" i="1" s="1"/>
  <c r="F2263" i="1" s="1"/>
  <c r="F2266" i="1" s="1"/>
  <c r="G2263" i="1" s="1"/>
  <c r="G2266" i="1" s="1"/>
  <c r="H2237" i="1"/>
  <c r="H2240" i="1" s="1"/>
  <c r="J1584" i="1"/>
  <c r="J1547" i="1"/>
  <c r="H1534" i="1"/>
  <c r="H1537" i="1" s="1"/>
  <c r="H225" i="1"/>
  <c r="H228" i="1" s="1"/>
  <c r="I225" i="1"/>
  <c r="I228" i="1" s="1"/>
  <c r="J225" i="1"/>
  <c r="J228" i="1" s="1"/>
  <c r="D2099" i="1"/>
  <c r="D2102" i="1" s="1"/>
  <c r="C2102" i="1"/>
  <c r="D2086" i="1"/>
  <c r="D2089" i="1" s="1"/>
  <c r="C2089" i="1"/>
  <c r="C2048" i="1"/>
  <c r="D2029" i="1"/>
  <c r="D2032" i="1" s="1"/>
  <c r="C2028" i="1"/>
  <c r="E2029" i="1" s="1"/>
  <c r="E2032" i="1" s="1"/>
  <c r="H775" i="1"/>
  <c r="J772" i="1" s="1"/>
  <c r="J775" i="1" s="1"/>
  <c r="L772" i="1" s="1"/>
  <c r="L775" i="1" s="1"/>
  <c r="I1398" i="1"/>
  <c r="I1376" i="1"/>
  <c r="I1379" i="1" s="1"/>
  <c r="J1376" i="1"/>
  <c r="J1379" i="1" s="1"/>
  <c r="J1359" i="1"/>
  <c r="J1362" i="1" s="1"/>
  <c r="K1359" i="1" s="1"/>
  <c r="K1362" i="1" s="1"/>
  <c r="H1362" i="1"/>
  <c r="I1359" i="1" s="1"/>
  <c r="I1362" i="1" s="1"/>
  <c r="I1347" i="1"/>
  <c r="I1350" i="1" s="1"/>
  <c r="J1347" i="1"/>
  <c r="J1350" i="1" s="1"/>
  <c r="I1338" i="1"/>
  <c r="I1327" i="1"/>
  <c r="K1324" i="1" s="1"/>
  <c r="K1327" i="1" s="1"/>
  <c r="I1314" i="1"/>
  <c r="I1317" i="1" s="1"/>
  <c r="G175" i="1"/>
  <c r="G178" i="1" s="1"/>
  <c r="H175" i="1"/>
  <c r="H178" i="1" s="1"/>
  <c r="G158" i="1"/>
  <c r="G161" i="1" s="1"/>
  <c r="I158" i="1"/>
  <c r="I161" i="1" s="1"/>
  <c r="G141" i="1"/>
  <c r="G144" i="1" s="1"/>
  <c r="G120" i="1"/>
  <c r="G123" i="1" s="1"/>
  <c r="F123" i="1"/>
  <c r="H2195" i="1"/>
  <c r="H1634" i="1"/>
  <c r="H2173" i="1"/>
  <c r="G2157" i="1"/>
  <c r="I2130" i="1"/>
  <c r="I2133" i="1" s="1"/>
  <c r="H2130" i="1"/>
  <c r="H2133" i="1" s="1"/>
  <c r="G1971" i="1"/>
  <c r="H1968" i="1" s="1"/>
  <c r="H1971" i="1" s="1"/>
  <c r="I1968" i="1" s="1"/>
  <c r="I1971" i="1" s="1"/>
  <c r="J1968" i="1" s="1"/>
  <c r="J1971" i="1" s="1"/>
  <c r="J1949" i="1"/>
  <c r="J1952" i="1" s="1"/>
  <c r="G1952" i="1"/>
  <c r="H1949" i="1" s="1"/>
  <c r="H1952" i="1" s="1"/>
  <c r="I1949" i="1" s="1"/>
  <c r="I1952" i="1" s="1"/>
  <c r="I1936" i="1"/>
  <c r="I1905" i="1"/>
  <c r="H1905" i="1"/>
  <c r="E1883" i="1"/>
  <c r="E1886" i="1" s="1"/>
  <c r="G1883" i="1" s="1"/>
  <c r="G1886" i="1" s="1"/>
  <c r="I1883" i="1" s="1"/>
  <c r="I1886" i="1" s="1"/>
  <c r="D733" i="1"/>
  <c r="D736" i="1" s="1"/>
  <c r="C736" i="1"/>
  <c r="D595" i="1"/>
  <c r="E595" i="1"/>
  <c r="F595" i="1"/>
  <c r="C595" i="1"/>
  <c r="I559" i="1"/>
  <c r="I562" i="1" s="1"/>
  <c r="I542" i="1"/>
  <c r="I545" i="1" s="1"/>
  <c r="I523" i="1"/>
  <c r="H525" i="1"/>
  <c r="I522" i="1" s="1"/>
  <c r="I525" i="1" s="1"/>
  <c r="I502" i="1"/>
  <c r="I505" i="1" s="1"/>
  <c r="J239" i="1"/>
  <c r="J242" i="1" s="1"/>
  <c r="I239" i="1"/>
  <c r="I242" i="1" s="1"/>
  <c r="I207" i="1"/>
  <c r="I210" i="1" s="1"/>
  <c r="J199" i="1"/>
  <c r="I196" i="1"/>
  <c r="I199" i="1" s="1"/>
  <c r="E68" i="1"/>
  <c r="C1272" i="1"/>
  <c r="O1249" i="1"/>
  <c r="O1227" i="1"/>
  <c r="O1197" i="1"/>
  <c r="N1175" i="1"/>
  <c r="O1172" i="1" s="1"/>
  <c r="O1175" i="1" s="1"/>
  <c r="P1172" i="1" s="1"/>
  <c r="O1120" i="1"/>
  <c r="O1123" i="1" s="1"/>
  <c r="N1123" i="1"/>
  <c r="N1063" i="1"/>
  <c r="P1060" i="1" s="1"/>
  <c r="P1063" i="1" s="1"/>
  <c r="R1060" i="1" s="1"/>
  <c r="N1038" i="1"/>
  <c r="I881" i="1"/>
  <c r="J802" i="1"/>
  <c r="J805" i="1" s="1"/>
  <c r="I802" i="1"/>
  <c r="I805" i="1" s="1"/>
  <c r="B632" i="1"/>
  <c r="C629" i="1" s="1"/>
  <c r="C632" i="1" s="1"/>
  <c r="D629" i="1" s="1"/>
  <c r="D632" i="1" s="1"/>
  <c r="E629" i="1" s="1"/>
  <c r="E632" i="1" s="1"/>
  <c r="F629" i="1" s="1"/>
  <c r="F632" i="1" s="1"/>
  <c r="G629" i="1" s="1"/>
  <c r="G632" i="1" s="1"/>
  <c r="H629" i="1" s="1"/>
  <c r="H632" i="1" s="1"/>
  <c r="I629" i="1" s="1"/>
  <c r="I632" i="1" s="1"/>
  <c r="J629" i="1" s="1"/>
  <c r="J632" i="1" s="1"/>
  <c r="K629" i="1" s="1"/>
  <c r="H609" i="1"/>
  <c r="H612" i="1" s="1"/>
  <c r="G609" i="1"/>
  <c r="G612" i="1" s="1"/>
  <c r="F609" i="1"/>
  <c r="F612" i="1" s="1"/>
  <c r="E609" i="1"/>
  <c r="E612" i="1" s="1"/>
  <c r="D609" i="1"/>
  <c r="D612" i="1" s="1"/>
  <c r="C609" i="1"/>
  <c r="C612" i="1" s="1"/>
  <c r="B609" i="1"/>
  <c r="B612" i="1" s="1"/>
  <c r="N414" i="1"/>
  <c r="N417" i="1" s="1"/>
  <c r="N396" i="1"/>
  <c r="N399" i="1" s="1"/>
  <c r="N342" i="1"/>
  <c r="I297" i="1"/>
  <c r="I300" i="1" s="1"/>
  <c r="C957" i="1"/>
  <c r="C960" i="1" s="1"/>
  <c r="B960" i="1"/>
  <c r="H957" i="1"/>
  <c r="H960" i="1" s="1"/>
  <c r="E957" i="1"/>
  <c r="E960" i="1" s="1"/>
  <c r="G957" i="1" s="1"/>
  <c r="G960" i="1" s="1"/>
  <c r="E761" i="1"/>
  <c r="D761" i="1"/>
  <c r="I913" i="1"/>
  <c r="I916" i="1" s="1"/>
  <c r="F1503" i="1"/>
  <c r="G1500" i="1" s="1"/>
  <c r="G1503" i="1" s="1"/>
  <c r="H1503" i="1" s="1"/>
  <c r="I1500" i="1" s="1"/>
  <c r="I1503" i="1" s="1"/>
  <c r="J1500" i="1" s="1"/>
  <c r="H1481" i="1"/>
  <c r="H1484" i="1" s="1"/>
  <c r="J1481" i="1" s="1"/>
  <c r="F1484" i="1"/>
  <c r="H1464" i="1"/>
  <c r="H1467" i="1" s="1"/>
  <c r="G1986" i="1"/>
  <c r="G1989" i="1" s="1"/>
  <c r="F1989" i="1"/>
  <c r="E1989" i="1"/>
  <c r="N1194" i="1"/>
  <c r="N1197" i="1" s="1"/>
  <c r="I465" i="1"/>
  <c r="I468" i="1" s="1"/>
  <c r="J852" i="1"/>
  <c r="J855" i="1" s="1"/>
  <c r="N357" i="1"/>
  <c r="N360" i="1" s="1"/>
  <c r="J1314" i="1"/>
  <c r="J1317" i="1" s="1"/>
  <c r="H158" i="1"/>
  <c r="H161" i="1" s="1"/>
  <c r="H141" i="1"/>
  <c r="H144" i="1" s="1"/>
  <c r="H120" i="1"/>
  <c r="H123" i="1" s="1"/>
  <c r="G1534" i="1"/>
  <c r="G1537" i="1" s="1"/>
  <c r="F1534" i="1"/>
  <c r="F1537" i="1" s="1"/>
  <c r="E1534" i="1"/>
  <c r="E1537" i="1" s="1"/>
  <c r="D1534" i="1"/>
  <c r="D1537" i="1" s="1"/>
  <c r="C1534" i="1"/>
  <c r="C1537" i="1" s="1"/>
  <c r="B1534" i="1"/>
  <c r="B1537" i="1" s="1"/>
  <c r="E1484" i="1"/>
  <c r="G1481" i="1" s="1"/>
  <c r="G1484" i="1" s="1"/>
  <c r="I1481" i="1" s="1"/>
  <c r="I1484" i="1" s="1"/>
  <c r="D1484" i="1"/>
  <c r="C1484" i="1"/>
  <c r="B1484" i="1"/>
  <c r="G1317" i="1"/>
  <c r="H1317" i="1"/>
  <c r="N1249" i="1"/>
  <c r="N1227" i="1"/>
  <c r="M1197" i="1"/>
  <c r="M1123" i="1"/>
  <c r="D505" i="1"/>
  <c r="C505" i="1"/>
  <c r="C253" i="1"/>
  <c r="E250" i="1" s="1"/>
  <c r="E253" i="1" s="1"/>
  <c r="C2250" i="1"/>
  <c r="C2253" i="1" s="1"/>
  <c r="D2250" i="1" s="1"/>
  <c r="D2253" i="1" s="1"/>
  <c r="E2253" i="1"/>
  <c r="F2250" i="1"/>
  <c r="F2253" i="1" s="1"/>
  <c r="G2250" i="1"/>
  <c r="G2253" i="1" s="1"/>
  <c r="B2250" i="1"/>
  <c r="B2253" i="1" s="1"/>
  <c r="G2237" i="1"/>
  <c r="G2240" i="1" s="1"/>
  <c r="F2237" i="1"/>
  <c r="F2240" i="1" s="1"/>
  <c r="E2237" i="1"/>
  <c r="E2240" i="1" s="1"/>
  <c r="D2237" i="1"/>
  <c r="D2240" i="1" s="1"/>
  <c r="C2237" i="1"/>
  <c r="C2240" i="1" s="1"/>
  <c r="B2237" i="1"/>
  <c r="B2240" i="1" s="1"/>
  <c r="B2221" i="1"/>
  <c r="C2218" i="1" s="1"/>
  <c r="C2221" i="1" s="1"/>
  <c r="D2218" i="1" s="1"/>
  <c r="D2221" i="1" s="1"/>
  <c r="E2218" i="1" s="1"/>
  <c r="E2221" i="1" s="1"/>
  <c r="F2218" i="1" s="1"/>
  <c r="F2221" i="1" s="1"/>
  <c r="G2218" i="1" s="1"/>
  <c r="G2221" i="1" s="1"/>
  <c r="H2218" i="1" s="1"/>
  <c r="H2221" i="1" s="1"/>
  <c r="I2218" i="1" s="1"/>
  <c r="I2221" i="1" s="1"/>
  <c r="J2218" i="1" s="1"/>
  <c r="J2221" i="1" s="1"/>
  <c r="G2195" i="1"/>
  <c r="E2157" i="1"/>
  <c r="F2157" i="1"/>
  <c r="G2133" i="1"/>
  <c r="H1933" i="1"/>
  <c r="H802" i="1"/>
  <c r="H805" i="1" s="1"/>
  <c r="F1821" i="1"/>
  <c r="F1820" i="1" s="1"/>
  <c r="F1823" i="1" s="1"/>
  <c r="G297" i="1"/>
  <c r="G300" i="1" s="1"/>
  <c r="F1681" i="1"/>
  <c r="F1684" i="1" s="1"/>
  <c r="G1464" i="1"/>
  <c r="G1467" i="1" s="1"/>
  <c r="F1464" i="1"/>
  <c r="F1467" i="1" s="1"/>
  <c r="H1410" i="1"/>
  <c r="G1410" i="1"/>
  <c r="H1398" i="1"/>
  <c r="H1376" i="1"/>
  <c r="H1379" i="1" s="1"/>
  <c r="H1338" i="1"/>
  <c r="H1327" i="1"/>
  <c r="J1324" i="1" s="1"/>
  <c r="J1327" i="1" s="1"/>
  <c r="G894" i="1"/>
  <c r="G916" i="1"/>
  <c r="C838" i="1"/>
  <c r="D835" i="1" s="1"/>
  <c r="D838" i="1" s="1"/>
  <c r="H881" i="1"/>
  <c r="I866" i="1"/>
  <c r="I869" i="1" s="1"/>
  <c r="H869" i="1"/>
  <c r="J821" i="1"/>
  <c r="J824" i="1" s="1"/>
  <c r="I821" i="1"/>
  <c r="I824" i="1" s="1"/>
  <c r="H789" i="1"/>
  <c r="J786" i="1"/>
  <c r="J789" i="1" s="1"/>
  <c r="F1902" i="1"/>
  <c r="F1905" i="1" s="1"/>
  <c r="G1902" i="1"/>
  <c r="G1905" i="1" s="1"/>
  <c r="E1902" i="1"/>
  <c r="E1905" i="1" s="1"/>
  <c r="D1902" i="1"/>
  <c r="D1905" i="1" s="1"/>
  <c r="C1902" i="1"/>
  <c r="C1905" i="1" s="1"/>
  <c r="N1147" i="1"/>
  <c r="N1150" i="1" s="1"/>
  <c r="O1147" i="1" s="1"/>
  <c r="O1150" i="1" s="1"/>
  <c r="P1147" i="1" s="1"/>
  <c r="P1150" i="1" s="1"/>
  <c r="F1631" i="1"/>
  <c r="F1634" i="1" s="1"/>
  <c r="G1631" i="1"/>
  <c r="G1634" i="1" s="1"/>
  <c r="E1631" i="1"/>
  <c r="E1634" i="1" s="1"/>
  <c r="D1631" i="1"/>
  <c r="D1634" i="1" s="1"/>
  <c r="C1631" i="1"/>
  <c r="C1634" i="1" s="1"/>
  <c r="H559" i="1"/>
  <c r="H562" i="1" s="1"/>
  <c r="G525" i="1"/>
  <c r="G468" i="1"/>
  <c r="H465" i="1"/>
  <c r="H468" i="1" s="1"/>
  <c r="H592" i="1"/>
  <c r="H595" i="1" s="1"/>
  <c r="H580" i="1"/>
  <c r="H542" i="1"/>
  <c r="H545" i="1" s="1"/>
  <c r="H502" i="1"/>
  <c r="H505" i="1" s="1"/>
  <c r="L448" i="1"/>
  <c r="L451" i="1" s="1"/>
  <c r="L432" i="1"/>
  <c r="L435" i="1" s="1"/>
  <c r="L414" i="1"/>
  <c r="L417" i="1" s="1"/>
  <c r="M414" i="1"/>
  <c r="M417" i="1" s="1"/>
  <c r="M396" i="1"/>
  <c r="M399" i="1" s="1"/>
  <c r="L399" i="1"/>
  <c r="L380" i="1"/>
  <c r="N377" i="1" s="1"/>
  <c r="N380" i="1" s="1"/>
  <c r="L360" i="1"/>
  <c r="M339" i="1"/>
  <c r="M342" i="1" s="1"/>
  <c r="O339" i="1" s="1"/>
  <c r="O342" i="1" s="1"/>
  <c r="Q339" i="1" s="1"/>
  <c r="L342" i="1"/>
  <c r="H297" i="1"/>
  <c r="H300" i="1" s="1"/>
  <c r="H239" i="1"/>
  <c r="H242" i="1" s="1"/>
  <c r="H207" i="1"/>
  <c r="H210" i="1" s="1"/>
  <c r="H196" i="1"/>
  <c r="H199" i="1" s="1"/>
  <c r="D68" i="1"/>
  <c r="G1921" i="1"/>
  <c r="J1602" i="1"/>
  <c r="J1601" i="1" s="1"/>
  <c r="J1604" i="1" s="1"/>
  <c r="I1602" i="1"/>
  <c r="I1601" i="1" s="1"/>
  <c r="I1604" i="1" s="1"/>
  <c r="I1584" i="1"/>
  <c r="I1547" i="1"/>
  <c r="B1435" i="1"/>
  <c r="C1432" i="1" s="1"/>
  <c r="C1435" i="1" s="1"/>
  <c r="D1432" i="1" s="1"/>
  <c r="D1435" i="1" s="1"/>
  <c r="E1432" i="1" s="1"/>
  <c r="E1435" i="1" s="1"/>
  <c r="F1432" i="1" s="1"/>
  <c r="F1435" i="1" s="1"/>
  <c r="G1432" i="1" s="1"/>
  <c r="G1435" i="1" s="1"/>
  <c r="K1089" i="1"/>
  <c r="K1092" i="1" s="1"/>
  <c r="L1089" i="1" s="1"/>
  <c r="L1092" i="1" s="1"/>
  <c r="M1089" i="1" s="1"/>
  <c r="M1092" i="1" s="1"/>
  <c r="N1089" i="1" s="1"/>
  <c r="N1092" i="1" s="1"/>
  <c r="O1089" i="1" s="1"/>
  <c r="O1092" i="1" s="1"/>
  <c r="H1089" i="1"/>
  <c r="H1092" i="1" s="1"/>
  <c r="I1089" i="1" s="1"/>
  <c r="I1092" i="1" s="1"/>
  <c r="J1089" i="1" s="1"/>
  <c r="J1092" i="1" s="1"/>
  <c r="D1736" i="1"/>
  <c r="D1739" i="1" s="1"/>
  <c r="C1736" i="1"/>
  <c r="C1739" i="1" s="1"/>
  <c r="E1736" i="1" s="1"/>
  <c r="E1739" i="1" s="1"/>
  <c r="G196" i="1"/>
  <c r="G199" i="1" s="1"/>
  <c r="F935" i="1"/>
  <c r="F938" i="1" s="1"/>
  <c r="G935" i="1" s="1"/>
  <c r="G938" i="1" s="1"/>
  <c r="H935" i="1" s="1"/>
  <c r="H938" i="1" s="1"/>
  <c r="I935" i="1" s="1"/>
  <c r="I938" i="1" s="1"/>
  <c r="J935" i="1" s="1"/>
  <c r="J938" i="1" s="1"/>
  <c r="K935" i="1" s="1"/>
  <c r="K938" i="1" s="1"/>
  <c r="F916" i="1"/>
  <c r="E916" i="1"/>
  <c r="D916" i="1"/>
  <c r="C913" i="1"/>
  <c r="C916" i="1" s="1"/>
  <c r="B913" i="1"/>
  <c r="B916" i="1" s="1"/>
  <c r="F894" i="1"/>
  <c r="E891" i="1"/>
  <c r="D891" i="1"/>
  <c r="D894" i="1" s="1"/>
  <c r="C891" i="1"/>
  <c r="C894" i="1" s="1"/>
  <c r="B891" i="1"/>
  <c r="B894" i="1" s="1"/>
  <c r="B1602" i="1"/>
  <c r="B1601" i="1" s="1"/>
  <c r="B1582" i="1"/>
  <c r="B1581" i="1" s="1"/>
  <c r="B360" i="1"/>
  <c r="B210" i="1"/>
  <c r="B68" i="1"/>
  <c r="H1347" i="1"/>
  <c r="H1350" i="1" s="1"/>
  <c r="G592" i="1"/>
  <c r="G595" i="1" s="1"/>
  <c r="G577" i="1"/>
  <c r="G580" i="1" s="1"/>
  <c r="F580" i="1"/>
  <c r="F562" i="1"/>
  <c r="G559" i="1"/>
  <c r="G562" i="1" s="1"/>
  <c r="F545" i="1"/>
  <c r="G542" i="1"/>
  <c r="G545" i="1" s="1"/>
  <c r="F505" i="1"/>
  <c r="G502" i="1"/>
  <c r="G505" i="1" s="1"/>
  <c r="G485" i="1"/>
  <c r="G488" i="1" s="1"/>
  <c r="I485" i="1" s="1"/>
  <c r="I488" i="1" s="1"/>
  <c r="F485" i="1"/>
  <c r="F488" i="1" s="1"/>
  <c r="H485" i="1" s="1"/>
  <c r="K451" i="1"/>
  <c r="M448" i="1"/>
  <c r="M451" i="1" s="1"/>
  <c r="K435" i="1"/>
  <c r="K417" i="1"/>
  <c r="K399" i="1"/>
  <c r="K377" i="1"/>
  <c r="K380" i="1" s="1"/>
  <c r="M377" i="1" s="1"/>
  <c r="M380" i="1" s="1"/>
  <c r="M357" i="1"/>
  <c r="M360" i="1" s="1"/>
  <c r="J360" i="1"/>
  <c r="C360" i="1"/>
  <c r="D360" i="1"/>
  <c r="E360" i="1"/>
  <c r="F360" i="1"/>
  <c r="G360" i="1"/>
  <c r="I357" i="1" s="1"/>
  <c r="I360" i="1" s="1"/>
  <c r="K357" i="1" s="1"/>
  <c r="K360" i="1" s="1"/>
  <c r="H360" i="1"/>
  <c r="G694" i="1"/>
  <c r="G697" i="1" s="1"/>
  <c r="H694" i="1"/>
  <c r="H697" i="1" s="1"/>
  <c r="F694" i="1"/>
  <c r="F697" i="1" s="1"/>
  <c r="E694" i="1"/>
  <c r="E697" i="1" s="1"/>
  <c r="D694" i="1"/>
  <c r="D697" i="1" s="1"/>
  <c r="C694" i="1"/>
  <c r="C697" i="1" s="1"/>
  <c r="G686" i="1"/>
  <c r="F1883" i="1"/>
  <c r="F1886" i="1" s="1"/>
  <c r="H1883" i="1" s="1"/>
  <c r="H1886" i="1" s="1"/>
  <c r="D1886" i="1"/>
  <c r="G239" i="1"/>
  <c r="G242" i="1" s="1"/>
  <c r="C239" i="1"/>
  <c r="C242" i="1" s="1"/>
  <c r="D239" i="1"/>
  <c r="D242" i="1" s="1"/>
  <c r="E239" i="1"/>
  <c r="E242" i="1" s="1"/>
  <c r="B239" i="1"/>
  <c r="B242" i="1" s="1"/>
  <c r="F239" i="1"/>
  <c r="F242" i="1" s="1"/>
  <c r="C228" i="1"/>
  <c r="D228" i="1"/>
  <c r="B228" i="1"/>
  <c r="G225" i="1"/>
  <c r="G228" i="1" s="1"/>
  <c r="F225" i="1"/>
  <c r="F228" i="1" s="1"/>
  <c r="E225" i="1"/>
  <c r="E228" i="1" s="1"/>
  <c r="G210" i="1"/>
  <c r="F210" i="1"/>
  <c r="E210" i="1"/>
  <c r="D210" i="1"/>
  <c r="C210" i="1"/>
  <c r="D1842" i="1"/>
  <c r="E1840" i="1"/>
  <c r="E1839" i="1" s="1"/>
  <c r="E1842" i="1" s="1"/>
  <c r="E1821" i="1"/>
  <c r="E1820" i="1" s="1"/>
  <c r="E1823" i="1" s="1"/>
  <c r="H1602" i="1"/>
  <c r="H1547" i="1"/>
  <c r="F2195" i="1"/>
  <c r="E2195" i="1"/>
  <c r="D2195" i="1"/>
  <c r="C2195" i="1"/>
  <c r="D2157" i="1"/>
  <c r="F2133" i="1"/>
  <c r="E2133" i="1"/>
  <c r="C68" i="1"/>
  <c r="G1398" i="1"/>
  <c r="G1379" i="1"/>
  <c r="G1350" i="1"/>
  <c r="F1350" i="1"/>
  <c r="G1338" i="1"/>
  <c r="G1327" i="1"/>
  <c r="G881" i="1"/>
  <c r="F881" i="1"/>
  <c r="E881" i="1"/>
  <c r="D869" i="1"/>
  <c r="G869" i="1"/>
  <c r="E869" i="1"/>
  <c r="H852" i="1"/>
  <c r="H855" i="1" s="1"/>
  <c r="G855" i="1"/>
  <c r="I852" i="1" s="1"/>
  <c r="I855" i="1" s="1"/>
  <c r="G789" i="1"/>
  <c r="I786" i="1"/>
  <c r="I789" i="1" s="1"/>
  <c r="G775" i="1"/>
  <c r="I772" i="1" s="1"/>
  <c r="I775" i="1" s="1"/>
  <c r="K772" i="1" s="1"/>
  <c r="K775" i="1" s="1"/>
  <c r="M772" i="1" s="1"/>
  <c r="D1684" i="1"/>
  <c r="E1681" i="1"/>
  <c r="E1684" i="1" s="1"/>
  <c r="G1936" i="1"/>
  <c r="G1934" i="1"/>
  <c r="F1936" i="1"/>
  <c r="F1934" i="1"/>
  <c r="F1921" i="1"/>
  <c r="F175" i="1"/>
  <c r="F178" i="1" s="1"/>
  <c r="E175" i="1"/>
  <c r="E178" i="1" s="1"/>
  <c r="D178" i="1"/>
  <c r="C178" i="1"/>
  <c r="F158" i="1"/>
  <c r="F161" i="1" s="1"/>
  <c r="E158" i="1"/>
  <c r="E161" i="1" s="1"/>
  <c r="D161" i="1"/>
  <c r="C161" i="1"/>
  <c r="D144" i="1"/>
  <c r="F141" i="1" s="1"/>
  <c r="F144" i="1" s="1"/>
  <c r="E144" i="1"/>
  <c r="C144" i="1"/>
  <c r="D123" i="1"/>
  <c r="C123" i="1"/>
  <c r="E120" i="1" s="1"/>
  <c r="E123" i="1" s="1"/>
  <c r="G1547" i="1"/>
  <c r="F1547" i="1"/>
  <c r="E1547" i="1"/>
  <c r="D1547" i="1"/>
  <c r="F686" i="1"/>
  <c r="H683" i="1" s="1"/>
  <c r="H686" i="1" s="1"/>
  <c r="E686" i="1"/>
  <c r="D686" i="1"/>
  <c r="D1602" i="1"/>
  <c r="D1601" i="1" s="1"/>
  <c r="D1604" i="1" s="1"/>
  <c r="E1602" i="1" s="1"/>
  <c r="E1601" i="1" s="1"/>
  <c r="E1604" i="1" s="1"/>
  <c r="H1601" i="1"/>
  <c r="H1604" i="1" s="1"/>
  <c r="F1601" i="1"/>
  <c r="F1604" i="1" s="1"/>
  <c r="D1584" i="1"/>
  <c r="C1582" i="1"/>
  <c r="C1581" i="1" s="1"/>
  <c r="D559" i="1"/>
  <c r="C1545" i="1"/>
  <c r="C1544" i="1" s="1"/>
  <c r="C1547" i="1" s="1"/>
  <c r="B1545" i="1"/>
  <c r="B1544" i="1" s="1"/>
  <c r="B1547" i="1" s="1"/>
  <c r="C1921" i="1"/>
  <c r="D1921" i="1"/>
  <c r="E1921" i="1"/>
  <c r="P339" i="1" l="1"/>
  <c r="P342" i="1" s="1"/>
  <c r="M432" i="1"/>
  <c r="M435" i="1" s="1"/>
  <c r="P1089" i="1"/>
  <c r="P1092" i="1" s="1"/>
  <c r="Q1089" i="1" s="1"/>
  <c r="Q1092" i="1" s="1"/>
  <c r="R1089" i="1" s="1"/>
  <c r="H2263" i="1"/>
  <c r="H2266" i="1" s="1"/>
  <c r="I2263" i="1" s="1"/>
  <c r="I2266" i="1" s="1"/>
  <c r="J2263" i="1" s="1"/>
  <c r="J2266" i="1" s="1"/>
  <c r="K2263" i="1" s="1"/>
  <c r="H1432" i="1"/>
  <c r="H1435" i="1" s="1"/>
  <c r="I1432" i="1" s="1"/>
  <c r="I1435" i="1" s="1"/>
  <c r="J1432" i="1" s="1"/>
  <c r="J1435" i="1" s="1"/>
  <c r="K1432" i="1" s="1"/>
  <c r="O1556" i="1"/>
  <c r="O1555" i="1" s="1"/>
  <c r="O1558" i="1" s="1"/>
  <c r="P1556" i="1" s="1"/>
  <c r="C2029" i="1"/>
  <c r="C2032" i="1" s="1"/>
  <c r="C1584" i="1"/>
  <c r="E1582" i="1" s="1"/>
  <c r="E1581" i="1" s="1"/>
  <c r="E1584" i="1" s="1"/>
  <c r="F1582" i="1" s="1"/>
  <c r="F1581" i="1" s="1"/>
  <c r="F1584" i="1" s="1"/>
  <c r="G1582" i="1" s="1"/>
  <c r="G1581" i="1" s="1"/>
  <c r="G1584" i="1" s="1"/>
  <c r="B1584" i="1"/>
  <c r="D1582" i="1" s="1"/>
  <c r="D957" i="1"/>
  <c r="D960" i="1" s="1"/>
  <c r="F957" i="1" s="1"/>
  <c r="F960" i="1" s="1"/>
  <c r="H1582" i="1" l="1"/>
  <c r="H1581" i="1" s="1"/>
  <c r="H1584" i="1" s="1"/>
  <c r="P1555" i="1"/>
  <c r="P1558" i="1" s="1"/>
  <c r="Q1556" i="1" s="1"/>
  <c r="Q1555" i="1" s="1"/>
</calcChain>
</file>

<file path=xl/sharedStrings.xml><?xml version="1.0" encoding="utf-8"?>
<sst xmlns="http://schemas.openxmlformats.org/spreadsheetml/2006/main" count="19497" uniqueCount="1271">
  <si>
    <t>MAROC</t>
  </si>
  <si>
    <t>Stock :</t>
  </si>
  <si>
    <t>Unités: t</t>
  </si>
  <si>
    <t>Année</t>
  </si>
  <si>
    <t>Limite</t>
  </si>
  <si>
    <t>Limite ajustée (A)</t>
  </si>
  <si>
    <t>Formule *</t>
  </si>
  <si>
    <t>Prise (B)</t>
  </si>
  <si>
    <t>Solde (A-B)</t>
  </si>
  <si>
    <t>Année d'ajustement**</t>
  </si>
  <si>
    <t>Décrire la raison utilisée dans l'application de la sur/sous-consommation</t>
  </si>
  <si>
    <t>Pavillon :</t>
  </si>
  <si>
    <t>Flag:</t>
  </si>
  <si>
    <t>SYRIA</t>
  </si>
  <si>
    <t>Stock:</t>
  </si>
  <si>
    <t>Units: t</t>
  </si>
  <si>
    <t>Year</t>
  </si>
  <si>
    <t>Limit</t>
  </si>
  <si>
    <t>Adjusted limit (A)</t>
  </si>
  <si>
    <t>Formula *</t>
  </si>
  <si>
    <t>Catch (B)</t>
  </si>
  <si>
    <t>Balance (A-B)</t>
  </si>
  <si>
    <t>Adjustment year**</t>
  </si>
  <si>
    <t>Describe the rationale used in the application of overage / underage:</t>
  </si>
  <si>
    <t>Pabellón:</t>
  </si>
  <si>
    <t>MEXICO</t>
  </si>
  <si>
    <t>Unidades: t</t>
  </si>
  <si>
    <t>Año</t>
  </si>
  <si>
    <t>Límite</t>
  </si>
  <si>
    <t>Límite ajustado (A)</t>
  </si>
  <si>
    <t>Fórmula *</t>
  </si>
  <si>
    <t>Captura (B)</t>
  </si>
  <si>
    <t>Saldo (A-B)</t>
  </si>
  <si>
    <t>Año de ajuste**</t>
  </si>
  <si>
    <t>Describir la lógica utilizada en la aplicación de los excesos/remanentes:</t>
  </si>
  <si>
    <t>2010=95t+47.5t-(86.5t to Canada for 2011) por Rec. 08-04</t>
  </si>
  <si>
    <t xml:space="preserve">Desembarque </t>
  </si>
  <si>
    <t>Saldo</t>
  </si>
  <si>
    <t>TUNISIE</t>
  </si>
  <si>
    <t>EUROPEAN UNION</t>
  </si>
  <si>
    <t>Limit+Balance 2012-20</t>
  </si>
  <si>
    <t>Limit*1.25</t>
  </si>
  <si>
    <t>Limit+2014 balance</t>
  </si>
  <si>
    <t>Limit 2017 + 25%  2015 limit</t>
  </si>
  <si>
    <t>Limit 2018 +  2016 balance</t>
  </si>
  <si>
    <t>Limit 2019 +   2017 balance</t>
  </si>
  <si>
    <t>Limit 2020 +   2018 balance</t>
  </si>
  <si>
    <t>NA</t>
  </si>
  <si>
    <t>1470+249</t>
  </si>
  <si>
    <t>Limit 2016 + 25%  2014 limit</t>
  </si>
  <si>
    <t>Limit 2018 + 25%  2016 limit</t>
  </si>
  <si>
    <t>Limit 2019 + 25%  2017 limit</t>
  </si>
  <si>
    <t>Limit 2020 + 25%  2018 limit</t>
  </si>
  <si>
    <t>(Limit*1.25)-470-40</t>
  </si>
  <si>
    <t>(Limit*1.25)-450-50</t>
  </si>
  <si>
    <t>(Limit*1.15)-40-295</t>
  </si>
  <si>
    <t>(2017 limit + 0,15*2015 limit)-300</t>
  </si>
  <si>
    <t>(2018 limit + 0,15*2016 limit)-40-300</t>
  </si>
  <si>
    <t>(2019 limit + 0,15*2017 limit)-40-300</t>
  </si>
  <si>
    <t>Limit +2012 balance</t>
  </si>
  <si>
    <t>Limit + 2013 balance</t>
  </si>
  <si>
    <t>Limit + 2014 balance</t>
  </si>
  <si>
    <t>Limit 2017 +  2015 balance</t>
  </si>
  <si>
    <t xml:space="preserve">Limit 2018 + 2016 balance </t>
  </si>
  <si>
    <t xml:space="preserve">Limit 2019 + 2017 balance </t>
  </si>
  <si>
    <t xml:space="preserve">Limit 2020 +  2018 balance </t>
  </si>
  <si>
    <t>BET</t>
  </si>
  <si>
    <t>Limit*1.3</t>
  </si>
  <si>
    <t>Limit 2016+Limit 2014*0.3</t>
  </si>
  <si>
    <t>Limit 2017+Limit 2015*0.15</t>
  </si>
  <si>
    <t>Limit 2018+Limit 2016*0.15</t>
  </si>
  <si>
    <t>Limit 2019 + 2017 balance</t>
  </si>
  <si>
    <t> 2020</t>
  </si>
  <si>
    <t> 2021</t>
  </si>
  <si>
    <t>BUM</t>
  </si>
  <si>
    <t>2016 Limit + Balance 2014</t>
  </si>
  <si>
    <t>2017 limit + 0.5*Balance 2015</t>
  </si>
  <si>
    <t>2018 limit + 0.5*Balance 2015 + 0,1*2016 limit</t>
  </si>
  <si>
    <t>2019 Limit + 0.1*2017 limit</t>
  </si>
  <si>
    <t>WHM</t>
  </si>
  <si>
    <t>2016 limit +0.5*Balance 2014</t>
  </si>
  <si>
    <t>2017 limit +0.5*Balance 2014</t>
  </si>
  <si>
    <t>2018 limit +0.33*Balance 2015</t>
  </si>
  <si>
    <t>2019 limit +0.33 Balance 2015</t>
  </si>
  <si>
    <t>2020 limit + 0,33*Balance 2015 +0.10*limit 2018</t>
  </si>
  <si>
    <t>CHINESE TAIPEI</t>
  </si>
  <si>
    <t>=3271.7*(1+25%)-100-200</t>
    <phoneticPr fontId="2" type="noConversion"/>
  </si>
  <si>
    <t>=3926+655.62-100-200</t>
    <phoneticPr fontId="2" type="noConversion"/>
  </si>
  <si>
    <t>Regarding Rec.17-04 amends para.4 of Rec.16-06, Chinese Taipei is allocated 3926 t as its 2019 initial catch quota.</t>
    <phoneticPr fontId="2" type="noConversion"/>
  </si>
  <si>
    <t>=9400+2106.75</t>
    <phoneticPr fontId="2" type="noConversion"/>
  </si>
  <si>
    <t>=9400+2350</t>
    <phoneticPr fontId="2" type="noConversion"/>
  </si>
  <si>
    <t>2019 adjusted quota is 11750.00 t (=9400+2350), which was approved by the Commission at the 21st Special Meeting.</t>
    <phoneticPr fontId="2" type="noConversion"/>
  </si>
  <si>
    <t>=270*(1+50%)-35</t>
    <phoneticPr fontId="2" type="noConversion"/>
  </si>
  <si>
    <t>=270*(1+40%)-35</t>
    <phoneticPr fontId="2" type="noConversion"/>
  </si>
  <si>
    <t>Regarding Rec.17-02 replacing Rec.16-03, Chinese Taipei may carryover to the maximum of 40% of its 2017 underage in 2019.</t>
    <phoneticPr fontId="2" type="noConversion"/>
  </si>
  <si>
    <t>=459+128.9</t>
    <phoneticPr fontId="2" type="noConversion"/>
  </si>
  <si>
    <t>=459+76.9</t>
    <phoneticPr fontId="2" type="noConversion"/>
  </si>
  <si>
    <t>=459+57.9</t>
    <phoneticPr fontId="2" type="noConversion"/>
  </si>
  <si>
    <t>Regarding Rec.17-03 replaceing Rec.16-04, Chinese Taipei may carryover to the maximum of 20% of its 2018 underage in 2019.</t>
    <phoneticPr fontId="2" type="noConversion"/>
  </si>
  <si>
    <t>=48.76-10</t>
    <phoneticPr fontId="2" type="noConversion"/>
  </si>
  <si>
    <t>=58.28-10</t>
    <phoneticPr fontId="2" type="noConversion"/>
  </si>
  <si>
    <t>=69.97-10</t>
    <phoneticPr fontId="2" type="noConversion"/>
  </si>
  <si>
    <t>=79-50</t>
    <phoneticPr fontId="2" type="noConversion"/>
  </si>
  <si>
    <t>=84-50</t>
    <phoneticPr fontId="2" type="noConversion"/>
  </si>
  <si>
    <t>2019 adjusted quota is 34 t (=84-50) due to a transfer of 50 t to Korea.</t>
    <phoneticPr fontId="2" type="noConversion"/>
  </si>
  <si>
    <t>=15583*(1+30%)-70</t>
    <phoneticPr fontId="2" type="noConversion"/>
  </si>
  <si>
    <t>=11679+(15583*30%)</t>
    <phoneticPr fontId="2" type="noConversion"/>
  </si>
  <si>
    <t>=11679+(15583*15%)</t>
    <phoneticPr fontId="2" type="noConversion"/>
  </si>
  <si>
    <t>=11679*(1+15%)+223</t>
    <phoneticPr fontId="2" type="noConversion"/>
  </si>
  <si>
    <t>2019 adjusted quota is 13653.85 t (=11679+11679*15%+223) due to the underage of 2017 exceeding 15% of 2019 initial catch limit and a transfer of 223 t from Korea.</t>
    <phoneticPr fontId="2" type="noConversion"/>
  </si>
  <si>
    <t>=150*(1+10%)</t>
    <phoneticPr fontId="2" type="noConversion"/>
  </si>
  <si>
    <t>2019 adjusted quota is 165t (=150+150*10%) due to the underage of 2017 exceeding 15% of 2019 initial catch limit.</t>
    <phoneticPr fontId="2" type="noConversion"/>
  </si>
  <si>
    <t>=50*(1+10%)</t>
    <phoneticPr fontId="2" type="noConversion"/>
  </si>
  <si>
    <t>2019 adjusted quota is 55t (=50+50*10%) due to the underage of 2017 exceeding 10% of 2019 initial catch limit.</t>
    <phoneticPr fontId="2" type="noConversion"/>
  </si>
  <si>
    <t>USA</t>
  </si>
  <si>
    <t>* Adjusted limit = initial limit + available balance (not to exceed 25% of initial quota)</t>
  </si>
  <si>
    <t>Adjusted limit for 2016 = 527 +131.75 = 658.75 t</t>
  </si>
  <si>
    <t>Adjusted limit for 2017 = 527 +131.75 = 658.75 t</t>
  </si>
  <si>
    <t>Adjusted limit for 2018 = 632.4 +131.75 = 764.15***</t>
  </si>
  <si>
    <t>Adjusted limit for 2019 = 632.4 +158.1 = 790.5</t>
  </si>
  <si>
    <t>* Adjusted limit = (initial limit) - (any transfers) + (underharvest from previous year (capped at 15% of baseline))</t>
  </si>
  <si>
    <t>Adjusted limit for 2017 = 3907.0 - (25 t to Mauritania) + (0.15)(3907) = 4468.05 t</t>
  </si>
  <si>
    <t>Adjusted limit for 2018 = 3907.0 + (0.15)(3907) = 4493.05 t</t>
  </si>
  <si>
    <t>Adjusted limit for 2019 = 3907.0 + (0.15)(3907) = 4493.05 t</t>
  </si>
  <si>
    <t>* Adjusted limit = (initial limit) - (any transfers) + (underharvest from previous year (capped at 100 t WW))</t>
  </si>
  <si>
    <t>Adjusted limit for 2017 = 100.0 - (100 t (Namibia (50 t), Cote d'Ivoire (25 t), Belize (25 t)) + 99.94</t>
  </si>
  <si>
    <t>Adjusted limit for 2018 = 100.0 - (100 t (Namibia (50 t), Cote d'Ivoire (25 t), Belize (25 t)) + 99.94</t>
  </si>
  <si>
    <t>Adjusted limit for 2019 = 100.0 - (100 t (Namibia (50 t), Cote d'Ivoire (25 t), Belize (25 t)) + 99.94</t>
  </si>
  <si>
    <t>Adjusted limit for 2016 = 1083.79 + (.1)(1083.79) = 1192.17 t</t>
  </si>
  <si>
    <t>Adjusted limit for 2017 = 1083.79 + (.1)(1083.79) = 1192.17 t</t>
  </si>
  <si>
    <t>Adjusted limit for 2018 = 1272.86 + (.1)(1083.79) = 1381.24 t***</t>
  </si>
  <si>
    <t>Adjusted limit for 2019 = 1272.86 + (.1)(1272.86) = 1400.15 t</t>
  </si>
  <si>
    <t>(200/4)+200</t>
  </si>
  <si>
    <t>(200-184.4)+200</t>
  </si>
  <si>
    <t>(200*0.25)+200</t>
  </si>
  <si>
    <t xml:space="preserve">Underage up to 25% of the initial catch quota has been carried over biennially. </t>
  </si>
  <si>
    <t>-</t>
  </si>
  <si>
    <t>(150*0.25)+140</t>
  </si>
  <si>
    <t>(140*0.25)+140</t>
  </si>
  <si>
    <t>50-4.4</t>
  </si>
  <si>
    <t>50+15.34</t>
  </si>
  <si>
    <t>50+(50*0.5)</t>
  </si>
  <si>
    <t>50+10.7</t>
  </si>
  <si>
    <t>50-2.63</t>
  </si>
  <si>
    <t>50+(50*0.3)</t>
  </si>
  <si>
    <t>(1983*0.3)+1983-20</t>
  </si>
  <si>
    <t>(1983*0.3)+1486</t>
  </si>
  <si>
    <t>(1486*0.15)+1486</t>
  </si>
  <si>
    <t xml:space="preserve">20 tons of Bigeye catch quota had been annually transferred to Ghana until 2015.  </t>
  </si>
  <si>
    <t>(35*0.2)+35</t>
  </si>
  <si>
    <t>Underage up to 20% of the initial catch quota has been carried over to following year.</t>
  </si>
  <si>
    <t>(20*0.2)+20</t>
  </si>
  <si>
    <t>Units : t</t>
  </si>
  <si>
    <t>CHINA</t>
  </si>
  <si>
    <t>Describe the rationale used in the application of over-underharvest:</t>
  </si>
  <si>
    <t>Adjusted Lmit=initial limt +available balance(not to exceed 25% of initial quota)</t>
  </si>
  <si>
    <t>Adjusted limit for 2019=initial quota(200)+200*25%(not exceeding the balance of 2017)=220.05</t>
    <phoneticPr fontId="2" type="noConversion"/>
  </si>
  <si>
    <t>NOTE:pay back plan for the over-harvest of 2015: pay back 12t in 2017, pay back 12t in 2018, pay back 12.726t in 2019</t>
    <phoneticPr fontId="2" type="noConversion"/>
  </si>
  <si>
    <t>Adjusted Lmit=initial limt +available balance(not to exceed 30%of initial quota)</t>
    <phoneticPr fontId="2" type="noConversion"/>
  </si>
  <si>
    <t>Adjusted Lmit=initial limt +available balance(not to exceed 15% of initial quota)</t>
    <phoneticPr fontId="2" type="noConversion"/>
  </si>
  <si>
    <t>Adjusted limite for 2019=initial quota(5376)+5376*15%+1000 ton transfer from japan=7182.4</t>
    <phoneticPr fontId="2" type="noConversion"/>
  </si>
  <si>
    <t>n.a.</t>
  </si>
  <si>
    <t>No adjustment for 2015</t>
  </si>
  <si>
    <t>Adjusted limit for 2019=initial quota(10)+10*20%=12</t>
  </si>
  <si>
    <t>Insuffisance d'activité lié au déploiement de l'armement</t>
  </si>
  <si>
    <t>BRAZIL</t>
  </si>
  <si>
    <t>BELIZE</t>
  </si>
  <si>
    <t>Limit + Underages + Transfer</t>
  </si>
  <si>
    <t xml:space="preserve">2016 = Initial allocation + transfers (from Senegal 125t, Japan 35t, Chinese Taipe 35t, and the EU 295t) + underage from 2014 (202.2t - max. carry forward) </t>
  </si>
  <si>
    <t xml:space="preserve">2017 = Initial allocation + transfers (from Senegal 150t, Japan 35t, Chinese Taipe 35t, and the EU 300t) + underage from 2015 (202.2t - max. carry forward) </t>
  </si>
  <si>
    <t>2018 = Initial allocation + transfers (from Senegal 150t, Japan 35t, Chinese Taipe 35t, and the EU 300t) + underage from 2016 (202.2t - max. carry forward)</t>
  </si>
  <si>
    <t>CANADA</t>
  </si>
  <si>
    <t>TRINIDAD&amp;TOBAGO</t>
  </si>
  <si>
    <t>JAPAN</t>
  </si>
  <si>
    <t xml:space="preserve">JAPAN-N-ALB:is to endeavour to limit North Albacore catches to no more than 4% of its total bigeye tuna catch. </t>
  </si>
  <si>
    <t>For reference</t>
  </si>
  <si>
    <t>% (N-ALB/BET)</t>
  </si>
  <si>
    <t>Year:</t>
  </si>
  <si>
    <t>Catch</t>
  </si>
  <si>
    <t>Describe the rationale used in the application of overage / underage</t>
  </si>
  <si>
    <t xml:space="preserve">JAPAN-S-ALB up to 2013: is to endeavour to limit its total South Albacore catches to no more than 4% of its total bigeye tuna catch in South of 5 degrees North. </t>
  </si>
  <si>
    <t xml:space="preserve">JAPAN-S-ALB: 2014 adjusted limit included 50t transferred from Namibia, 220t transferred from Uruguay and 100t transferred from  Brazil
. </t>
  </si>
  <si>
    <t xml:space="preserve">JAPAN-S-ALB: 2015 adjusted limit included 100t transferred from Brazil amd 100t transferred from South Africa.
. </t>
  </si>
  <si>
    <t>JAPAN-S-ALB: 2016 adjusted limit included 25% of the original limit as carry-over from 2014 underage[Rec.13-06]</t>
  </si>
  <si>
    <t>JAPAN-S-ALB: 2017 adjusted limit included 100t transferred from Brazil amd 100t transferred from Uruguay.[Rec.16-07]</t>
  </si>
  <si>
    <t>JAPAN-S-ALB: 2018 adjusted limit included 100t transferred from Brazil amd 100t transferred from Uruguay.[Rec.16-07]</t>
  </si>
  <si>
    <t>JAPAN-N-SWO: adjusted limit in 2011 excluded 50 t transfered to Morocco. [Rec. 10-02].</t>
  </si>
  <si>
    <t>JAPAN-N-SWO: adjusted limit in 2012 and 2013 excluded 50 t transfered to Morocco, and 35 transferred to Canada. [Rec. 11-02].</t>
  </si>
  <si>
    <t>JAPAN-N-SWO: adjusted limit in 2014, 2015 and 2016 excluded 50 t transfered to Morocco, and 35 transferred to Canada, and 25 transferred to Mauritania. [Rec. 13-02].</t>
  </si>
  <si>
    <t>JAPAN-N-SWO: adjusted limit in 2017 excluded 100 t transfered to Morocco, and 35 transferred to Canada, and 25 transferred to Mauritania. [Rec. 16-03].</t>
  </si>
  <si>
    <t>JAPAN-N-SWO: underage may be added to the subsequent years' catch limits. [Rec. 13-02][Rec. 16-03].</t>
  </si>
  <si>
    <t>JAPAN-N-SWO:400 t of its swordfish catch taken from the South Atlantic management area was counted against its uncaught catch limits in 2015.[Rec.13-02]</t>
  </si>
  <si>
    <t>JAPAN-E-BFT: adjusted quota in 2015 included 45t transferred from Korea.[Rec.14-04]</t>
  </si>
  <si>
    <t>JAPAN-E-BFT: adjusted quota in 2016 excluded 25 t transfered to Korea.[Rec.14-04]</t>
  </si>
  <si>
    <t>JAPAN-E-BFT: adjusted quota in 2017 excluded 20 t transfered to Korea.[Rec.14-04]</t>
  </si>
  <si>
    <t>JAPAN-E-BFT: Current catch for 2017 includes 5.3 t of dead discard as reported in Task I data.</t>
  </si>
  <si>
    <t xml:space="preserve">JAPAN-BIGEYE: adjusted limit of Japan in 2011excludes 3000 t transferred to China and 800 t transferred to Korea [Rec. 10-01].  </t>
  </si>
  <si>
    <t xml:space="preserve">JAPAN-BIGEYE: adjusted limit of Japan in 2012,2013, and 2014 excluded 3000 t transferred to China and 70 t transferred to Ghana [Rec. 11-01].  </t>
  </si>
  <si>
    <t>JAPAN-BUM: the 2015 adjusted limit included 10% of the initial limit as carry-over from 2013 underage[Rec.12-04]</t>
  </si>
  <si>
    <t>JAPAN-BUM: the 2016 adjusted limit included 10% of the initial limit as carry-over from 2014 underage[Rec.15-05].</t>
  </si>
  <si>
    <t xml:space="preserve">Figures up to 2012 are for only White Marlin[Rec.6-9 &amp; 11-07] </t>
  </si>
  <si>
    <t>Figures from 2013 are for both White Marlin and Spearfish[Rec.12-04]</t>
  </si>
  <si>
    <t>BARBADOS</t>
  </si>
  <si>
    <t xml:space="preserve">Stock: </t>
  </si>
  <si>
    <t xml:space="preserve">Flag: </t>
  </si>
  <si>
    <t>SOUTH AFRICA</t>
  </si>
  <si>
    <t>*Belize is carrying forward its underages of 1.56t of its unused catch limit in 2017 to be used in 2019</t>
  </si>
  <si>
    <t xml:space="preserve">*Belize is carrying forward 25% of its initial catch limit (62.5t) from its balance of 93.47t in 2017 to be used in 2019 </t>
  </si>
  <si>
    <t>*Belize is carrying forward 40% of its initial catch limit (65t) from its balance of 197.92t in 2017 to be used in 2019.</t>
  </si>
  <si>
    <t>*Belize is carrying forward 20% of its initial catch limit (25t) from its balance of 108.99t in 2017 to be used in 2019.</t>
  </si>
  <si>
    <t>JAPAN-W-BFT:The underharvest may be added to next year to 10% of the initial quota allocation[Rec.13-09、14-05、17-06]</t>
  </si>
  <si>
    <t>Japan's 2019 adjusted limit = 17,696(Limit)+2,654.4(2018 carry over(17696*15%)(Para8 of Rec16-01)-1000(transfer to China(Para7 of Rec.16-01))-70(transfer to Ghana(Para7 of Rec.16-01))</t>
  </si>
  <si>
    <t>JAPAN-WHM・SPF: the 2015 adjusted limit included 20% of the initial limit as carry-over from 2013 underage[Rec.12-04]</t>
  </si>
  <si>
    <t>JAPAN-WHM・SPF: the 2016 adjusted limit included 20% of the initial limit as carry-over from 2014 underage[Rec.12-04][Rec.15-05]</t>
  </si>
  <si>
    <t>JAPAN-WHM・SPF: the 2017 adjusted limit included 20% of the initial limit as carry-over from 2015 underage[Rec.12-04][Rec.15-05]</t>
  </si>
  <si>
    <t>(1486*0.15)+1486-223</t>
  </si>
  <si>
    <t>(1486*0.15)+1486 - 223</t>
  </si>
  <si>
    <t>SENEGAL</t>
  </si>
  <si>
    <t xml:space="preserve">Déficit de collecte au niveau des sites de débarquement de la pêche artisanale. </t>
  </si>
  <si>
    <t>le calcul du quota ajusté 2019 prend en compte le solde  MAX de 2018 (Limite 2018 * 0.2 = 417*0.2=83.4) auquel est ajouté la limite 2019 (417 t) ce qui donne (83.4+417=500.4) t</t>
  </si>
  <si>
    <t>Japan's 2018 adjusted limit = BET 2018 catch * 4%(Para6 of Rec16-06)</t>
    <phoneticPr fontId="9"/>
  </si>
  <si>
    <t>JAPAN-S-ALB: adjusted limit from 2019 to 2020 included 100t transferred from Brazil amd 100t transferred from South Africa [Rec.16-07].</t>
    <phoneticPr fontId="5" type="noConversion"/>
  </si>
  <si>
    <t>JAPAN-S-ALB: Japan's underage in 2016 was carried over to the 2018 initial limit [Rec.16-07]</t>
    <phoneticPr fontId="9"/>
  </si>
  <si>
    <t>JAPAN-S-ALB: Japan's overage in 2017 was deducted from the 2019 initial limit [Rec.16-07]</t>
    <phoneticPr fontId="9"/>
  </si>
  <si>
    <t>JAPAN-S-ALB: Japan's underage in 2018 was carried over to the 2020 initial limit [Rec.16-07]</t>
    <phoneticPr fontId="9"/>
  </si>
  <si>
    <t>Japan's 2019 adjusted limit = 1355t(Limit)-418.7t(2017 overage(Para5 of Rec16-07))+100t(transfer from Brasil (Para3 of Rec.16-07))+100t(transfer from S.Africa(Para3 of Rec.16-07))+800t(transfer from S.Africa(circular#888/2019))</t>
    <phoneticPr fontId="9"/>
  </si>
  <si>
    <t>JAPAN-N-SWO: As Mauritania did not submit its North Atlantic Swordfish development plan in 2018, the transfers provided for in Rec.17-02 are considered null.</t>
    <phoneticPr fontId="5" type="noConversion"/>
  </si>
  <si>
    <t>JAPAN-N-SWO: adjusted limit from 2019 to 2020 excluded 100t transfered to Morocco, and 35t transferred to Canada , and 25t transferred to Mauritania [Rec. 17-02].</t>
    <phoneticPr fontId="5" type="noConversion"/>
  </si>
  <si>
    <t>Japan's 2019 adjusted limit = 901t(Limit)+340.2t(2017 carry over(Para1(3) of Rec17-03)-50t(transfer to Namibia(Para5 of Rec.17-03))</t>
    <phoneticPr fontId="9"/>
  </si>
  <si>
    <t>Japan's 2020 adjusted limit  = 901t(Limit)+600t(2018 carry over(Para1(3) of Rec17-03))-50t(transfer to Namibia(Para5 of Rec.17-03))</t>
    <phoneticPr fontId="9"/>
  </si>
  <si>
    <t>JAPAN-E-BFT: current catch for 2018 includes 7.42 t of dead discard.</t>
    <phoneticPr fontId="5" type="noConversion"/>
  </si>
  <si>
    <t>Japan's 2019 adjusted limit = 2544.00t(Limit)(Para5 of Rec18-02)</t>
    <phoneticPr fontId="9"/>
  </si>
  <si>
    <t>JAPAN-W-BFT: current catch for 2018 includes 1.10 t of dead discard.</t>
    <phoneticPr fontId="5" type="noConversion"/>
  </si>
  <si>
    <t>Japan's 2018 adjusted limit =15415.88(It was deducted by the "pay back" provision  in para 2(a) of Rec 16-01.)</t>
    <phoneticPr fontId="9"/>
  </si>
  <si>
    <t>JAPAN-BIGEYE: current catch for 2018 includes 26.09 t of dead discard.</t>
    <phoneticPr fontId="5" type="noConversion"/>
  </si>
  <si>
    <t>JAPAN-BIGEYE: the 2015 adjusted limit included 30% of the initial limit as carry-over from 2014 underage and excluded 3000 t  transferred to China and 70 t transferred to Ghana [Rec. 14-01].</t>
  </si>
  <si>
    <t>JAPAN-BIGEYE: the 2016 adjusted limit included 30% of the initial limit as carry-over from 2015 underage and excluded 1000 t transferred to China and 70 t transferred to Ghana. [Rec. 14-01][Rec.15-01]</t>
  </si>
  <si>
    <t>JAPAN-BIGEYE: the 2017 adjusted limit included 15% of the initial limit as carry-over from 2016 underage and excluded 1000 t  transferred to China and 70 t transferred to Ghana [Rec. 16-01]</t>
  </si>
  <si>
    <t>JAPAN-BIGEYE: the 2018 adjusted limit included 15% of the initial limit as carry-over from 2017 underage and excluded 1000 t  transferred to China and 70 t transferred to Ghana [Rec. 16-01]</t>
  </si>
  <si>
    <t>JAPAN-BUM: the 2017 adjusted limit included 10% of the initial limit as carry-over from 2015 underage[Rec.15-05].</t>
    <phoneticPr fontId="9"/>
  </si>
  <si>
    <t>Japan's 2018 adjusted limit = 390t(Limt)+16.6t(2016 carry over(Para3 of Rec15-05))</t>
    <phoneticPr fontId="9"/>
  </si>
  <si>
    <t>Japan's 2018 adjusted limit =35t(Limt)+7t(2016 carry over(35*20%)(Para3 of Rec15-05))</t>
    <phoneticPr fontId="9"/>
  </si>
  <si>
    <t>2017*</t>
  </si>
  <si>
    <t>2018**</t>
  </si>
  <si>
    <t>2019**</t>
  </si>
  <si>
    <t>50+(50*0.4)</t>
  </si>
  <si>
    <t>CÔTE D'IVOIRE</t>
  </si>
  <si>
    <t>200+(200*0.5)</t>
  </si>
  <si>
    <t>200+(200*0.4)</t>
  </si>
  <si>
    <t>GHANA</t>
  </si>
  <si>
    <t>*transfer of 200t from Chinese Taipei to Belize in 2019 and 2020.</t>
  </si>
  <si>
    <t>Les prises accessoires n'ont pas encore été arretées ,</t>
  </si>
  <si>
    <t>*Belize is carrying forward its underages of 1.98t of its unused catch limit in 2018 to be used in 2020.</t>
  </si>
  <si>
    <t>*transfer of 75t from Trinidad &amp; Tobago to Belize in 2019 and 2020.</t>
  </si>
  <si>
    <t>*Belize is carrying forward 40% of its initial catch limit (52t) from its balance of 111.68t in 2018 to be used in 2020.</t>
  </si>
  <si>
    <t>*Belize is carrying forward 20% of its initial catch limit (25t) from its balance of 172.28t in 2018 to be used in 2020.</t>
  </si>
  <si>
    <t>*transfer of 25t from the United States of America to Belize in 2019 and 2020.</t>
  </si>
  <si>
    <t>*transfer of 50t from Brazil to Belize in 2019 and 2020.</t>
  </si>
  <si>
    <t>*transfer of 50t from Uruguay to Belize in 2019 and 2020.</t>
  </si>
  <si>
    <t>EL SALVADOR</t>
  </si>
  <si>
    <t>2019: The 2018 underage is greater than the maximum amount that can be carried over to 2019 (&lt;= 40% of original catch limit); hence the amount carried over is 50 t (0.4*125).
Additionally, 75 t were transferred to Belize; hence 75 is subtracted from the sum of the initial catch limit and the allowed carry over, to arrive at the final adjusted limit of 100 t.</t>
  </si>
  <si>
    <t>NORWAY</t>
  </si>
  <si>
    <t>MIN((A-B), 5% * A)</t>
  </si>
  <si>
    <t>Limit 2021 + 25%  2019 limit</t>
  </si>
  <si>
    <t xml:space="preserve">Limit 2021 +  2019 balance </t>
  </si>
  <si>
    <t>Limit 2020 + 2018 balance + 300¹ t</t>
  </si>
  <si>
    <t>Limit 2021 + 2019 balance</t>
  </si>
  <si>
    <t>2020 Limit + 0.1*2018 limit - 2t</t>
  </si>
  <si>
    <t>2021 Limit + 0.1*2019 limit -2t</t>
  </si>
  <si>
    <t>2021 limit + 0.10*limit 2019</t>
  </si>
  <si>
    <t>JAPAN-N-ALB:Japan's 2019 adjusted limit = BET 2019 catch * 4% (Para6 of Rec16-06)</t>
  </si>
  <si>
    <t>JAPAN-S-ALB: Japan's underage in 2019 was carried over to the 2021 initial limit [Rec.16-07]</t>
  </si>
  <si>
    <t>JAPAN-E-BFT: current catch for 2019 includes  9.25t of dead discard.</t>
  </si>
  <si>
    <t>JAPAN-E-BFT:Japan's 2020 adjusted limit = 2819.00t(Limit)(Para5 of Rec19-04)+20.27t(2019 carry over (Para7 of Rec 19-04))</t>
  </si>
  <si>
    <t>JAPAN-W-BFT:Japan's 2019 adjusted limit = 407.48t(Limit)+1.73t(2018 carry over(Para7a of Rec17-06 )</t>
  </si>
  <si>
    <t>JAPAN-W-BFT: current catch for 2019 includes 0.21 t of dead discard.</t>
  </si>
  <si>
    <t>JAPAN-W-BFT:Japan's 2020 adjusted limit = 407.48t(Limit)+2.92t(2019 carry over(Para7a of Rec17-06 )</t>
  </si>
  <si>
    <t>JAPAN-BIGEYE: current catch for 2019 includes  14.10t of dead discard.</t>
  </si>
  <si>
    <t>JAPAN-BIGEYE: Adjusted catch limit for 2017 does not take into account of the “pay back” stipulated in para 2(a) of Rec 16-01.</t>
  </si>
  <si>
    <t>JAPAN-BUM:Japan's 2019 adjusted limit = 390t(Limit)+39t(2017 carry over(390*10%)(Para3 of Rec15-05))</t>
  </si>
  <si>
    <t>JAPAN-BUM:Japan's 2020 adjusted limit = 328.1t(Limit)+39t(2018 carry over(390*10%)(Para3 of Rec18-04))</t>
  </si>
  <si>
    <t>JAPAN-BUM:Japan's 2021 adjusted limit = 328.1t(Limit)+39t(2019 carry over(390*10%)(Para3 of Rec18-04))</t>
  </si>
  <si>
    <t>JAPAN-WHM・SPF:Japan's 2019 adjusted limit =35t(Limit)+7t(2017 carry over(35*20%)(Para3 of Rec15-05))</t>
  </si>
  <si>
    <t>JAPAN-WHM・SPF:Japan's 2020 adjusted limit =35t(Limit)+7t(2018 carry over(35*20%)(Para3 of Rec18-04))</t>
  </si>
  <si>
    <t>JAPAN-WHM・SPF:Japan's 2021 adjusted limit =35t(Limit)+7t(2019 carry over(35*20%)(Para3 of Rec18-04))</t>
  </si>
  <si>
    <t>8.36+140</t>
  </si>
  <si>
    <t>2020**</t>
  </si>
  <si>
    <t>50+(50*0.2)</t>
  </si>
  <si>
    <t>Until 2016, underage up to 30% of the initial catch quota was carried over to the following year.</t>
  </si>
  <si>
    <t>Since 2017, underage up to 15% of the initial catch quota was carried over to the following year.</t>
  </si>
  <si>
    <t>113.66+25+25</t>
  </si>
  <si>
    <t>136.46+25+20</t>
  </si>
  <si>
    <t>160+50</t>
  </si>
  <si>
    <t>184+50</t>
  </si>
  <si>
    <t>200+50+1.57</t>
  </si>
  <si>
    <t>In 2016, Egypt and Japan transferred 25t of their quota to Korea respectively.</t>
  </si>
  <si>
    <t>In 2017, Egypt and Japan transferred 25t and 20t of their quota to Korea respectively.</t>
  </si>
  <si>
    <t>Since 2018, Chinese Taipei transferred 50t of its quota to Korea every year.</t>
  </si>
  <si>
    <t xml:space="preserve">Korea carried forward its unused quota of 2019(1.57t) to 2020. </t>
  </si>
  <si>
    <t>(35*0.2)+29.4</t>
  </si>
  <si>
    <t>45+(0.4 x 45)=18t</t>
  </si>
  <si>
    <t>Adjusted limit for 2020 = 632.4 +158.1 = 790.5</t>
  </si>
  <si>
    <t>Adjusted limit for 2020 = 3907.0 + (0.15)(3907) = 4493.05 t</t>
  </si>
  <si>
    <t>Adjusted limit for 2020 = 100.0 - (100 t (Namibia (50 t), Cote d'Ivoire (25 t), Belize (25 t)) + 99.94</t>
  </si>
  <si>
    <t>Adjusted limit for 2020 = 1272.86 + (.1)(1272.86) = 1400.15 t</t>
  </si>
  <si>
    <t>2019= (70)+(3)</t>
  </si>
  <si>
    <t>2015=(25)+(-5)+(5)</t>
  </si>
  <si>
    <t>2016=(25)+(-1)</t>
  </si>
  <si>
    <t>2017=No se aplican modificaciones</t>
  </si>
  <si>
    <t>2018=(25)+(4)</t>
  </si>
  <si>
    <t>2019= (25) + (5), 20% Cuota (25t)</t>
  </si>
  <si>
    <t>2015=(70)+(-15)</t>
  </si>
  <si>
    <t>2016=(70)+(-17)+(3)</t>
  </si>
  <si>
    <t>2017=(70)+(-9)</t>
  </si>
  <si>
    <t>2018=(70)+(1)</t>
  </si>
  <si>
    <t>le calcul du quota ajusté 2020 prend en compte le solde  MAX de 2019 (Limite 2019 * 0.2 = 417*0.2=83.4) auquel est ajouté la limite 2020 417 t) ce qui donne (83.4+417=500.4) t</t>
  </si>
  <si>
    <t>200+(0.25*200)</t>
  </si>
  <si>
    <t>2160+(0.25*2160)</t>
  </si>
  <si>
    <t>2160+(0.25*2160)-100</t>
  </si>
  <si>
    <t>2017-2019: 100t transferred to Japan</t>
  </si>
  <si>
    <t>50+(0.5*50)</t>
  </si>
  <si>
    <t>50+(0.5*50)-25</t>
  </si>
  <si>
    <t>50+(0.4*50)-25</t>
  </si>
  <si>
    <t xml:space="preserve">These limits do not apply to Brazil, since Paragraph 9, of Reccomendation 19-05 establishes that: "For CPCs that prohibit dead discards, the landings of blue marlin and white marlin/spearfish that are dead when brought alongside the vessel and that are not sold or entered into commerce shall not count against the limits established in paragraph 2, on the condition that such prohibition be clearly explained in their Annual Report". Brazil prohibited dead discards and selling of white marlins by Normative Instruction 12, of July 14, 2005. </t>
  </si>
  <si>
    <t>3940+(0.3*3940)-50</t>
  </si>
  <si>
    <t>3940+(0.2*3940)-50</t>
  </si>
  <si>
    <t>* Adjusted limit 2019 = initial limit 2019 (4400) + available balance 2017 (not to exceed 25% of initial quota) (1100) - 900t transferred to Japan</t>
  </si>
  <si>
    <t>* Adjusted limit 2020 = initial limit 2020 (4400) + available balance 2018(not to exceed 25% of initial quota) (1100) - 600t transferred to Japan</t>
  </si>
  <si>
    <t>*Adjusted Limit=initial limt +available balance(not to exceed 25% of initial quota)</t>
  </si>
  <si>
    <t>50 + Balance 2018</t>
  </si>
  <si>
    <t>USA: the 2016-2020 adjusted quota reflects transfers to Namibia (50 t), Belize (25 t) and Côte d'Ivoire (25 t) in accordance with Rec. 16-04/17-03.</t>
  </si>
  <si>
    <t>*Underage up to 30% of the initial catch quota has been carried over biennially Rec.15-03 and 16-04. Quota calculated up to 2017</t>
  </si>
  <si>
    <t>**Underage up to 20% of the initial catch quota has been carried over biennially Rec.17-03. Quota calculated from 2018 on</t>
  </si>
  <si>
    <t>125+(125*0.3)</t>
  </si>
  <si>
    <t>125+(125*0.3)+25</t>
  </si>
  <si>
    <t>125+(125*0.2)+25</t>
  </si>
  <si>
    <t>CHINA: In accordance with paragraph 4b of Rec. 16-07, the 25 percent carryover request made by China at the 2017 regular meeting of the Commission has been completed using their underage from 2016 of 30.63 t and 19.37 t of the total underage of the TAC from 2016.</t>
  </si>
  <si>
    <t>Adjusted limit for 2020=initial quota(200)+200*25%(not exceeding the balance of 2018)=250</t>
  </si>
  <si>
    <t>Adjusted limit for 2019=initial quota(100)-12.726(payback quota)+available balance of 2017 (6.69t)=93.964</t>
  </si>
  <si>
    <t>Adjusted limit for 2019=initial quota(313)+313*20%(carryover 2017)=326.76</t>
  </si>
  <si>
    <t>Adjusted limit for 2020=initial quota(313)+313*20%(carryover 2018)= 313+37.05</t>
  </si>
  <si>
    <t>Adjusted limit for 2019=initial limit (45) + available balance of 2017 (not exceeding 20% of 45)=50.27</t>
  </si>
  <si>
    <t>Adjusted limit for 2020=initial limit (37.90) + available balance of 2018 (not exceeding 20% of 37.90)= 41.34t</t>
  </si>
  <si>
    <t>Adjusted limit for 2020=initial quota(10)+10*20%=12</t>
  </si>
  <si>
    <t>Regarding Rec.17-04 amends para.4 of Rec.16-06, Chinese Taipei is allocated 3926 t as its 2020 initial catch quota.</t>
  </si>
  <si>
    <t>2020 adjusted quota is 11550.00 t (=9400*(1+0.25)-200) due to the inclusion of 2018 underage and 2020 initial catch quota and the deduction of transfer of 200t to Japan</t>
  </si>
  <si>
    <t>=9400+2350-200</t>
  </si>
  <si>
    <t>JAPAN-S-ALB: 2020 adjusted limit = 1,355 t(Limit)+239.25 t(2018 carry over (para 4b of Rec. 16-07))+99.5t(complement from underage from the total TAC(Para4b of Rec.16-07)))+100 t(transfer from Brasil (para 3 of Rec. 16-07))+100 t(transfer from S.Africa(para 3 of Rec. 16-07))+500t(transfer from S.Africa (circular#1304/2020))+200t(transfer from Chinese Taipei  (circular#4313/2020))+100t(transfer from Brazil (circular#4498/2020))</t>
  </si>
  <si>
    <t>2019 adjusted quota is 343 t (=270+270*40%-35) due to the underage of 2017 exceeding 40% of 2019 initial catch quota and a transfer of 35 t to Canada.</t>
  </si>
  <si>
    <t>Pursuant to Rec.17-02, Chinese Taipei may carryover to the maximum of 40% of its 2018 underage in 2020.</t>
  </si>
  <si>
    <t>2020 adjusted quota is 323 t (=270+270*40%-35-20) due to the inclusion of 2018 underage and 2020 initial catch quota and the deduction of respective transfers of 35 t to Canada and 20 t to Morocco.</t>
  </si>
  <si>
    <t>=270*(1+40%)-35-20</t>
  </si>
  <si>
    <t>=459*(1+20%)</t>
  </si>
  <si>
    <t>According to Rec.17-03, Chinese Taipei may carryover to the maximum of 20% of its 2019 underage in 2020.</t>
  </si>
  <si>
    <t>2020 adjusted quota is 550.8 t (=459*(1+20%)) due to the inclusion of 2019 underage and 2020 initial catch quota.</t>
  </si>
  <si>
    <t>=90-50</t>
  </si>
  <si>
    <t>2020 adjusted quota is 40 t (=90-50) due to a transfer of 50 t to Korea.</t>
  </si>
  <si>
    <t>2020 adjusted quota is 11201.26 t = 9226.41 (initial quota) + 11679*15% (carry over of 15% of 2018 initial quota pursuant to Rec.16-01) +223 (transfer from Korea)</t>
  </si>
  <si>
    <t>=126.20+150(10%)</t>
  </si>
  <si>
    <t xml:space="preserve">2020 adjusted quota is 141.2 t = 126.2 (initial landing limit in 2020) + 150*10% (2018 carry over pursuant to Rec. 18-04) </t>
  </si>
  <si>
    <t>2020 adjusted quota is 55 t = 50 (initial landing limit in 2020) + 50*10% (2018 carry over pursuant to Rec. 18-04.)</t>
  </si>
  <si>
    <t>FRANCE SPM</t>
  </si>
  <si>
    <t xml:space="preserve">Pas de navire </t>
  </si>
  <si>
    <t>1 : limite 2015 + 50% quota original + 40 tonnes transférées de l'Union Européenne (REC 13-02)</t>
  </si>
  <si>
    <t>2 : limite 2016 + 50% quota original + 40 tonnes transférées de l'Union Européenne (REC 13-02)</t>
  </si>
  <si>
    <t>3 : limite 2017 + 50% limite de capture initiale + 40 tonnes transférées de l'Union Européenne     (REC 13-02 et REC 16-03) + 12,75 tonnes transférées du Vénézuela (accord sur la base de l'article 6     "transferts" de la recommandation 2016 ICCAT sur la préservation de l'espadon de   l'Atlantique Nord : en vertu du paragraphe 2, le Vénézuela peut transférer à la France SPM     15% de son allocation soit 85tx15%=12,75t)=40+(40*0.5)+40+12.75=112.75</t>
  </si>
  <si>
    <t>1 : limite 2015 + 100% quota de capture initial (REC 12-02)</t>
  </si>
  <si>
    <t>2 : limite 2016 + 100% quota de capture initial (REC 14-05)</t>
  </si>
  <si>
    <t>3 : limite 2017 + Solde 2016</t>
  </si>
  <si>
    <t>4 : limite 2018 + solde 2017</t>
  </si>
  <si>
    <t>*Belize is carrying forward 25% of its initial catch limit 2018 (25% 200t = 50t) from its balance of 64.86t in 2018 to be used in 2020.</t>
  </si>
  <si>
    <t>215+(0.25*200)</t>
  </si>
  <si>
    <t>Adjusted limited for 2019=215(initial quota)+200*25%(carryover 2017)=265</t>
  </si>
  <si>
    <t>Adjusted limited for 2020=215(initial quota)+200*25%(carryover 2018)=265</t>
  </si>
  <si>
    <t>RUSSIA</t>
  </si>
  <si>
    <t xml:space="preserve">JAPAN-BIGEYE:Japan's 2020 adjusted limit is 13,079.84t (after transferring 600t to China and 300t to EU). </t>
  </si>
  <si>
    <t>=459+100.9</t>
  </si>
  <si>
    <t>=459+87.80</t>
  </si>
  <si>
    <t>2019 adjusted quota is 546.8 t (=459+87.80) due to the inclusion of 2018 underage.</t>
  </si>
  <si>
    <t>SAINT VINCENT AND THE GRENADINES</t>
  </si>
  <si>
    <t>=200-1.51+100</t>
  </si>
  <si>
    <t>=200+100</t>
  </si>
  <si>
    <t>=200*(1+25% (máx 6.89 from 2016))+100</t>
  </si>
  <si>
    <t>* Adjusted limit = initial limit + available balance (not to exceed 25% of initial quota of the year where the adjustment comes)</t>
  </si>
  <si>
    <t>Japan's 2015 adjusted limit = 842t(Limit)+842*15%-50t(transfer to Morocco(Para2 of Rec.17-02))-35t(transfer to Canada(Para2 of Rec.17-02))-25t(transfer to Mauritania(Para2 of Rec.17-02))</t>
  </si>
  <si>
    <t>Japan's 2016 adjusted limit = 842t(Limit)+406.20 (CO 2015) - 50t(transfer to Morocco(Para2 of Rec.17-02))-35t(transfer to Canada(Para2 of Rec.17-02))-25t(transfer to Mauritania(Para2 of Rec.17-02))</t>
  </si>
  <si>
    <t>Japan's 2017 adjusted limit = 842t(Limit)+740.50 (CO 2016) - 100t(transfer to Morocco(Para2 of Rec.17-02))-35t(transfer to Canada(Para2 of Rec.17-02))-25t(transfer to Mauritania(Para2 of Rec.17-02))</t>
  </si>
  <si>
    <t>Japan's 2018 adjusted limit = 842t(Limit)+842*15%-100t(transfer to Morocco(Para2 of Rec.17-02))-35t(transfer to Canada(Para2 of Rec.17-02))</t>
  </si>
  <si>
    <t>Japan's 2019 adjusted limit = 842t(Limit)+544t(2018 carry over(Para4 of Rec17-02))-100t(transfer to Morocco( Para2 of Rec.17-02))-35t(transfer to Canada(Para2 of Rec.17-02))-25t(transfer to Mauritania(Para2 of Rec.17-02))</t>
  </si>
  <si>
    <t>Japan´s 2020 adjusted limit = 842 t(Limit)+831.01t(2019 carry over(para 4 of Rec. 17-02))-150 t(transfer to Morocco(para 1-a) of Rec. 19-03))-35 t(transfer to Canada(para 2 of Rec. 17-02))-25 t(transfer to Mauritania(para 2 of Rec. 17-02)).</t>
  </si>
  <si>
    <t>2019 = Initial allocation + transfers (from Senegal 125t, Japan 35t, Chinese Taipe 35t, and the EU 300t) + underage from 2017 (202.2t - max. carry forward)</t>
  </si>
  <si>
    <t>=3926+(3271.70*0.25)-200</t>
  </si>
  <si>
    <t>=(3926*1.25)-200</t>
  </si>
  <si>
    <t>2019 adjusted quota is 4443.93 t (=3926+(3271.70*0.25)-200)  due to the inclusion of 2017 underage and 2019 initial catch quota and the transfer of 200 t to Belize.</t>
  </si>
  <si>
    <t>2020 adjusted quota is 4607.5 t (=3926*(1+0.25)-100-200)  due to the inclusion of 2018 underage and 2020 initial catch quota and the deduction of the transfer of 200 t to Belize.</t>
  </si>
  <si>
    <t>=215+25% Quota 2017 (máx 3.80)</t>
  </si>
  <si>
    <t>=215+(MAX. 25% from 2018 quota= 50t)</t>
  </si>
  <si>
    <t>Chinese Taipei has transferred 100t to VCT from 2015 to 2018</t>
  </si>
  <si>
    <t>LIBERIA</t>
  </si>
  <si>
    <t>[1]</t>
  </si>
  <si>
    <t>[2]</t>
  </si>
  <si>
    <t>[3]</t>
  </si>
  <si>
    <t>[4]</t>
  </si>
  <si>
    <t>[1] = 2017 limit + 2016 Balance</t>
  </si>
  <si>
    <t>[2] = 2018 limit + 2017 Balance</t>
  </si>
  <si>
    <t>[3] = 2019 limit + 2018 Balance</t>
  </si>
  <si>
    <t>JAPAN-S-ALB: 2021 adjusted limit = 1,355 t(Limit)+338.75t(2019 carry over(1355*25%) (para 4a of Rec. 16-07))</t>
  </si>
  <si>
    <t>2020=58.9 + (Saldo Máx. 2019 = 10% Q2019) = 58.9 + 7</t>
  </si>
  <si>
    <t>2020= (25) + (5), 20% Cuota (25t)</t>
  </si>
  <si>
    <t>2021= (25) + (5), 20% Cuota (25t)</t>
  </si>
  <si>
    <t>200+(200*0.25)</t>
  </si>
  <si>
    <t>215+(200*0.25)</t>
  </si>
  <si>
    <t>*Belize is carrying forward 25% of its initial catch limit 2019 (25% 215t = 53.75t) from its balance of 200.47t in 2019 to be used in 2021. Receiving a transfer of ALB-N from Chinese Taipei: 200t</t>
  </si>
  <si>
    <t>*Belize is carrying forward 25% of its initial catch limit (62.5t) from its balance of 154.36t in 2019 to be used in 2021</t>
  </si>
  <si>
    <t>*Belize intends to use 52t of its underages from 2019 in 2021 (Rec. 17-02, par. 3); receiving a transfer of N-SWO from Trinidad &amp; Tobago: 75t (Rec. 17-02, par.2b).</t>
  </si>
  <si>
    <t>*Belize intends to use 25 t of its underages from 2019 in 2021 (Rec. 17-03, para 2); receiving a transfer of SWO-S from the United States: 25 t, Brazil: 50 t and Uruguay: 50 t (Rec. 17-03, para 5).</t>
  </si>
  <si>
    <t>JAPAN-SWO-S: adjusted limit in 2011, 2012,2013,2014,2015,2016,2017,2018, 2019, 2020 and 2021 excluded 50 t transfered to Namibia. [Rec.09-03][Rec.12-01][Rec.13-03][Rec.15-03][Rec.16-04][Rec.17-03]</t>
  </si>
  <si>
    <t>JAPAN-SWO-S: underage of 2010 may be carried over to 2012 up to 800t. [Rec. 09-03]</t>
  </si>
  <si>
    <t>JAPAN-SWO-S: overage of 2011 shall be deducted from 2013. [Rec. 09-03]</t>
  </si>
  <si>
    <t>JAPAN-SWO-S:Japan's underage in 2012 was carried over to the 2014 initial limit [Rec. 12-01]</t>
  </si>
  <si>
    <t>JAPAN-SWO-S: overage of 2013 shall be deducted from 2015. [Rec. 12-01]</t>
  </si>
  <si>
    <t>JAPAN-SWO-S:Japan's underage in 2014 was carried over to the 2016 initial limit [Rec. 13-03][Rec15-03]</t>
  </si>
  <si>
    <t>JAPAN-SWO-S:Japan's underage in 2015 was carried over to the 2017 initial limit [Rec.16-04]</t>
  </si>
  <si>
    <t>JAPAN-SWO-S:Japan's underage in 2016 was carried over to the 2018 initial limit [Rec.17-03]</t>
  </si>
  <si>
    <t>JAPAN-SWO-S: 400 t of its swordfish catch taken from the part of the South Atlantic management area was counted against its N-SWO uncaught quota in 2015.[Rec.13-02]</t>
  </si>
  <si>
    <t>JAPAN-SWO-S:Japan's 2021 adjusted limit  = 901t(Limit)+529.16t(2019 carry over(Para1(3) of Rec17-03))-50t(transfer to Namibia(Para5 of Rec.17-03))</t>
  </si>
  <si>
    <t>215+(0.25*215)</t>
  </si>
  <si>
    <t>2020: 100 t (transfer to JPN according to Rec.16-07 Para 3) and  100t (transfer to JPN according to circular#4498/2020, Rec.16-07 Para 6)</t>
  </si>
  <si>
    <t>2160+(0.25*2160)-200</t>
  </si>
  <si>
    <t>* As the balance is negative, Adjusted limit (A) = Year Limit + Balance from the previous limit</t>
  </si>
  <si>
    <t>242+(215*0.25)</t>
  </si>
  <si>
    <t>Adjusted limited for 2021=242(initial quota)+215*25%(carryover 2019)=295.75</t>
  </si>
  <si>
    <t>Adjusted limit for 2021=initial quota(200)+200*25%(not exceeding the balance of 2019)=250</t>
  </si>
  <si>
    <t>Adjusted Limit=initial limt +available balance(not to exceed 50% of initial quota)</t>
  </si>
  <si>
    <t>Adjusted limit for 2020=initial quota(100)+available balance of 2018 (3.95t)=103.95</t>
  </si>
  <si>
    <t>Adjusted limit for 2021=initial quota(100)+available balance of 2019 (2.40t)=102.40</t>
  </si>
  <si>
    <t>Adjusted limit for 2021=initial quota(313)+313*20%(carryover 2019)= 313+62.6</t>
  </si>
  <si>
    <t>Adjusted limite for 2020=initial quota(4462.08)+5376*15%+600 ton transfer from Japan=5868.48</t>
  </si>
  <si>
    <t>Adjusted limit for 2021=initial limit (37.90) + available balance of 2019 (not exceeding 20% of 37.90)= 41.77t</t>
  </si>
  <si>
    <t>Adjusted limit for 2021=initial quota(10)+10*20%=12</t>
  </si>
  <si>
    <t>Pursuant to Rec.20-04 and Rec.20-03, Chinese Taipei is allocated 4416.9 t as its 2021 initial catch quota.</t>
  </si>
  <si>
    <t>2021 adjusted quota is 5198.4 t (=4416.9+3926*0.25-200)  due to the inclusion of 2019 underage and 2021 initial catch quota and the deduction of the transfer of 200 t to Belize.</t>
  </si>
  <si>
    <t>=4416.90+(3926*0.25)-200</t>
  </si>
  <si>
    <t>2021 adjusted quota is 11524.00 t (=9400+2124) due to the inclusion of 2019 underage and 2021 initial catch quota</t>
  </si>
  <si>
    <t>=9400+2124</t>
  </si>
  <si>
    <t>Pursuant to Rec.17-02, Chinese Taipei may carryover to the maximum of 40% of its 2019 underage in 2021.</t>
  </si>
  <si>
    <t>2021 adjusted quota is 323 t (=270+270*40%-35-20) due to the inclusion of 2019 underage and 2021 initial catch quota and the deduction of respective transfers of 35 t to Canada and 20 t to Morocco.</t>
  </si>
  <si>
    <t>Pursuant to Rec.17-03, Chinese Taipei may carryover to the maximum of 20% of its 2020 underage in 2021.</t>
  </si>
  <si>
    <t>2021 adjusted quota is 550.8 t (=459*(1+20%)) due to the inclusion of 2020 underage.</t>
  </si>
  <si>
    <t>2021 adjusted quota is 40 t (=90-50) due to a transfer of 50 t to Korea.</t>
  </si>
  <si>
    <t>=9226.41+(11679*15%)+223</t>
  </si>
  <si>
    <t xml:space="preserve">2021 adjusted quota is 141.2 t = 126.2 (initial landing limit in 2021) + 150*10% (2019 carry over pursuant to Rec. 18-04) </t>
  </si>
  <si>
    <t>2021 adjusted quota is 55 t = 50 (initial landing limit in 2021) + 50*10% (2019 carry over pursuant to Rec. 18-04.)</t>
  </si>
  <si>
    <t>NAMIBIA</t>
  </si>
  <si>
    <t>Underage up to 20% of the initial catch quota has been carried over biennially Rec.17-03. Quota calculated from 2018 on</t>
  </si>
  <si>
    <t>*Underage up to 30% of the initial catch quota has been carried over biennially Rec.16-04. Quota calculated up to 2017</t>
  </si>
  <si>
    <t>=1168+30%1168+50+50+50</t>
  </si>
  <si>
    <t>From 2016 to 2021, Japan has transferred 50t to Namibia in accordance with Rec. 16-04/17-03.</t>
  </si>
  <si>
    <t>From 2016 to 2020, South Africa has transferred 50t to Namibia in accordance with Rec. 16-04/17-03.</t>
  </si>
  <si>
    <t>=1168+20%1168+50+50+50</t>
  </si>
  <si>
    <t>JAPAN-N-ALB:Japan's 2020 adjusted limit = BET 2020 catch * 4% (Para6 of Rec16-06)</t>
  </si>
  <si>
    <t>JAPAN-E-BFT: current catch for 2020 includes  8.16t of dead discard.</t>
  </si>
  <si>
    <t>JAPAN-E-BFT:Japan's 2021 adjusted limit = 2819.00t(Limit)(Para1 of Rec20-07)+57.64t(2020 carry over (Para2 of Rec 20-07))</t>
  </si>
  <si>
    <t>JAPAN-W-BFT: current catch for 2020 includes 0.23 t of dead discard.</t>
  </si>
  <si>
    <t>JAPAN-W-BFT:Japan's 2021 adjusted limit = 407.48t(Limit)+2.82t(2020 carry over(Para7a of Rec17-06 )</t>
  </si>
  <si>
    <t>JAPAN-BUM:Japan's 2022 adjusted limit = 328.1t(Limit)</t>
  </si>
  <si>
    <t>* Adjusted limit 2021 = initial limit 2021 (4400) + available balance 2019(not to exceed 25% of initial quota) (197.13)</t>
  </si>
  <si>
    <t>=1001+30%1001-50</t>
  </si>
  <si>
    <t>=1001+20%1001-50</t>
  </si>
  <si>
    <t xml:space="preserve">The underharvest of the EU in 2018 is of 1007,82 t, which is less than than the maximum allowed of  25% provided in Rec. 16-06. The EU is entitled to carry over 1007,82 t to 2020. </t>
  </si>
  <si>
    <t xml:space="preserve">The EU overharvested -540,04 t in 2019. According to provisions in para 7 of Rec. 16-06 and para 8 of Rec. 17-04, 540,04 t shall be deducted  from the EU quota in 2021. </t>
  </si>
  <si>
    <t>Limit 2021 +   2019 balance - 434,04 t to be transferred to UK</t>
  </si>
  <si>
    <t>Limit 2022 +   2020 balance - 1,52% of the EU limit 2022 to be transferred to UK</t>
  </si>
  <si>
    <t xml:space="preserve">The underharvest of the EU in 2020 is of 1288,72 t, which is less than than the maximum allowed of 25% provided in Rec. 16-06. The EU is entitled to carry over 1288,72 t to 2022. </t>
  </si>
  <si>
    <t>Additionally, the EU will transfer to United Kingdom 434,04t in 2021 and 1,52% of its initial catch limit in 2022.</t>
  </si>
  <si>
    <t xml:space="preserve"> The underharvest of the EU in 2019 was of 1755,77 t.  In line with Rec 16-07, the EU is entitled to carry over  367,5 t to 2021, corresponding to 25% of its initial quota for 2019.</t>
  </si>
  <si>
    <t>The underharvest of the EU in 2018 is of 1734,69 t..  In line with Rec 16-07, the EU is entitled to carry over  367,5 t to 2020, corresponding to 25% of its initial quota for 2018.</t>
  </si>
  <si>
    <t>The underharvest of the EU in 2020 was of 1777,03 t.  In line with Rec 16-07, the EU is entitled to carry over  367,5 t to 2022, corresponding to 25% of its initial quota for 2020.</t>
  </si>
  <si>
    <t>Limit 2022 + 25%  2020 limit</t>
  </si>
  <si>
    <t>The underharvest of the EU in 2018 is of 2419,28 t, which corresponds to more than 15% of its 2018 initial catch limit. In line with Rec. 17-02 the EU can carry over 1007.7 t to 2020.</t>
  </si>
  <si>
    <t>The underharvest of the EU in 2019 is of 1799,51 t, which corresponds to more than 15% of its 2019 initial catch limit. In line with Rec. 17-02 the EU can carry over 1007.7 t to 2021.</t>
  </si>
  <si>
    <t xml:space="preserve">The underharvest of the EU in 2020 is of 1425,44 t, which corresponds to more than 15% of its 2020 initial catch limit. In line with Rec. 17-02 the EU can carry over 1007.7 t to 2022. </t>
  </si>
  <si>
    <t>Additionally, the EU  will transfer to United Kingdom 0,67 t in 2021, and 0,01% of the EU initial catch limit in 2022.</t>
  </si>
  <si>
    <t xml:space="preserve">The adjusted limit for 2022 takes also into account the transfers to Canada (300 t from EU-Spain), and S. Pierre et Miquelon (40 t) as provided for in Rec 17-02. </t>
  </si>
  <si>
    <t>In 2018 the underharvest for the EU was of 187,20 t, which is less than the maximum allowed 20% provided in Rec 17-03. Therefore, the EU is entitled to carry over 187,20 t to 2020.</t>
  </si>
  <si>
    <t>In 2019 the underharvest for the EU was of 256,03 t, which is less than the maximum allowed 20% provided in Rec 17-03. Therefore, the EU is entitled to carry over  256,03 t to 2021.</t>
  </si>
  <si>
    <t xml:space="preserve">In 2020 the underharvest for the EU was of 261 t, which is less than the maximum allowed 20% provided in Rec 17-03. Therefore, the EU is entitled to carry over  261 t to 2022. </t>
  </si>
  <si>
    <t xml:space="preserve">Limit 2022 +  2020 balance </t>
  </si>
  <si>
    <t xml:space="preserve">In 2018 the underharvest for the EU was of 2121,35 t, which is less than the maximum allowed of 15% provided in Rec 16-01. Therefore, the EU is entitled to carry over 2121,35 t to 2020. </t>
  </si>
  <si>
    <t xml:space="preserve">In 2019 the underharvest for the EU was of 246,97 t, which is less than the maximum allowed of 10% provided in Rec 19-02. Therefore, the EU is entitled to carry over 246,97 t to 2021. </t>
  </si>
  <si>
    <t>2022 Limit - 2t</t>
  </si>
  <si>
    <t>In 2018, the underharvest (341,96 t) being over the maximum allowed of 10% provided in Rec. 18-04, the EU is entitled to carry over 48 t to 2020.</t>
  </si>
  <si>
    <t>In 2019, the underharvest (448,38 t) being over the maximum allowed of 10% provided in Rec. 18-04/19-05, the EU is entitled to carry over 48 t to 2021. The calculation takes into account the transfer of 2 t to Trinidad &amp; Tobago as provided by Rec. 19-05.</t>
  </si>
  <si>
    <t xml:space="preserve">In 2015 the quota was exceeded by 67.19 t. The EU proposes a pay-back of this overharvest over 3 years in 2018, 2019, 2020 , which corresponds to 22.4 t per year.                                                                                 </t>
  </si>
  <si>
    <t>In 2018 the underharvest (27,52t) being over the maximum allowed of 10% provided in Rec. 18-04, the EU is entitled to carry over 5 t to 2020.</t>
  </si>
  <si>
    <t>The agreement between UK and EU is to transfer 48.40 t from its quota in 2022, corresponding to 0.25% of its quota prior to any adjustments made and any specific allocation made to the EU for its small-scale fisheries in following years to the United Kingdom.</t>
  </si>
  <si>
    <t xml:space="preserve">This means that the 0,25% is calculated from the 19360 t which is the initial quota of EU without the additional 100t agreed in 2018 for small scale. </t>
  </si>
  <si>
    <t>(200*0.25)+215</t>
  </si>
  <si>
    <t>(215*0.25)+242</t>
  </si>
  <si>
    <t>4.99+140</t>
  </si>
  <si>
    <t>16.91+140</t>
  </si>
  <si>
    <t>6 (A) = Limit 2021 + Carry over from Balance 2019 MAX. 10%4250 (425) Rec. 19-02 Para 12</t>
  </si>
  <si>
    <t>*Underage up to 50% of the initial catch quota has been carried over biennially Rec.16-03. Quota calculated up to 2017</t>
  </si>
  <si>
    <t>**Underage up to 40% of the initial catch quota has been carried over biennially Rec.17-02. Quota calculated from 2018 on</t>
  </si>
  <si>
    <t>2021**</t>
  </si>
  <si>
    <t>Korea carried forward its unused quota of 2020(4.30t) to 2021. Max 5% 2020 quota. Rec 20-07 Para 2</t>
  </si>
  <si>
    <t>200+50+4.30</t>
  </si>
  <si>
    <t>Since 2018, Korea has transferred 223t of its quota to Chinese Taipei every year.</t>
  </si>
  <si>
    <t>(1486*0.15)+1000 - 223</t>
  </si>
  <si>
    <t>Rec. 19-02 Para 12: underage of an annual catch limit in 2019 shall be added to their 2021 annual catch limit, subject to 10% of initial quota restrictions</t>
  </si>
  <si>
    <t>Rec. 19-02 Para 3c): Starting with 2020 catches, any underharvest by a CPC of its annual landings limit may not be carried forward to a subsequent year</t>
  </si>
  <si>
    <t>2020 =  Initial allocation + transfers (from Senegal 125t, Japan 35t, Chinese Taipe 35t, and the EU 100t) + underage from 2018 (202.2t - max. carry forward)</t>
  </si>
  <si>
    <t>2021 =  Initial allocation + transfers (from Senegal 150t, Japan 35t, Chinese Taipe 35t, and the EU 200t) + underage from 2019 (202.2t - max. carry forward)</t>
  </si>
  <si>
    <t xml:space="preserve">Limite ajustée 2018= limite de capture 2018 + ( limite de capture 2017 x 0,4) - transfert (CAN). Limite ajustée 2018  = 250 + (250*0.4) - (125+25) = 200t      </t>
  </si>
  <si>
    <t>Limite ajustee 2019 = Limite 2019 + max. Solde (Limite 2018*0.4) -transfert Canada (125 t) = 250 + (250 * 0.4) -125= 225 t</t>
  </si>
  <si>
    <t>Limite ajustee 2020 = Limite 2020 + max. Solde (Limite 2019*0.4) -transfert Canada (125 t) = 250 + (250 * 0.4) -125= 225 t</t>
  </si>
  <si>
    <t>Limite ajustee 2021 = Limite 2021 + max. Solde (Limite 2020*0.4) -transfert Canada (125 t+25 t) = 250 + (250 * 0.4) -150= 200 t</t>
  </si>
  <si>
    <t>(2020 limit + 0,15*2018 limit)-40-100</t>
  </si>
  <si>
    <t>(2021 limit + 0,15*2019 limit)-40-200-0.67</t>
  </si>
  <si>
    <t xml:space="preserve">For 2020 the adjusted limit is calculated by taking also into account the transfers to Canada (100 t from EU-Spain) and of 40 t to S. Pierre et Miquelon as provided for in Rec 17-02. </t>
  </si>
  <si>
    <t>For 2021 the adjusted limit is calculated by taking also into account the transfers to Canada (200 t from EU-Spain) and of 40 t to S. Pierre et Miquelon as provided for in Rec. 17-02.</t>
  </si>
  <si>
    <t>2020: The 2019 underage is greater than the maximum amount that can be carried over to 2020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</si>
  <si>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2021: The 2020 underage is greater than the maximum amount that can be carried over to 2021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</si>
  <si>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1 (A)=IQ2016+Balance2015</t>
  </si>
  <si>
    <t>2 (A)=IQ2017+Balance2016</t>
  </si>
  <si>
    <t>3 (A)=IQ2018+Balance2017</t>
  </si>
  <si>
    <t>4 (A)=IQ2019+Balance2018</t>
  </si>
  <si>
    <t>5 (A)=IQ2020+Balance2019+2t EU transfer provided by Rec. 19-05.</t>
  </si>
  <si>
    <t>5 (A)=IQ2020+Balance2019</t>
  </si>
  <si>
    <t>6 (A)=IQ2021+Balance2020</t>
  </si>
  <si>
    <t>Pour l'année 2020 les prises realisées par les senneurs sont de 2648,138</t>
  </si>
  <si>
    <t>*</t>
  </si>
  <si>
    <t>Adjusted limit for 2021 = 711.5  + (.25)(632.4) = 869.60****</t>
  </si>
  <si>
    <t>*** reflects that 25% of the 2017 initial quota may be carried forward to 2018</t>
  </si>
  <si>
    <t>****  reflects that 25% of the 2020 initial quota may be carried forward to 2021</t>
  </si>
  <si>
    <t>Adjusted limit for 2021 = 3907.0 + (0.15)(3907) = 4493.05 t</t>
  </si>
  <si>
    <t>Adjusted limit for 2021 = 100.0 - (100 t (Namibia (50 t), Cote d'Ivoire (25 t), Belize (25 t)) + 99.94</t>
  </si>
  <si>
    <t>Adjusted limit for 2021 = 1272.86 + (.1)(1272.86) = 1400.15 t</t>
  </si>
  <si>
    <t>* Adjusted limit = initial limit + available balance (not to exceed 10% of initial quota)</t>
  </si>
  <si>
    <t>*** reflects that 10% of the 2017 initial quota may be carried forward to 2018</t>
  </si>
  <si>
    <t>VENEZUELA</t>
  </si>
  <si>
    <t>*De acuerdo a Rec. 16-06 Par 4, en el año 2017 se utilizaron las transferencias de La Unión Europea, Estados Unidos y Taipei Chino  a Venezuela de  60, 150 y 114 t, respectivamente</t>
  </si>
  <si>
    <t>(1) Límite ajustado 2017 = Límite 2017 + Saldo 2016 + (60+150+114)*</t>
  </si>
  <si>
    <t>(1)</t>
  </si>
  <si>
    <t>(2)</t>
  </si>
  <si>
    <t>(3)</t>
  </si>
  <si>
    <t>(2) Límite ajustado 2018 = Límite 2018 + Saldo 2017</t>
  </si>
  <si>
    <t>(3) Límite ajustado 2019 = Límite 2019 + Saldo 2018</t>
  </si>
  <si>
    <t>(4)</t>
  </si>
  <si>
    <t>(4) Límite ajustado 2020 = Límite 2020 + Saldo 2019</t>
  </si>
  <si>
    <t>(5)</t>
  </si>
  <si>
    <t>(5) Límite ajustado 2021 = Límite 2021 + Saldo 2020</t>
  </si>
  <si>
    <t>85+(85*0.5)</t>
  </si>
  <si>
    <t>Los remanentes de captura de esta especie se ajustaron de acuerdo a los años sugeridos por la recomendación  16-03</t>
  </si>
  <si>
    <t>Al límite de captura ajustada para los años 2017 y 2018, se le dedujo las 12,75 t transferidas a Francia (San Pedro y Miquelón) , Rec.16-03 y Rec. 17-02.</t>
  </si>
  <si>
    <t>85+(85*0.5)-12.75</t>
  </si>
  <si>
    <t>85+(85*0.4)-12.75</t>
  </si>
  <si>
    <t>85+(85*0.4)</t>
  </si>
  <si>
    <t>*Underage up to 10% of the initial catch quota has been carried over biennially Rec.15-05 to 18-04 (2016-2019)</t>
  </si>
  <si>
    <t>100+ (0.1*100)</t>
  </si>
  <si>
    <t>100+ (0.1*100) - 30 **</t>
  </si>
  <si>
    <t>**Transferencia de 30 t a la Unión Europea en 2017, Rec.  16-10.</t>
  </si>
  <si>
    <t>84.10+(100*0.1)</t>
  </si>
  <si>
    <t>(1) Límite ajustado 2018 = Límite 2018 + Saldo 2017 +  (Saldo Máx. 2016 = 10% Límite 2016)</t>
  </si>
  <si>
    <t>Catch limit defined according to Rec. 19-02 Para 4</t>
  </si>
  <si>
    <t>[4] = 2020 limit + 2019 Balance</t>
  </si>
  <si>
    <t>[5]</t>
  </si>
  <si>
    <t>[5] = 2021 limit + 2020 Balance</t>
  </si>
  <si>
    <t>*transfer of 200 t from Chinese Taipei to Belize in 2021 and 2022.</t>
  </si>
  <si>
    <t>Japan´s 2021 adjusted limit = 842 t(Limit)+1056.21t(2020 carry over(para 4 of Rec. 17-02))-150 t(transfer to Morocco(para 1-a) of Rec. 20-02)-35 t(transfer to Canada(para 2 of Rec. 17-02))-25 t(transfer to Mauritania(para 2 of Rec. 17-02)).</t>
  </si>
  <si>
    <t>JAPAN-BIGEYE: current catch for 2020 includes  15.20t of dead discard.</t>
  </si>
  <si>
    <t>BSHN</t>
  </si>
  <si>
    <t>2022 Limit</t>
  </si>
  <si>
    <t>*Belize is carrying forward 25% of its initial catch limit (53.75 t) from its balance of 142.7t in 2020 to be used in 2022.</t>
  </si>
  <si>
    <t>*Belize is carrying forward 25% of its initial catch limit (62.5 t) from its balance of 162.13t in 2020 to be used in 2022</t>
  </si>
  <si>
    <t>*Belize is carrying forward 40% of its initial catch limit (52 t) from its balance of 146.27 t in 2020 to be used in 2022; receiving a transfer of N-SWO from Trinidad &amp; Tobago: 75t (Rec. 17-02, par.2b).</t>
  </si>
  <si>
    <t>*Belize is carrying forward 20% of its initial catch limit (25t)  in 2020 to be used in 2022 + transfer of 24.94t from the United States of America + transfer of 50t from Brazil + transfer of 50t from Uruguay to Belize</t>
  </si>
  <si>
    <t>Adjusted limit for 2022 = 100.0 - (99.94 t (Namibia (50 t), Cote d'Ivoire (25 t), Belize (24.94 t)) + 99.94</t>
  </si>
  <si>
    <t>Adjusted limit for 2022=initial quota(200)+200*25%(not exceeding the balance of 2020)=250</t>
  </si>
  <si>
    <t>In 2015 2.29t of dead discards were not included in the catch amount in the compliance table although they were reported in the Task I data</t>
  </si>
  <si>
    <t>In 2015,5.91t of dead discards and/or releases were not included in the catch amount in the compliance table although they were reported in the Task I data</t>
  </si>
  <si>
    <t>In 2015, 1.47t of dead discards were not included in the catch amount in the compliance table although they were reported in the Task I data</t>
  </si>
  <si>
    <t>Limit 2022+limit 2020*0,10</t>
  </si>
  <si>
    <t>In 2020 the underharvest for the EU was of 4557,17 t, which is more than the maximum allowed 10% provided in Rec 21-01. Therefore, the EU is entitled to carry over  1342,13 t to 2022</t>
  </si>
  <si>
    <t>UK</t>
  </si>
  <si>
    <t>2022 adjusted quota is 5198.4 t (=4416.9+3926*0.25-200)  due to the inclusion of 2020 underage and 2022 initial catch quota and the deduction of the transfer of 200 t to Belize.</t>
  </si>
  <si>
    <t>50 + Balance 2019</t>
  </si>
  <si>
    <t>125+(125*0.2)</t>
  </si>
  <si>
    <t>7:  limite 2021+ 100% allocation de quota initiale (MAX Solde 2020=1.53) - CAN transfer (4.78t) = 5.31 + 1.53 - 4.78= 2.06</t>
  </si>
  <si>
    <t>6:  limite 2020+ 100% allocation de quota initiale (MAX Solde 2019=1) - CAN transfer (4.78t) = 5.31 + 1 - 4.78= 1.53</t>
  </si>
  <si>
    <t>Adjusted limite for 2021=initial quota(4390.69)+5376*10%+600 ton transfer from Japan=5528.29</t>
  </si>
  <si>
    <t>JAPAN-BIGEYE:Japan's 2021 adjusted limit = 13756.16+1769.6(2019 carry over(17696*10%)(Para12 of Rec19-02)-600(transfer to China (Footnote2 of Para.8  of Rec.19-02))-300(transfer to Europian Union (Footnote 2 of Para.8 of Rec.19-02))</t>
  </si>
  <si>
    <t>PANAMÁ</t>
  </si>
  <si>
    <t>(1)  Cuota ajustada de 2021= Cuota de 2021 + balance negativo de 2020 (25-6.34)= 18.66t</t>
  </si>
  <si>
    <t>2021(**) (*)</t>
  </si>
  <si>
    <t>Pour l'année 2021 le quota ajusté est de 2755,75  ( le quota initial 2655T+transfert quota syrie (79,2)+quota non consommé  des prises accessoires 2020 (21,55T)</t>
  </si>
  <si>
    <t>5:  limite 2019+ 100% allocation de quota initiale - CAN transfer (9.62) = 2*5.31-9.62=1</t>
  </si>
  <si>
    <t>8:  limite 2022+ 100% allocation de quota initiale (MAX Solde 2021=2.06) - CAN transfer (4.78t) = 6.18+2.06-4.78= 3.46</t>
  </si>
  <si>
    <t>1 (A) = Limit 2016 -337 (payback Rec.15-01 9b) + 70 (Transfer Japan Rec.15-01 7b) + Carry over from Balance 2014 MAX. 15%4722=708.3 (583)</t>
  </si>
  <si>
    <t>2 (A) = Limit 2017 -337 (payback Rec.16-01 9b) + 70 (Transfer Japan Rec.16-01 7b) - 246.60 (Balance 2016) + Carry over from Balance 2015 MAX. 15%4722= 708.3 (696.92)</t>
  </si>
  <si>
    <t>3 (A) = Limit 2018 -337 (payback Rec.16-01 9b) + 70 (Transfer Japan Rec.16-01 7b)</t>
  </si>
  <si>
    <t>4 (A) = Limit 2019 + 70 (Transfer Japan Rec.16-01 7b)  + Carry over from Balance 2017 MAX. 15%4250= 637.50 (347.32). No more payback since 18-01 Para 2</t>
  </si>
  <si>
    <t>5 (A) = Limit 2020 + Carry over from Balance 2018 MAX. 15%4250=637.50(412)</t>
  </si>
  <si>
    <t>CURACAO</t>
  </si>
  <si>
    <t>[6]</t>
  </si>
  <si>
    <t>[6] = 2022 limit + 2021 Balance</t>
  </si>
  <si>
    <t>2022 = Initial allocation + transfers (from Senegal 150t, Japan 35t, Chinese Taipe 35t, and the EU 250t) + underage from 2020 (202.2t - max. carry forward)</t>
  </si>
  <si>
    <t>Initial quota/catch limit includes 15 t allocation for by-catch, as per Rec. 17-06 para 6a &amp; Rec. 20-06 Para 1 (4) &amp;  Rec. 21-07 Para 1 (D)</t>
  </si>
  <si>
    <t>Adjusted limited for 2022=242(initial quota)+215*25%(carryover 2020)=295.75</t>
  </si>
  <si>
    <t>Adjusted limit for 2022=initial quota(100)+available balance of 2020 (7.78t)=107.78</t>
  </si>
  <si>
    <t>Adjusted limit for 2022=initial quota(313)+313*20%(carryover 2020)= 313+62.6</t>
  </si>
  <si>
    <t>Adjusted limite for 2022=initial quota(4426.38)+4462.08*10%+600 ton transfer from Japan=5472.59</t>
  </si>
  <si>
    <t>Adjusted Limit=initial limit +available balance(not to exceed 20% of initial quota), valid up to 2020 (Rec. 19-05 Para 3b))</t>
  </si>
  <si>
    <t>Adjusted Limit=initial limit +available balance(not to exceed 10% of initial quota), valid up to 2020 (Rec. 19-05 Para 3b))</t>
  </si>
  <si>
    <t>COSTA RICA</t>
  </si>
  <si>
    <t>* Límite ajustado = límite inicial + balance disponible (no exceder 25% de cuota inicial)</t>
  </si>
  <si>
    <t>Límite ajustado para 2016 = 200 + 50 = 250 t</t>
  </si>
  <si>
    <t>Límite ajustado para 2017= 200 + 50 = 250 t</t>
  </si>
  <si>
    <t>Límite ajustado para 2018 = 200 + 50 = 250 t</t>
  </si>
  <si>
    <t>Límite ajustado para 2019 = 215 + 50 = 265 t</t>
  </si>
  <si>
    <t>Límite ajustado para 2020 = 215 + 53,75 = 268,75 t</t>
  </si>
  <si>
    <t>Límite ajustado para 2021 = 242 + 53,75 = 295,75 t</t>
  </si>
  <si>
    <t>Límite ajustado para 2022 = 242 + 60,5 = 302,50 t</t>
  </si>
  <si>
    <t>SWON</t>
  </si>
  <si>
    <t>ALBN</t>
  </si>
  <si>
    <t>[7]</t>
  </si>
  <si>
    <t>[1]= Límite de 2016 + balance de 2015</t>
  </si>
  <si>
    <t>[2]= Límite de 2017 + balance de 2016</t>
  </si>
  <si>
    <t>[3]= Límite de 2018 + balance de 2017</t>
  </si>
  <si>
    <t>[4]= Límite de 2019 + balance de 2018</t>
  </si>
  <si>
    <t>[5]= Límite de 2020 + balance de 2019</t>
  </si>
  <si>
    <t>[6]= Límite de 2021 + balance de 2020</t>
  </si>
  <si>
    <t>[7]= Límite de 2022 + balance de 2021</t>
  </si>
  <si>
    <t>[1]= Límite de 2017 + balance de 2016</t>
  </si>
  <si>
    <t>Limit 2023 +   2021 balance - 1,52% of the EU limit 2023 to be transferred to UK</t>
  </si>
  <si>
    <t xml:space="preserve">The underharvest of the EU in 2021 is of 2025,93 t, which is less than than the maximum allowed of 25% provided in Rec. 16-06. The EU is entitled to carry over 2025,93 t to 2023. Additionally, the EU will transfer to United Kingdom 1,52% of its initial catch limit in 2022.
</t>
  </si>
  <si>
    <t xml:space="preserve">The underharvest of the EU in 2021 is of 1862,1 t, which corresponds to more than 15% of its 2021 initial catch limit. In line with Rec. 17-02 the EU can carry over 1007.7 t to 2023 if current management arrangments are maintained. The adjusted limit for 2021 takes also into account the transfers to Canada (200 t in 2021 &amp;nd 250 t in 2022; from EU-Spain), and S. Pierre et Miquelon (40 t) as provided for in Rec 17-02. Additionally, the EU will transfer to United Kingdom 0,01% of the EU initial catch limit in 2022.
</t>
  </si>
  <si>
    <t>2022 limit + 0,15*2020 limit-40-250-0,01% 2022 limit</t>
  </si>
  <si>
    <t>ALBS</t>
  </si>
  <si>
    <t>JAPAN-S-ALB: 2022 adjusted limit = 1,355 t(Limit)+338.75t(2020 carry over(1355*25%) (para 4 of Rec. 16-07))</t>
  </si>
  <si>
    <t>JAPAN-S-SWO:Japan's 2022 adjusted limit  = 901t(Limit)+600.00t(2020 carry over(Para1(3) of Rec21-03))-50t(transfer to Namibia(Para5 of Rec.17-03))</t>
  </si>
  <si>
    <t>SWOS</t>
  </si>
  <si>
    <t>BFTE</t>
  </si>
  <si>
    <t>JAPAN-E-BFT: current catch for 2021 includes  0.68t of dead discard.</t>
  </si>
  <si>
    <t>JAPAN-E-BFT:Japan's 2022 adjusted limit = 2819.00t(Limit)(Para5 of Rec21-08)+96.65t(2021 carry over (Para7 of Rec 21-08))</t>
  </si>
  <si>
    <t>BFTW</t>
  </si>
  <si>
    <t>JAPAN-W-BFT: current catch for 2021 includes 0.00 t of dead discard.</t>
  </si>
  <si>
    <t>JAPAN-BIGEYE: current catch for 2021 includes  5.3t of dead discard.</t>
  </si>
  <si>
    <t>JAPAN-BUM:Japan's 2022 adjusted limit = 328.1t(Limit)(Para3 of Rec19-05)</t>
  </si>
  <si>
    <t>JAPAN-WHM・SPF:Japan's 2022 adjusted limit =35t(Limit)(Para3 of Rec19-05)</t>
  </si>
  <si>
    <t>JAPAN-N-BSH:Japan's 2020 adjusted limit = 4,010t(Para3 of Rec19-07)</t>
  </si>
  <si>
    <t>JAPAN-N-BSH:Japan's 2021 adjusted limit = 4,010t(Para3 of Rec19-07)</t>
  </si>
  <si>
    <t>242+(0.25*215)</t>
  </si>
  <si>
    <t>242+(0.25*242)</t>
  </si>
  <si>
    <t>The applied methodology is described in Recs. 19-02, 16-01, 2021-01.</t>
  </si>
  <si>
    <t>2022 adjusted quota is 323 t (=270+270*40%-35-20) due to the inclusion of 2020 underage and 2022 initial catch quota and the deduction of respective transfers of 35 t to Canada and 20 t to Morocco.</t>
  </si>
  <si>
    <t>2022 adjusted quota is 477.8 t (=459 + 18.8) due to the inclusion of 2021 underage and 2022 initial catch quota.</t>
  </si>
  <si>
    <t>2022 adjusted quota is 40 t (=90-50) due to the transfer of 50t to Korea.</t>
  </si>
  <si>
    <t>2022 adjusted quota is 126.2 t in accordance with para 3 c) of Rec. 19-05.</t>
  </si>
  <si>
    <t>2022 adjusted quota is 50 t in accordance with para 3 c) of Rec. 19-05.</t>
  </si>
  <si>
    <t>2022 adjusted limit: Egypt intends to transfer 259.62 ton from fishing vessel "Golovik" AT000EGY00020 to 2 authorized Moroccan Tuna traps</t>
  </si>
  <si>
    <t>2022: The 2021 underage is greater than the maximum amount that can be carried over to 2022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</si>
  <si>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2018: The 2017 underage is greater than the maximum amount that can be carried over to 2018 (&lt;= 40% of original catch limit); hence the amount carried over is 50 t (0.4*125). Additionally, 75 t were transferred to Belize; hence 75 is subtracted from the sum of the initial catch limit and the allowed carry over, to arrive at the final adjusted limit of 100 t.</t>
  </si>
  <si>
    <t>7(A)=IQ2022+2t EU transfer provided by Rec. 19-05.</t>
  </si>
  <si>
    <t>6 (A)=IQ2021+Balance2020+2t EU transfer provided by Rec. 19-05.</t>
  </si>
  <si>
    <t>7 (A)=IQ2022+Balance2021</t>
  </si>
  <si>
    <t>Adjusted limit for 2022 = 711.5  + (.25)(711.5) = 889.38</t>
  </si>
  <si>
    <t>Adjusted limit for 2022 = 3907.0 + (0.15)(3907) = 4493.05 t</t>
  </si>
  <si>
    <t>Adjusted limit for 2022 = 1341.14 + (.1)(1272.86) = 1468.43 t****</t>
  </si>
  <si>
    <t>****reflects that 10% of the 2021 initial quota may be carried forward to 2022</t>
  </si>
  <si>
    <t>Belize is carrying forward 25% of its initial catch limit (60.5t) from its balance of 268.10t in 2021 to be used in 2023</t>
  </si>
  <si>
    <t>Limit + Underages</t>
  </si>
  <si>
    <t>Republic of Korea</t>
  </si>
  <si>
    <t>Flag</t>
  </si>
  <si>
    <t>2022**</t>
  </si>
  <si>
    <t>Korea carried forward its unused quota of 2021(10t) to 2022. Max 5% 2021 quota. Rec 21-08 Para 7</t>
  </si>
  <si>
    <t>200+50+10</t>
  </si>
  <si>
    <t>(1486*0.10)+984- 223</t>
  </si>
  <si>
    <t>(1000*0.10)+992 - 223</t>
  </si>
  <si>
    <t>Rec.21-01 Para 12: underage of an annual catch limit in 2020 shall be added to their 2022 annual catch limit, subject to 10% of initial quota restrictions</t>
  </si>
  <si>
    <t>=IQ2023+MAX. 0.25*IQ2021</t>
  </si>
  <si>
    <t>=IQ2022+MAX. 0.25*IQ2020</t>
  </si>
  <si>
    <t>=IQ2021+MAX. 0.20*IQ2019</t>
  </si>
  <si>
    <t>=IQ2022+MAX. 0.20*IQ2020</t>
  </si>
  <si>
    <t>IQ2021+53.75</t>
  </si>
  <si>
    <t>IQ2023+MAX 25% IQ2021</t>
  </si>
  <si>
    <t>IQ2022+53.75</t>
  </si>
  <si>
    <t>IQ2023+MAX 40% IQ2021</t>
  </si>
  <si>
    <t xml:space="preserve">The UK's quota for S.ATL SWO is 25t  for 2021. The UK's catches in 2021 were 0t, consequently the UK has a remaining balance of 25t. The UK is permitted to transfer a maximum of 20% of unused quota to 2023. When the 20% is applied to the IQ2021 and the quota for 2023 is added, the adjusted quota for 2023 is 30t. </t>
  </si>
  <si>
    <t xml:space="preserve">The EU transfer's 48.4t of Eastern Bluefin Tuna to the UK. The UK's catches in 2021 were 2.92t, consequently the UK has a remaining balance of 45.48t. The UK is permitted to transfer a maximum of 5% of unused quota to 2022. When the 5% is applied to the Initial quota for 2021 and the quota for 2022 is added, the adjusted quota for 2022 is 50.82t. </t>
  </si>
  <si>
    <t xml:space="preserve">The UK's quota for W.BFT for 2021 is 5.31. The UK carried over 5.31t of w.BFT quota from 2020. The UK's catches in 2021 were 0.71t which was taken off the carry over quota. As the 2021 catches were less then the carry over the UK had a remaining quota of 5.31t. The UK is permitted to transfer a maximum of 100% of 2021 Initial Quota to 2022. When the UK's carry over amount is combined with the UK's TAC for 2022 of 6.18t the figure for he adjusted quota for 2022 is 11.49t. </t>
  </si>
  <si>
    <t xml:space="preserve">2021: The EU transfers to the UK 434.04t of N.ALB quota for 2021 (circ. 4088/21). The UK OT's had previously carried over 53.75t. When combined the adjust quota for 2021 was 487.79 . </t>
  </si>
  <si>
    <t>(6)</t>
  </si>
  <si>
    <t>(6) Límite ajustado 2022 = Límite 2022 + Saldo 2021</t>
  </si>
  <si>
    <t xml:space="preserve">(1) Límite ajustado 2017 = Límite 2017 + Saldo 2016 </t>
  </si>
  <si>
    <t>=215+(MAX. 25% from 2020 quota= 13.27t)</t>
  </si>
  <si>
    <t>=215+(MAX. 25% from 2019 quota= 38.35t)</t>
  </si>
  <si>
    <t>le calcul du quota ajusté 2022 prend en compte le solde  MAX de 2021 (Limite 2021 * 0.2 = 417*0.2=83.4) auquel est ajouté la limite 2022 417 t) ce qui donne (83.4+417=500.4) t</t>
  </si>
  <si>
    <t>le calcul du quota ajusté 2021 prend en compte le solde  MAX de 2020 (Limite 2020 * 0.2 = 417*0.2=83.4) auquel est ajouté la limite 2021 417 t) ce qui donne (83.4+417=500.4) t</t>
  </si>
  <si>
    <t>2022: Initial Quota 2022 + CO from 2020 (25% 215t). When combined the adjust quota for 2022 was 496</t>
  </si>
  <si>
    <t>2023: The UK's catches in 2021 were 169.39. Consequently the UK has a remaining balance of 326.86t. The UK is allowed to carry over unused quota to 2023 at the max carry over rate of 25% of its IQ2021 (108.51). When the 25% is applied to the IQ2021 and the quota for 2023 is added, the adjusted quota for 2023 is 550.76</t>
  </si>
  <si>
    <t>2021: The EU transfers to the UK 0.67 quota for 2021 (circ. 4088/21). The UK OT's had previously carried over 15t (MAX. 40% IQ 2019). When combined the adjust quota for 2021 was 35+14+0.67</t>
  </si>
  <si>
    <t>IQ2021+MAX 40% IQ2019+ EU Transfer</t>
  </si>
  <si>
    <t>IQ2022+MAX 40% IQ2020+ EU Transfer</t>
  </si>
  <si>
    <t>2023:  The UK OT's had previously carried over 15t (MAX. 40% IQ 2021). When combined the adjust quota for 2023 is 35+14</t>
  </si>
  <si>
    <t>2022: The EU transfers to the UK 0.67 quota for 2022 (Rec. 21-02 Para 1). The UK OT's had previously carried over 15t (MAX. 40% IQ 2020). When combined the adjust quota for 2021 was 35+14+0.67</t>
  </si>
  <si>
    <t>EGYPT</t>
  </si>
  <si>
    <t>JAPAN-N-ALB:Japan's 2021 adjusted limit = BET 2021 catch * 4.5% (Para8 of Rec21-04)</t>
  </si>
  <si>
    <t>Japan´s 2022 adjusted limit = 842 t(Limit)+1400.81 t(2021 carry over(para 1C of Rec.21-02))-150 t(transfer to Morocco(para 1A) of Rec. 21-02)-35 t(transfer to Canada(para 1A of Rec. 21-02))-25 t(transfer to Mauritania(para 1A of Rec. 21-02)).</t>
  </si>
  <si>
    <t>JAPAN-BIGEYE:Japan's 2022 adjusted limit = 13868.00(Para 4 of Rec.21-01)+1397.9(2020 carry over(13979.84*10%)(Para12 of Rec21-01)-600(transfer to China (Footnote2 of Para.8  of Rec.21-01))-300(transfer to Europian Union (Footnote 2 of Para.8 of Rec.21-01))</t>
  </si>
  <si>
    <t>Limit 2023 + 25%  2021 limit</t>
  </si>
  <si>
    <t>The underharvest of the EU in 2021 was of 1766.56 t.  In line with Rec 16-07, the EU is entitled to carry over  367,5 t to 2023, corresponding to 25% of its initial quota for 2021.</t>
  </si>
  <si>
    <t>=9400+1699+85</t>
  </si>
  <si>
    <t>2022 adjusted quota is 11244.00 t (=9400+1699) due to the inclusion of 2020 underage and 2021 initial catch quota + 85t (Rec. 16-07 Para 4b) as complement from total underage from the TAC, where 85t  is what is left from the total underage from the TAC from 2020, minus the underages to be used by those CPCs wishing to do so</t>
  </si>
  <si>
    <t>IQ2022 + 2020 balance</t>
  </si>
  <si>
    <t>IQ2023 + 2021 balance</t>
  </si>
  <si>
    <t xml:space="preserve">De las 25.00 t de atún blanco del Atlántico Sur asignadas a Panamá para 2020, hubo una captura de 31.34 t, dando como resultado un excedente de 6.34t. El excedente fue saldado en 2021, ya que de las 25.00t asignadas para 2021, solo hubo una captura de 17.22t quedando un remanente preliminar para 2021 de 7.78t de las cuales se dedujo el excedente de 6.34t de 2020, quedando 2021 con un remanente de 1.44t. </t>
  </si>
  <si>
    <t>2011=95t+42t (No transfer to Canada for 2011)</t>
  </si>
  <si>
    <t>2012=95t+36.5t -86.50t ( transfer to CAN from 2012 quota) por Rec. 10-03</t>
  </si>
  <si>
    <t>2013=95t+52.90t (No transfer to Canada for 2013) por Rec.12-02</t>
  </si>
  <si>
    <t>2014=95t+95t-86.5t (transfer to Canada for 2014) por Rec. 13-09</t>
  </si>
  <si>
    <t>2015=108.98+52.50-86.50 (transfer to Canada for 2015) por Rec. 14-05</t>
  </si>
  <si>
    <t>2016=108.98+21.98-51.98 (transfer to Canada) por Rec. 14-05</t>
  </si>
  <si>
    <t>2017=108.98+23.98-55.98(transfer to Canada) por Rec. 16-08</t>
  </si>
  <si>
    <t>2018=128.44+42.98-73.98 (transfer to Canada) por Rec. 17-06</t>
  </si>
  <si>
    <t>2019=128.44+17.44-60.44 (transfer to Canada) por Rec. 17-06</t>
  </si>
  <si>
    <t>2020= 128.44+46.44-79.44 (transfer to Canada) por Rec. 17-06</t>
  </si>
  <si>
    <t>2021= 128.44+67.44-transfer to Canada (100.44t) por Rec. 20-06</t>
  </si>
  <si>
    <t>2018 = Initial allocation +Mexican transfer (73.98) + underharvest from 2017 (MAX 10% IQ 2017)</t>
  </si>
  <si>
    <t>2019 = Initial allocation +Mexican transfer (60.44) + SPM transfer (9.62)+ underharvest from 2018 (53.06 = 10% of 2018 initial)</t>
  </si>
  <si>
    <t>2020 = Initial allocation +Mexican transfer (79.44) + SPM transfer (4.78)+ underharvest from 2019 (20.84)</t>
  </si>
  <si>
    <t>2021 = Initial allocation +Mexican transfer (100.44) + SPM transfer (4.78) + underharvest from 2020 (44.05)</t>
  </si>
  <si>
    <r>
      <rPr>
        <vertAlign val="superscript"/>
        <sz val="10"/>
        <rFont val="Cambria"/>
        <family val="1"/>
      </rPr>
      <t>1</t>
    </r>
    <r>
      <rPr>
        <sz val="10"/>
        <rFont val="Cambria"/>
        <family val="1"/>
      </rPr>
      <t xml:space="preserve"> Transfer from Japan</t>
    </r>
  </si>
  <si>
    <t>13.97+170</t>
  </si>
  <si>
    <t xml:space="preserve">The UK's quota for S.ATL ALB is 100t  for 2021. The UK's catches in 2021 were 0, consequently the UK has a remaining balance of 100t. The UK is allowed to carry over unused quota to 2023 at the max carry over rate of 25% of its year´s Initial Quota. When the 25% is applied to the IQ and the quota for 2023 is added the adjusted quota for 2023 is 145t. </t>
  </si>
  <si>
    <t>7 (A) = Limit 2022 + Carry over from Balance 2020 MAX. 10%3968.23 (396.82) Rec. 21-01 Para 12</t>
  </si>
  <si>
    <t>2020 catch limit for Ghana has been corrected from 3716.00 to 3968.23 as the former one was reported by Ghana applying a payback condoned in Rec. 18-01 para 2</t>
  </si>
  <si>
    <t>Quota ajustée 2020: 265 tonnes  = quota initial alloué au Maroc 2020 (215 t) + 50 tonnes ( reliquat= 25% du quota initial (200)). Recommandation ICCAT 17-04</t>
  </si>
  <si>
    <t>Quota ajustée 2021: 295,75 tonnes  = quota initial alloué au Maroc 2021 (242 t) + 53,75 tonnes ( reliquat= 25% du quota initial 2019 (215 tonnes) ). Rec ICCAT 17-04, 20-04</t>
  </si>
  <si>
    <t>Quota ajustée 2022: 295,75 tonnes  = quota initial alloué au Maroc 2022 (242 t) + 53,75 tonnes ( reliquat= 25% du quota initial 2020 (215 tonnes) ). Rec ICCAT 17-04, 20-04</t>
  </si>
  <si>
    <t>Quota ajustée 2023: 302,50 tonnes  = quota initial alloué au Maroc 2023 (242 t) + 60,50 tonnes ( reliquat= 25% du quota initial 2021 (242 tonnes) ). Rec ICCAT 21-04</t>
  </si>
  <si>
    <t>Quota ajustée 2018 : 900 tonnes = 950 (quota initial 850+100 tranféré du japon) - 50 de surconsommation de 2016</t>
  </si>
  <si>
    <t>Quota ajustée 2019: 1000 tonnes = quota initial alloué au Maroc 2019 (850t)+ 100t (transférées par le Japon au Maroc) + 50 de sousconsommation de 2017</t>
  </si>
  <si>
    <t>Quota ajustée 2020: 995 tonnes = quota initial alloué au Maroc 2020 (850t) + 150t (transférées par le Japon au Maroc)+20t (transférée par le Taipei Chinois)+ 25t (transférée par le Trinité-et-Tobago) - 50 de surconsommation de 2018</t>
  </si>
  <si>
    <t>Quota ajustée 2021: 1095 tonnes = quota initial alloué au Maroc 2020 (850t) + 150t (transférées par le Japon au Maroc)+20t (transférée par le Taipei Chinois)+ 25t (transférée par le Trinité-et-Tobago) + 50 de sousconsommation de 2019</t>
  </si>
  <si>
    <t>Quota ajusté 2022: 1104,18 tonnes = quota initial alloué au Maroc (850t)+ 150t (transférées par le Japon au Maroc)+20t (transférée par le Taipei Chinois)+ 25t (transférée par le Trinité-et-Tobago) + 59,18 (15% du quota initail) de sousconsommation de 2020</t>
  </si>
  <si>
    <t>Quota ajusté 2023:  1172,50 tonnes = quota initial alloué au Maroc (850t) + 127,50 (15% du quota initail) de sousconsommation de 2021+ 150t (transférées par le Japon au Maroc)+20t (transférée par le Taipei Chinois)+ 25t (transférée par le Trinité-et-Tobago) . Rec ICCAT 21-02</t>
  </si>
  <si>
    <t>Quota ajustée 2023: 3703 tonnes = quota initial alloué au Maroc 2023 (3700 t) + 3 tonnes (reliquat de l'année 2022) Rec. 22-08</t>
  </si>
  <si>
    <t>Quota ajustée 2020: 3488.62 = quota initial alloué au Maroc 2020 (3284 t) + 204.62 t (transféré par l'Egypte au Maroc). Recommandation ICCAT 19-04</t>
  </si>
  <si>
    <t>Quota ajustée 2021: 3318,91 tonnes = quota initial alloué au Maroc 2020 (3284 t) + 34,91 tonnes (reliquat de l'année 2020). Rec. 20-07</t>
  </si>
  <si>
    <t>Quota ajustée 2022: 3568,27 tonnes = quota initial alloué au Maroc 2020 (3284 t) + 24,65 tonnes (reliquat de l'année 2021) transfert de l'Egypte (259,62 tonnes) Rec. 21-08</t>
  </si>
  <si>
    <t>Quota ajustée 2024: -02 tonnes = quota initial alloué au Maroc 2021 (10t) -12 tonnes (surconsommation). Recommandation ICCAT 19-05/para 3 amendant la Rec 15-05</t>
  </si>
  <si>
    <t>Quota ajustée 2020: -42 tonnes = quota initial alloué au Maroc 2020 (10t) - 52 t (surconsommation). Recommandation ICCAT 19-05/para 3 amendant la Rec 15-05</t>
  </si>
  <si>
    <t>Quota ajustée 2021: -32 tonnes = quota initial alloué au Maroc 2021 (10t) - 42 tonnes (surconsommation). Recommandation ICCAT 19-05/para 3 amendant la Rec 15-05</t>
  </si>
  <si>
    <t>Quota ajustée 2022: -22 tonnes = quota initial alloué au Maroc 2022 (10t) - 32 tonnes (surconsommation). Recommandation ICCAT 19-05/para 3 amendant la Rec 15-05</t>
  </si>
  <si>
    <t>Quota ajustée 2023: -12 tonnes = quota initial alloué au Maroc 2023 (10t) -22 tonnes (surconsommation). Recommandation ICCAT 19-05/para 3 amendant la Rec 15-05</t>
  </si>
  <si>
    <t>ALBANIA</t>
  </si>
  <si>
    <t>Q2022+5%Q2021=170+0.05*170</t>
  </si>
  <si>
    <t>2022: Current catches for the year 2021 were 148.4 ton (underharvest) and we used the total amount of 5% of the quota of previues year (8.5 t). 1t dedicated to bycacth aacording to Albania´s 2022 BFTE Fishing plan</t>
  </si>
  <si>
    <t>IQ2019+25%Q2017</t>
  </si>
  <si>
    <t>IQ2020+25%Q2018</t>
  </si>
  <si>
    <t>IQ2021+25%Q2019</t>
  </si>
  <si>
    <t>IQ2022+25%Q2020</t>
  </si>
  <si>
    <t>IQ2023+25%Q2021</t>
  </si>
  <si>
    <t>Belize is carrying forward 25% of its initial catch limit (60.5t) from its balance of 283.42t in 2022 to be used in 2024</t>
  </si>
  <si>
    <t>*Belize is carrying forward 25% of its initial balance (62.5 t) from its balance of 281.66 in 2021 to be used in 2023</t>
  </si>
  <si>
    <t>*Belize is carrying forward 40% of its initial limit (52 t) from its initial balance of 163 t in 2021 to be used in 2023. Transfer of 75 t from Trinidad and Tobago to Belize</t>
  </si>
  <si>
    <t>*Belize is carrying forward 40% of its initial limit (52 t) from its initial balance of 187.26 t in 2022 to be used in 2024. Transfer of 75 t from Trinidad and Tobago to Belize</t>
  </si>
  <si>
    <t>2023 = Initial allocation + transfers (from Senegal 125t, Japan 35t, Chinese Taipe 35t, and the EU 327t) + underage from 2021 (202.2t - max. carry forward)</t>
  </si>
  <si>
    <t>2022 = Initial allocation + Mexican transfer (60) + SPM transfer (4.78) + underharvest from 2021 (51.33)</t>
  </si>
  <si>
    <t>Adjusted limited for 2023=242(initial quota)+4.43(carryover 2021)=246.43</t>
  </si>
  <si>
    <t>Adjusted limit for 2023=initial quota(240)+200*25%(not exceeding the balance of 2021)=290</t>
  </si>
  <si>
    <t>Adjusted limit for 2023=initial quota(100)+available balance of 2021 (100*15%=15t)=115t</t>
  </si>
  <si>
    <t>Adjusted limit for 2023=initial quota(313)+313*10%(carryover 2021)= 344.3</t>
  </si>
  <si>
    <t>Adjusted limite for 2023=initial quota(4426.38)+4390.69*10%+600 ton transfer from Japan=5465.45</t>
  </si>
  <si>
    <t>According to Rec. 19-05 Para 3c): “Starting with 2020 catches, any underharvest by a CPC of its annual landings limit may not be carried forward to a subsequent year.”</t>
  </si>
  <si>
    <t>2023 adjusted quota is 5321.13 t (=4416.9+4416.9*0.25-200)  due to the inclusion of 2021 underage and 2023 initial catch quota and the deduction of transfers of 200 t to Belize.</t>
  </si>
  <si>
    <t>=4416.9+4416.9*0.25-200</t>
  </si>
  <si>
    <t xml:space="preserve">2023 adjusted quota is 323 t (=270+270*40%-35-20) due to the inclusion of 2021 underage and 2023 initial catch quota and the deduction of respective transfers of 35 t to Canada and 20 t to Morocco. </t>
  </si>
  <si>
    <t>=459+459*10%</t>
  </si>
  <si>
    <t>2023 adjusted quota is 504.9 t (=459 + 459*10%) due to the inclusion of 2022 underage and 2023 initial catch quota.</t>
  </si>
  <si>
    <t>=101-50</t>
  </si>
  <si>
    <t>2023 adjusted quota is 51 t (=101-50) due to the transfer of 50t to Korea.</t>
  </si>
  <si>
    <t>Límite ajustado para 2023 = 242 + 60,5 = 302,50 t</t>
  </si>
  <si>
    <t>[8]</t>
  </si>
  <si>
    <t>[8]= Límite de 2023 + balance de 2022</t>
  </si>
  <si>
    <t xml:space="preserve">** Durante los años anteriores a 2020, El Salvador no estaba sujeto a límite (Rec. 16-01, Par 34.a), sino a una expectativa de pesca, por ello No Aplica los límites, limites ajustados ni saldos. Para el año 2020 (Rec. 19-02) se reconoce un límite.																										</t>
  </si>
  <si>
    <t>* De acuerdo a la Rec. 19-02 Para 3 el TAC de BET se reduce de 62500t en 2020 a 61500t en 2021, esto representa una disminución del 1.6%. La Secretaría ha aplicado esta reducción a todas las cuotas/límites de captura/umbrales calculados para 2020 con el fin de obtener los valores proporcionales para 2021.</t>
  </si>
  <si>
    <t>2022(***)</t>
  </si>
  <si>
    <t>*** De conformidad con el párrafo 3 de la Rec. 21-01 el TAC de patudo se reduce, pasando de 62.500 t en 2020 a 62.000 t en 2022, esto representa una disminución del 0.8 %. La Secretaría ha aplicado esta reducción a todas las cuotas/límites de captura calculados para 2020 con el fin de obtener los valores proporcionales para 2022.</t>
  </si>
  <si>
    <t>=215+(MAX. 25% from 2021 quota= 13.27t)</t>
  </si>
  <si>
    <t>The applied methodology is described in Recs. 13-06, 16-07, 20-05, 21-05, 22-06</t>
  </si>
  <si>
    <t>The applied methodology is described in Recs. 16-03, 17-02, 19-03, 20-02, 21-02, 22-03</t>
  </si>
  <si>
    <t>2 : limite 2015 + 25% quota de capture initial 2014 (REC 11-04 et REC 13-05)</t>
  </si>
  <si>
    <t>3 : limite 2016 + 25% quota de capture initial 2015 (REC 13-05)</t>
  </si>
  <si>
    <t>4 : limite 2017 + 25% quota de capture initial 2016 (REC 13-05 et REC 16-06)</t>
  </si>
  <si>
    <t>5 : limite 2018 + 25% quota de capture initial 2017 (REC 16-06 et REC 17-04)</t>
  </si>
  <si>
    <t>6 : limite 2019 + 25% quota de capture initial 2018 (REC 16-06 et REC 17-04)</t>
  </si>
  <si>
    <t>7 : limite 2020 + 25% quota de capture initial 2019 (REC 16-06 et REC 17-04)</t>
  </si>
  <si>
    <t>8 : limite 2021 + 25% quota de capture initial 2020 (REC 20-03)</t>
  </si>
  <si>
    <t>9 : limite 2022 + 25% quota de capture initial 2021 (REC 20-03)</t>
  </si>
  <si>
    <t>10 : limite 2023 + 25% quota de capture initial 2022 (REC 20-03)</t>
  </si>
  <si>
    <t>9:  limite 2023+ 100% allocation de quota initiale (MAX Solde 2022=3.46) - CAN transfer (5.18t)  = 6.18+3.46-5.18= 4.46</t>
  </si>
  <si>
    <t>242+(242*0.25)</t>
  </si>
  <si>
    <t>2022= 149.34+33.44-transfer to Canada (60t) por Rec. 21-07</t>
  </si>
  <si>
    <t>JAPAN-N-ALB:Japan's 2022 adjusted limit = BET 2022 catch * 4.5% (Para8 of Rec21-04)</t>
  </si>
  <si>
    <t>JAPAN-S-ALB: 2023 adjusted limit = 1,630t(Limit)+206.15t(2021 carry over (para 4 of Rec. 22-06))+100(transfer from Brazil (para 3 of Rec. 22-06))+100(transfer from Uruguay(para 3 of Rec. 22-06))+100(transfer from South Africa (para 3 of Rec. 22-06))</t>
  </si>
  <si>
    <t>JAPAN-S-SWO:Japan's 2023 adjusted limit  = 901t(Limit)+600.00t(2021 carry over(Para1(2) of Rec22-04))-50t(transfer to Namibia(Para5 of Rec.17-03))</t>
  </si>
  <si>
    <t>JAPAN-E-BFT:Japan's 2023 adjusted limit = 3114.00t(Limit)(Para4 of Rec22-08)+44.4t(2022 carry over (Para6 of Rec 22-08))</t>
  </si>
  <si>
    <t>JAPAN-W-BFT:Japan's 2022 adjusted limit = 664.52t(Limit)+0.73t(2021 carry over(Para7a of Rec17-06 )</t>
  </si>
  <si>
    <t>JAPAN-W-BFT:Japan's 2023 adjusted limit = 664.52t(Limit)+7.45t(2022 carry over(Para6a of Rec22-10 )</t>
  </si>
  <si>
    <t>JAPAN-BIGEYE:Japan's 2023 adjusted limit = 13868.00(Para 4 of Rec.21-01)+1375.61 (2021 carry over(13756.16*10%)(Para12 of Rec21-01)-600(transfer to China (Footnote2 of Para.8  of Rec.22-01))-300(transfer to Europian Union (Footnote 2 of Para.8 of Rec.22-01))</t>
  </si>
  <si>
    <t>JAPAN-BUM:Japan's 2023 adjusted limit = 328.1t(Limit)(Para2 of Rec19-05)</t>
  </si>
  <si>
    <t>JAPAN-WHM・SPF:Japan's 2023 adjusted limit =35t(Limit)(Para2 of Rec19-05)</t>
  </si>
  <si>
    <t>JAPAN-N-BSH: current catch for 2021 includes  21.9t of dead discard.</t>
  </si>
  <si>
    <t>JAPAN-N-BSH:Japan's 2022 adjusted limit = 4,010t(Para1 of Rec21-10)</t>
  </si>
  <si>
    <t>JAPAN-N-BSH:Japan's 2023 adjusted limit = 4,010t(Para1 of Rec21-10)</t>
  </si>
  <si>
    <t>* Adjusted limit 2023 = initial limit 2023 (5280) + available balance 2021(not to exceed 25% of initial quota) (674.61) -100t transferred to JPN</t>
  </si>
  <si>
    <t>URUGUAY</t>
  </si>
  <si>
    <t>* Adjusted limit 2023 = initial limit 2023 (530) + available balance 2021(not to exceed 25% of initial quota) (110) - 100t transferred to JPN</t>
  </si>
  <si>
    <t>2023: IQ2023 + 25% MAX2020 - 100t transferred to JPN</t>
  </si>
  <si>
    <t>2600+(0.25*2160)-100</t>
  </si>
  <si>
    <t>(242*0.25)+242</t>
  </si>
  <si>
    <t>2023**</t>
  </si>
  <si>
    <t>**Underage up to 20% of the initial catch quota has been carried over biennially Rec.17-03. Quota calculated from 2018 to 2022</t>
  </si>
  <si>
    <t>Rec.22-04 the maximum underage that a party may carryover in any given year shall not exceed 10%of the quota of the previous year.</t>
  </si>
  <si>
    <t>50+(50*0.1)</t>
  </si>
  <si>
    <t>Rec 22-08 para 4 : Depending on availability, Chinese Taipai may transfer up to 50t of its quota to Korea in 2023 to 2025.</t>
  </si>
  <si>
    <t>Korea carried forward its unused quota of 2022(7.72t) to 2023 which is under 5% of 2022 quota (Rec 22-08 Para 6)</t>
  </si>
  <si>
    <t>200+50+7.72</t>
  </si>
  <si>
    <t>Rec.22-01 para12:underage of an annual catch limit in 2021 shall be added to their 2023 annual catch limit, subject to 10% of initial quota restrictions</t>
    <phoneticPr fontId="7" type="noConversion"/>
  </si>
  <si>
    <t>* Information and explanation regarding Korea`s 2023 catch limit are available in Document PA1_11 and PA1_35, submitted for the March PA1 meeting in 2023.</t>
    <phoneticPr fontId="7" type="noConversion"/>
  </si>
  <si>
    <t>(984*0.10)+992 - 223</t>
  </si>
  <si>
    <t>From 2016 to 2023, USA has transferred 50t to Namibia in accordance with Rec. 16-04/17-03.</t>
  </si>
  <si>
    <t>Underage up to 10% of the initial catch quota has been carried over biennially Rec.22-04. Quota calculated from 2023 on</t>
  </si>
  <si>
    <t>=3600+25%3600</t>
  </si>
  <si>
    <t>=4320+25%3600</t>
  </si>
  <si>
    <t>2023*</t>
  </si>
  <si>
    <t>2024*</t>
  </si>
  <si>
    <t>2025*</t>
  </si>
  <si>
    <t>*Rec 22.06 para 5: Overharvest in 2022 deducted in 2024 and no underages can be carried over from 2023 to 2025</t>
  </si>
  <si>
    <t>=4320 - overharvest 2022</t>
  </si>
  <si>
    <t>no carry over from 2023 due to overharvest 2022</t>
  </si>
  <si>
    <t>Limite ajustee 2022 = Limite 2022 + max. Solde (Limite 2021*0.4) -transfert Canada (125 t+25 t) = 250 + (250 * 0.4) -150= 200 t</t>
  </si>
  <si>
    <t>Limite ajustee 2023 = Limite 2023 + max. Solde (Limite 2022*0.4) -transfert Canada (125 t) = 250 + (250 * 0.4) -125= 200 t</t>
  </si>
  <si>
    <t>le calcul du quota ajusté 2023 prend en compte le solde  MAX de 2022 (Limite 2022 * 0.1 = 417*0.1=41.7) auquel est ajouté la limite 2023 417 t) ce qui donne (41.7+417=458.7) t</t>
  </si>
  <si>
    <t>2023: The 2022 underage is greater than the maximum amount that can be carried over to 2023 (&lt;= 40% of original catch limit); hence the amount carried over is 50 t (0.4*125).
Additionally, 75 t and 25 t were transferred to Belize and Morocco respectively; hence 100 is subtracted from the sum of the initial catch limit and the allowed carry over, to arrive at the final adjusted limit of 75 t.</t>
  </si>
  <si>
    <t>8(A)=IQ2023+2t EU transfer provided by Rec. 19-05.</t>
  </si>
  <si>
    <t>Pour l'année 2023 le quota ajusté est de 3020  ( le quota initial 3000T+quota non consommé  des prises accessoires 2022 (20T)</t>
  </si>
  <si>
    <t>(7)</t>
  </si>
  <si>
    <t>(7) Límite ajustado 2023 = Límite 2023 + Saldo 2022</t>
  </si>
  <si>
    <t>IQ2024+MAX 25% IQ2022</t>
  </si>
  <si>
    <t>IQ2024+MAX 40% IQ2022</t>
  </si>
  <si>
    <t>IQ2022+Max5%IQ2021</t>
  </si>
  <si>
    <t>IQ2023+Max5%IQ2022</t>
  </si>
  <si>
    <t>IQ2024+Max5%IQ2023</t>
  </si>
  <si>
    <t xml:space="preserve">2023: The UK's IQ in 2023 is 63t. The UK's catches in 2022 were 4.61t,. The UK wants to carry over 5% of 2022 quota to 2023. Thus the UK's adjusted limit in 2023 is 65.42t. </t>
  </si>
  <si>
    <t>IQ2022+MAX100%IQ2021</t>
  </si>
  <si>
    <t>IQ2023+MAX100%IQ2022</t>
  </si>
  <si>
    <t>IQ2024+MAX100%IQ2023</t>
  </si>
  <si>
    <t xml:space="preserve">2023: The UK's quota for W.BFT for 2023 is 6.18. The UK's catches in 2022 were 0.t . The UK is permitted to transfer a maximum of 100% of 2022 Initial Quota to 2023. When the UK's carry over amount is combined with the UK's TAC for 2023. The adjusted quota for 2023 is 12.36t. </t>
  </si>
  <si>
    <t>TÜRKIYE</t>
  </si>
  <si>
    <t>ALBMed</t>
  </si>
  <si>
    <t>(*)</t>
  </si>
  <si>
    <t>(*) Türkiye transfers to EU 75 t in 2023, 75 t in 2024 and for the following years, any part of the ünüsed qüota üp to maximüm of 75 t.</t>
  </si>
  <si>
    <t>Adjusted limit for 2023 = 711.5  + (.25)(711.5) = 889.38</t>
  </si>
  <si>
    <t>Adjusted limit for 2023 = 3907.0 + (0.15)(3907) = 4493.05 t</t>
  </si>
  <si>
    <t>Adjusted limit for 2023 = 100.0 - (100 t (Namibia (50 t), Cote d'Ivoire (25 t), Belize (25 t)) + 100.0</t>
  </si>
  <si>
    <t>Adjusted limit for 2023 = 1341.14 + 106.54 = 1447.68 t****</t>
  </si>
  <si>
    <t>Initial quota/catch limit includes 25 t allocation for by-catch, as per Rec. 16-08 para 6a, Rec. 17-06 para 6a, Rec. 20-06 Para 1(4), Rec. 21-07 Para 1(D), and Rec. 22-10 para 5a.</t>
  </si>
  <si>
    <t>=10340+1005</t>
  </si>
  <si>
    <t>2023 adjusted quota is 11345.00 t (=10340+1005) due to the inclusion of 2021 underage and 2023 initial catch quota + 0 t (Rec. 22-06 Para 4b) as complement from total underage from the TAC</t>
  </si>
  <si>
    <t xml:space="preserve">In 2020 the underharvest for the EU was of 325,97 t, which is less than the maximum allowed 5% provided in Rec 19-04. Therefore, the EU is entitled to carry over  325,97 t to 2021. </t>
  </si>
  <si>
    <t>Limit 2021 + MAX5% 2020 (325.97) - 48.40 to UK</t>
  </si>
  <si>
    <t>Limit 2022 + MAX5% 2021 (573.90) - 48.40 to UK</t>
  </si>
  <si>
    <t>In Addition, the EU will transfer to United Kingdom 0,25% of its initial quota (corresponding to 19360 t) in 2021 and 2022. (48.40t)</t>
  </si>
  <si>
    <t xml:space="preserve">In 2021 the underharvest for the EU was of 573.90 t, which is less than the maximum allowed 5% provided in Rec 19-04. Therefore, the EU is entitled to carry over  573.90 t to 2022 if the current management arrangments are maintained. In Addition, the EU will transfer to United Kingdom 48,40t in 2022. </t>
  </si>
  <si>
    <t>Limit 2023+limit 2021*0,10</t>
  </si>
  <si>
    <t>In 2021 the underharvest for the EU was of 548,06 t, which is greater than the maximum allowed 10% provided in Rec 22-04. Therefore, the EU is entitled to carry over  482.4 t to 2023</t>
  </si>
  <si>
    <t>Limit 2023 +  10% Limit 2021</t>
  </si>
  <si>
    <t>2023 Limit - 2t</t>
  </si>
  <si>
    <t>50 + Balance 2020</t>
  </si>
  <si>
    <t>50 + Balance 2021</t>
  </si>
  <si>
    <t xml:space="preserve">
**Underage up to 40% of the initial catch quota has been carried over biennially Rec.17-02. Quota calculated from 2018 on</t>
  </si>
  <si>
    <t>2023 = Initial allocation + SPM transfer (5.18) + underharvest from 2022 (39.59) + Mexican transfer (60t)</t>
  </si>
  <si>
    <t>2023= 149.34+62.78-transfer to Canada (60t) por Rec. 22-10</t>
  </si>
  <si>
    <t>JAPAN-BUM:Japan's 2024 adjusted limit = 328.1t - overharvest 2022</t>
  </si>
  <si>
    <t>= 140 + MAX 25% IQ 2020</t>
  </si>
  <si>
    <t>= 170 + MAX 25% IQ 2021</t>
  </si>
  <si>
    <t>[6]= Límite de 2022 + 125% BALANCE de 2021</t>
  </si>
  <si>
    <t>[7]= Límite de 2023 + 125% BALANCE de 2022</t>
  </si>
  <si>
    <t>[2]= Límite de 2018 + balance de 2017</t>
  </si>
  <si>
    <t>[3]= Límite de 2019 + balance de 2018</t>
  </si>
  <si>
    <t>[4]= Límite de 2020 + balance de 2019</t>
  </si>
  <si>
    <t>[5]= Límite de 2021 + BALANCE de 2020</t>
  </si>
  <si>
    <t>[6] = 2022 limit + 125% 2021 Balance</t>
  </si>
  <si>
    <t>[7] = 2023 limit + 125% 2022 Balance</t>
  </si>
  <si>
    <t>SAO TOMÉ AND PRÍNCIPE</t>
  </si>
  <si>
    <t>[2] = 2018 limit + MAX 20% 2017 Balance</t>
  </si>
  <si>
    <t>[3] = 2019 limit + MAX 20% 2018 Balance</t>
  </si>
  <si>
    <t>[1] = 2017 limit + MAX 20% 2016 Balance</t>
  </si>
  <si>
    <t>[4] = 2020 limit + MAX 20% 2019 Balance</t>
  </si>
  <si>
    <t>[5] = 2021 limit</t>
  </si>
  <si>
    <t>(6) Límite ajustado 2022 = Límite 2022 + 125% Saldo 2021</t>
  </si>
  <si>
    <t>(7) Límite ajustado 2023 = Límite 2023 + 125% Saldo 2022</t>
  </si>
  <si>
    <t>* Adjusted limit 2022 = initial limit 2022 (4400) + available balance 2020(not to exceed 25% of initial quota) (874.08) - ZAF will invoke para 4f of the ICCAT Rec. 16-07, supplemented by ICCAT Rec. 21-05 to cover the over shooting of its catch limits (URY: 52.95  BRA: 259.96t)</t>
  </si>
  <si>
    <t>* Adjusted limit 2022 = initial limit 2022 (440) + available balance 2020(not to exceed 25% of initial quota) (110) - 52.95t [ZAF will invoke para 4f of the ICCAT Rec. 16-07, supplemented by ICCAT Rec. 21-05 to cover the over shooting of its catch limits (URY: 52.95  BRA: 259.96t]</t>
  </si>
  <si>
    <t>2022: IQ2022 + 25% MAX2020 - 129.95t [South Africa will invoke para 4f of the ICCAT Rec. 16-07, supplemented by ICCAT Rec. 21-05 to cover the over shooting of its catch limits (URY: 52.95  BRA: 259.96t)]</t>
  </si>
  <si>
    <t>2160+(0.25*2160)-259.96</t>
  </si>
  <si>
    <t>IQ(2015)+BALANCE(2013)</t>
  </si>
  <si>
    <t>IQ(2016)+BALANCE(2014)</t>
  </si>
  <si>
    <t>IQ(2017)+BALANCE(2015)</t>
  </si>
  <si>
    <t>IQ(2018)+BALANCE(2016)</t>
  </si>
  <si>
    <t>IQ(2019)+BALANCE(2017)</t>
  </si>
  <si>
    <t>IQ(2020)+BALANCE(2018)</t>
  </si>
  <si>
    <t>IQ(2021)+BALANCE(2019)</t>
  </si>
  <si>
    <t>IQ(2022)+125% BALANCE(2020)</t>
  </si>
  <si>
    <t>IQ(2023)+125% BALANCE(2021)</t>
  </si>
  <si>
    <t>IQ(2015)+ MAX 20% INITIAL QUOTA(2013)</t>
  </si>
  <si>
    <t>IQ(2016)+ MAX 20% INITIAL QUOTA(2014)</t>
  </si>
  <si>
    <t>IQ(2017)+MAX 20% INITIAL QUOTA(2015)</t>
  </si>
  <si>
    <t>*Belize is carrying forward 25% of its initial balance (62.5 t) from its balance of 299.76 in 2022 to be used in 2024.   As total 2022 underage is only 153.83t, pro rata carry over is 3.72t</t>
  </si>
  <si>
    <t>Adjusted limit for 2024=initial quota(240) +  2.98. As total 2022 underage is only 153.83t, pro rata carry over is 2.98t</t>
  </si>
  <si>
    <t>=10340+139.98</t>
  </si>
  <si>
    <t>=120+1.49</t>
  </si>
  <si>
    <t>2024 adjusted quota is 120+1.49 due to the inclusion of 2022 underage and 2024 initial catch quota.  As total 2022 underage is only 153.83t, pro rata carry over is 1.49</t>
  </si>
  <si>
    <t>2.08+170</t>
  </si>
  <si>
    <t xml:space="preserve"> As total 2022 underage is only 153.83t, pro rata carry over is 2.08t</t>
  </si>
  <si>
    <t>= 170 + 2.08</t>
  </si>
  <si>
    <t>=IQ2024+1.49</t>
  </si>
  <si>
    <t>2024: The UK's balance for 2022 was 125t,  As total 2022 underage is only 153.83t, pro rata carry over is 1.49t</t>
  </si>
  <si>
    <t>(1) Actual catch amount made by Türkiye in 2022 correspond to 2294.85 t (out of 2305 t). 10.15 t of underharvest from the year 2022 is to be carried-over. Adjusted quota for 2023 = 2600 t (Quota) +10.15 t (carried-over amount) + (440.79+67.08) from EGY + 128 from SYR = 3246.02</t>
  </si>
  <si>
    <t>(1) Curacao agreed on a payback plan for blue marlin of 2.5 tons per year from 2022 on. First year 2.53t. (Approved)</t>
  </si>
  <si>
    <t>*Senegal agreed on a payback plan for 2020 bigeye overharvest of 1377.77 t: 137.77 tons per year from 2023 to 2032 on. (Approved)</t>
  </si>
  <si>
    <t>The overharvest of bigeye tuna of 1,587.34 t for 2022 shall be paid back over a period of 5 years, from 2024 to 2028, in the following way: 2024: 355.34 t 2025 to 2028: 308 t</t>
  </si>
  <si>
    <t>IQ2024- 355.34</t>
  </si>
  <si>
    <t>IQ2027 -308</t>
  </si>
  <si>
    <t>IQ2028 -308</t>
  </si>
  <si>
    <r>
      <t>Data obtained from Task 1 whenever no data was reported in the Compliance Tables are shown in</t>
    </r>
    <r>
      <rPr>
        <sz val="11"/>
        <rFont val="Cambria"/>
        <family val="1"/>
      </rPr>
      <t xml:space="preserve"> </t>
    </r>
    <r>
      <rPr>
        <b/>
        <sz val="11"/>
        <rFont val="Cambria"/>
        <family val="1"/>
      </rPr>
      <t>bold</t>
    </r>
    <r>
      <rPr>
        <b/>
        <sz val="10"/>
        <rFont val="Cambria"/>
        <family val="1"/>
      </rPr>
      <t xml:space="preserve"> / </t>
    </r>
    <r>
      <rPr>
        <sz val="10"/>
        <rFont val="Cambria"/>
        <family val="1"/>
      </rPr>
      <t xml:space="preserve">Les données obtenues dans le cadre de la tâche 1 lorsqu'aucune donnée n'a été déclarée dans les tableaux d’application figurent en </t>
    </r>
    <r>
      <rPr>
        <b/>
        <sz val="11"/>
        <rFont val="Cambria"/>
        <family val="1"/>
      </rPr>
      <t>gras</t>
    </r>
    <r>
      <rPr>
        <sz val="10"/>
        <rFont val="Cambria"/>
        <family val="1"/>
      </rPr>
      <t xml:space="preserve"> / En </t>
    </r>
    <r>
      <rPr>
        <b/>
        <sz val="11"/>
        <rFont val="Cambria"/>
        <family val="1"/>
      </rPr>
      <t>negrita</t>
    </r>
    <r>
      <rPr>
        <sz val="10"/>
        <rFont val="Cambria"/>
        <family val="1"/>
      </rPr>
      <t xml:space="preserve"> datos obtenidos de Tarea I cuando no se han reportado datos en las tablas de Cumplimiento</t>
    </r>
  </si>
  <si>
    <t>Quota ajustée 2024: 362,50 tonnes  = quota initial alloué au Maroc 2024 (302 t) + 60,50 tonnes ( reliquat= 25% du quota initial 2022 (242 tonnes) ). Rec ICCAT 21-04, 23-05</t>
  </si>
  <si>
    <t>2024: For 2024 the UK's intial quota is 752.8t of N.ALB. The UK's catches in 2022 were 125.35. Consequently the UK has a remaining balance of 370.65t. The UK is allowed to carry over unused quota to 2024 at the max carry over rate of 25% of its IQ2022 (110.56). When the 25% is applied to the IQ2022 and the quota for 2024 is added, the adjusted quota for 2024 is 863.36t</t>
  </si>
  <si>
    <t>GRENADA</t>
  </si>
  <si>
    <t>IQ(2017)+BALANCE(2016)</t>
  </si>
  <si>
    <t>IQ(2018)+BALANCE(2017)</t>
  </si>
  <si>
    <t>IQ(2019)+BALANCE(2018)</t>
  </si>
  <si>
    <t>IQ(2020)+BALANCE(2019)</t>
  </si>
  <si>
    <t>IQ(2021)+BALANCE(2020)</t>
  </si>
  <si>
    <t>IQ(2022)+125% BALANCE(2021)</t>
  </si>
  <si>
    <t>IQ(2023)+125% BALANCE(2022)</t>
  </si>
  <si>
    <t>IQ(2022)+ BALANCE(2021)</t>
  </si>
  <si>
    <t>IQ(2023)+ BALANCE(2022)</t>
  </si>
  <si>
    <t>Limit 2023 + MAX5% 2022 (973t)</t>
  </si>
  <si>
    <t>Pour l'année 2022 , le quota ajusté est de 2679.72  ( le quota initial 2655T+quota non consommé  des prises accessoires 2021 (24,72T), les prises réalisées par les senneurs  en 2022 est de 2652,762 t , les prises accessoires ( 26,55T) n'ont pas encore été arrétées</t>
  </si>
  <si>
    <t>(1) In accordance with Rec. 19-04 Para 10, Syria will transfer 79.2 t to Tunisia to be caught by vessel (MOHAMED ESSADOK,  AT000TUN00051) for only this fishing season 2021</t>
  </si>
  <si>
    <t>(2) In accordance with Rec. 22-08 Para 8, Syria will transfer 128t to TUR to be caught by vessel (Tuncay Sagun 2	AT000TUR00455) for only this fishing season 2023</t>
  </si>
  <si>
    <t>(3) In accordance with Rec. 22-08 Para 8, Syria will transfer 128t to TUR to be caught by vessels (BANDIRMA BALIKÇILIK AT000TUR08044 39630 kg, KORKMAZLAR BALIKÇILIK AT000TUR07905 88370 kg) for only this fishing season 2024</t>
  </si>
  <si>
    <t>2024 adjusted limit: Egypt intends to transfer 507.87 ton from its quota to Türkiye</t>
  </si>
  <si>
    <t>(2) Adjusted quota for 2024 = 2600 t (Quota) -35.13t overharvest in 2023 + 128t from SYR + 507.87t from EGY = 3200.74t</t>
  </si>
  <si>
    <t>2024 adjusted quota is 51 t (=101-50) due to the transfer of 50t to Korea.</t>
  </si>
  <si>
    <t>Quota ajustée 2025: 362,50 tonnes  = quota initial alloué au Maroc 2024 (302 t) + 60,50 tonnes ( reliquat= 25% du quota initial 2022 (242 tonnes) ). Rec ICCAT 21-04, 23-05</t>
  </si>
  <si>
    <t>Quota ajusté 2024:  1261,83 tonnes = quota initial alloué au Maroc (850 t) + 18,81 t (reliquat= 15% du quota initial 2022 (850 t) + 150 t (transférées par le Japon au Maroc)+20 t (transférée par le Taipei Chinois)+ 25 t (transférée par le Trinité-et-Tobago) + 200 T (Transfrt des Etats Unies dés la soumission du plan de pêche). Rec ICCAT 21-02, 23-04</t>
  </si>
  <si>
    <t>Quota ajusté 2025: 1272,43 tonnes = quota initial alloué au Maroc (850 t) + 27,43 t (reliquat= 15% du quota initial 2022 (850 t) + 150 t (transférées par le Japon au Maroc)+20 t (transférée par le Taipei Chinois)+ 25 t (transférée par le Trinité-et-Tobago) + 200 T (Transfrt des Etats Unies dés la soumission du plan de pêche). Rec ICCAT 21-02, 23-04</t>
  </si>
  <si>
    <t>Quota ajustée 2024: 3739 tonnes = quota initial alloué au Maroc 2024 (3700 t) + 39 tonnes (reliquat de l'année 2023) Rec. 22-08, 23-06</t>
  </si>
  <si>
    <t>2015 = Initial allocation + Mexican transfer (86.50) + underage from 2014 (24.4)</t>
  </si>
  <si>
    <t>2016 = Initial allocation  + mexican transfer (51.98) + underage from 2014 (30.03)</t>
  </si>
  <si>
    <t>2017 = Initial allocation  + 55.98 (transfer from MEX) Rec. 16-08 + underharvest from 2016 (MAX 10% IQ 2016)</t>
  </si>
  <si>
    <t>2024 adjusted quota is 6425.33 t (=5521.1+4416.9*0.25-200)  due to the inclusion of 2022 underage and 2024 initial catch quota and the deduction of transfers of 200 t to Belize.</t>
  </si>
  <si>
    <t>=5521.1+4416.9*0.25-200</t>
  </si>
  <si>
    <t xml:space="preserve">2024 adjusted quota is 323 t (=270+270*40%-35-20) due to the inclusion of 2022 underage and 2024 initial catch quota and the deduction of respective transfers of 35 t to Canada and 20 t to Morocco. </t>
  </si>
  <si>
    <t>11 : limite 2024 + 25% quota de capture initial 2023 (REC 23-05)</t>
  </si>
  <si>
    <t>8 : limite 2022 + 40% limite de capture initiale (Rec.21-02) + 40 tonnes transférées de l'Union Européenne (REC 17-02)=40+(40*0.4)+40=96</t>
  </si>
  <si>
    <t>7 : limite 2021 + 40% limite de capture initiale (Rec.20-02) + 40 tonnes transférées de l'Union Européenne (REC 17-02)+ 12,75 tonnes transférées du Vénézuela (REC 17-02)=40+(40*0.4)+40+12.75=108.75</t>
  </si>
  <si>
    <t>6 : limite 2020 + 40% limite de capture initiale (Rec.19-03) + 40 tonnes transférées de l'Union Européenne (REC 17-02)+ 12,75 tonnes transférées du Vénézuela (REC 17-02)=40+(40*0.4)+40+12.75=108.75</t>
  </si>
  <si>
    <t>5 : limite 2019 + 40% limite de capture initiale (Rec.17-02) + 40 tonnes transférées de l'Union Européenne (REC 17-02)+ 12,75 tonnes transférées du Vénézuela (REC 17-02)=40+(40*0.4)+40+12.75=108.75</t>
  </si>
  <si>
    <t>4 : limite 2018 + 40% limite de capture initiale (Rec.17-02) + 40 tonnes transférées de l'Union Européenne (REC 17-02)+ 12,75 tonnes transférées du Vénézuela (REC 17-02)=40+(40*0.4)+40+12.75=108.75</t>
  </si>
  <si>
    <t>10 : limite 2024 + 40% limite de capture initiale (Rec.23-04) + 40 tonnes transférées de l'Union Européenne (REC 17-02)=40+(40*0.4)+40=96</t>
  </si>
  <si>
    <t>10:  limite 2024+ 100% allocation de quota initiale (MAX Solde 2023=4.46) = 6.18+4.46= 10.64</t>
  </si>
  <si>
    <t>2024 = Initial allocation + Mexican transfer (60t) + underharvest from 2023 (53.10)</t>
  </si>
  <si>
    <t>2024 = Initial allocation + transfers (from Senegal 125t, Japan 35t, Chinese Taipe 35t, and the EU 280t) + underage from 2022 (202.2t - max. carry forward)</t>
  </si>
  <si>
    <t>8 (A) = Limit 2023 + Carry over from Balance 2021 MAX. 10%3904.74 (390.47) Rec. 22-01 Para 12</t>
  </si>
  <si>
    <t>ALGERIE</t>
  </si>
  <si>
    <t>Q2024+ max 5%Q2023=2023+23</t>
  </si>
  <si>
    <t>2024: In accordance with paragraph 6 of Rec. 22-08, Algeria requests a transfer of 23 t (1.14%) of its 2023 unused quota to 2024. therefore, the total adjusted national quota will be 2,046 t</t>
  </si>
  <si>
    <t>IQ2024+25%Q2022</t>
  </si>
  <si>
    <t>REC: 17-04, 21-04, 23-05</t>
  </si>
  <si>
    <t>RECs: 17-02, 19-03,21-02,22-03, 23-04</t>
  </si>
  <si>
    <t>IQ(2024)+125% BALANCE(2022)</t>
  </si>
  <si>
    <t xml:space="preserve">Belize is carrying forward 25% of its initial catch limit (60.5t) from its balance of 121.85t in 2023 to be used in 2025. </t>
  </si>
  <si>
    <t xml:space="preserve">*Belize is carrying forward 25% of its initial balance (75 t) from its balance of 362.5 in 2023 to be used in 2025.  </t>
  </si>
  <si>
    <t>*Belize is carrying forward 40% of its initial limit (52 t) from its initial balance of 180.25 t in 2023 to be used in 2025. Transfer of 75 t from Trinidad and Tobago to Belize</t>
  </si>
  <si>
    <t>*Belize is carrying forward 10% of its initial limit (125 t) from its balance of 274.94 t in 2022 to be used in 2024.Transfer of 25 t from USA to Belize. Transfer of 50 t from Brazil to Belize.Transfer of 50 t from Uruguay to Belize</t>
  </si>
  <si>
    <t>*Belize is carrying forward 10% of its initial limit (25 t) from its balance of 245.92 t in 2021 to be used in 2023.Transfer of 25 t from USA to Belize. Transfer of 50 t from Brazil to Belize.Transfer of 50 t from Uruguay to Belize</t>
  </si>
  <si>
    <t>*Belize is carrying forward 10% of its initial limit (125 t) from its balance of 262.5 t in 2023 to be used in 2025.Transfer of 25 t from USA to Belize. Transfer of 50 t from Brazil to Belize.Transfer of 50 t from Uruguay to Belize</t>
  </si>
  <si>
    <t>2024 adjusted quota is 10479.98 t (=10340+139.98) due to the inclusion of 2022 prorata underage and 2024 initial catch quota. As total 2022 underage is only 153.83t, pro rata carry over is 139.98t</t>
  </si>
  <si>
    <t>Adjusted limited for 2024=302(initial quota)+55.88(carryover 2022)=357.88</t>
  </si>
  <si>
    <t>Adjusted limit for 2024=initial quota(100)+available balance of 2022 (100*15%=15t)=115t</t>
  </si>
  <si>
    <t>Adjusted limit for 2024=initial quota(313)+313*10%(carryover 2022)= 344.3</t>
  </si>
  <si>
    <t>Adjusted limite for 2024=initial quota(4426.38)+ (IQ2022) 4226.38*10%+600 ton transfer from Japan=5469.02</t>
  </si>
  <si>
    <t>Límite ajustado para 2024 = 302 + 60,5 = 362,50 t</t>
  </si>
  <si>
    <t>[9]</t>
  </si>
  <si>
    <t>[9]= Límite de 2024 + balance de 2023</t>
  </si>
  <si>
    <t>[8]= Límite de 2024 + 125% BALANCE de 2023</t>
  </si>
  <si>
    <t xml:space="preserve">The underharvest of the EU in 2021 is of 1862,1 t, which corresponds to more than 15% of its 2021 initial catch limit (1007.7t). In line with Rec. 17-02 the EU can carry over 1007.7 t to 2023 if current management arrangments are maintained. The adjusted limit for 2023 takes also into account the transfers to Canada (327t) as provided for in Rec 17-02. </t>
  </si>
  <si>
    <t>Limit 2024 + 2022 balance</t>
  </si>
  <si>
    <t>2023 limit + 0,15*2021 limit -327 CAN</t>
  </si>
  <si>
    <t xml:space="preserve">The underharvest of the EU in 2022 is of 1907,35 t, which corresponds to more than 15% of its 2022 initial catch limit. In line with Rec. 17-02 the EU can carry over 1007.6 t to 2024 if current management arrangements are maintained. The adjusted limit for 2022 takes also into account the transfers to Canada (280) and S. Pierre et Miquelon  (40) as provided for in Rec 17-02. </t>
  </si>
  <si>
    <t xml:space="preserve">In 2022 the underharvest for the EU was of 1282,88 t, which is more than the maximum allowed 10% (482,4t) provided in Rec 22-04. Therefore, the EU is entitled to carry over 482,4 t to 2024 if current management arrangmments are maintained. </t>
  </si>
  <si>
    <t>Limit 2024 +  10% Limit 2022</t>
  </si>
  <si>
    <t>Limit 2024 + MAX5% 2023 (1075,15)</t>
  </si>
  <si>
    <t>In 2022 the underharvest for the EU was of 1034.60 t, which is more than the maximum allowed 5% provided in Rec 22-08. Therefore, the EU is entitled to carry over  973t t to 2023 if the current management arrangments are maintained.</t>
  </si>
  <si>
    <t>In 2023 the underharvest for the EU was of 1371.77 t, which is more than the maximum allowed 5% provided in Rec 22-08. Therefore, the EU is entitled to carry over  1075.15t t to 2024 if the current management arrangments are maintained.</t>
  </si>
  <si>
    <t>Limit 2024+limit 2022*0,10</t>
  </si>
  <si>
    <t>2024 Limit - 2t</t>
  </si>
  <si>
    <t xml:space="preserve">2023 adjusted limit: Egypt intends to transfer 507.87 ton from its quota to Türkiye. Egypt didn’t engage in the BFT fishing season for 2023 due to the transferred amount of 507.87 t from Egypt to Türkiye	</t>
  </si>
  <si>
    <t>ALBM</t>
  </si>
  <si>
    <t>2024 adjusted limit = 2024 limit + 2023 negative balance (-13.73) according to Rec. 00-14</t>
  </si>
  <si>
    <t>(*) LBR has no quota for SWO, adjuted limit = negative balance from previous year - year catches</t>
  </si>
  <si>
    <t>(8)</t>
  </si>
  <si>
    <t>(8) Límite ajustado 2024 = Límite 2024 + Saldo 2023 (hasta MAX 25% Q2023)</t>
  </si>
  <si>
    <t>(8) Límite ajustado 2024 = Límite 2024 + 125% Saldo 2023</t>
  </si>
  <si>
    <t>Adjusted limit for 2024 = 889.4  + (.25)(711.5) = 1067.3*****</t>
  </si>
  <si>
    <t>***** reflects that 25% of the 2023 initial quota may be carried forward to 2024</t>
  </si>
  <si>
    <t>Adjusted limit for 2024 = 3907.0 - (200 t to Morocco) + (0.15)(3907)  = 4293.05 t</t>
  </si>
  <si>
    <t>Adjusted limit for 2024 = 100.0 - (100 t (Namibia (50 t), Cote d'Ivoire (25 t), Belize (25 t)) + 100.0</t>
  </si>
  <si>
    <t>Adjusted limit for 2024 = 1341.14 + 134.11 = 1475.25 t*****</t>
  </si>
  <si>
    <t>*****reflects that 10% of the 2023 initial quota may be carried forward to 2024</t>
  </si>
  <si>
    <t>[8] = 2024 limit + 125% 2023 Balance</t>
  </si>
  <si>
    <t>2023-2026: Brazil transfer 100 t to Japan (according to Para 3a of Rec. 22-06).</t>
  </si>
  <si>
    <t>(1) EU did not inform during the 2023 COMM regarding the amount of their 2022 underage they intend to use in 2024 as stated in Rec. 22-06 Para 4b)</t>
  </si>
  <si>
    <t>(1) Brazil did not inform during the 2023 COMM regarding the amount of their 2022 underage they intend to use in 2024 as stated in Rec. 22-06 Para 4b)</t>
  </si>
  <si>
    <t>2600-100 (1)</t>
  </si>
  <si>
    <t>The applied methodology is described in Recs. 15-03, 16-04, 17-03, 2021-03, 22-04 with reduction of TAC.</t>
  </si>
  <si>
    <t>2014-2022: 50t transferred to Belize (The quota transfers shall be reviewed annually in response to a request from an involved CPC).</t>
  </si>
  <si>
    <t>302+(0.25*242)</t>
  </si>
  <si>
    <t>IQ2025 -308-balance 2023</t>
  </si>
  <si>
    <t>JAPAN-N-ALB:Japan's 2023 adjusted limit = BET 2023 catch * 4.5% (Para8 of Rec21-04)</t>
  </si>
  <si>
    <t>JAPAN-S-ALB: 2024 adjusted limit = 1,630t(Limit)-47.45t(overage in 2022)(Para5 of Rec 22-06)+100(transfer from Brazil (Para 3 of Rec. 22-06))+100(transfer from Uruguay(Para 3 of Rec. 22-06))+100(transfer from South Africa (Para 3 of Rec. 22-06))</t>
  </si>
  <si>
    <t>JAPAN-N-SWO:Japan’s 2023 adjusted limit = 842t(Limit)+1587.81t(2022 carry over(Para 1C of Rec22-03)-150t(transfer to Morocco(Para 1A) of Rec 22-03)-35t (transfer to Canada((Para 1A of Rec. 22-03))-25t(transfer to Mauritania(Para 1A of Rec. 22-03)).</t>
  </si>
  <si>
    <t>JAPAN-N-SWO: adjusted limit in 2018 excluded 100 t transfered to Morocco, and 35 transferred to Canada [Rec. 17-02].</t>
  </si>
  <si>
    <t>JAPAN-S-SWO:Japan's 2024 adjusted limit  = 901t(Limit)+600.00t(2022 carry over(Para1(2) of Rec22-04))-50t(transfer to Namibia(Para5 of Rec.17-03))</t>
  </si>
  <si>
    <t>JAPAN-BIGEYE:Japan's 2024 adjusted limit = 13868.00(Para 4 of Rec.22-01)+1386.8(2022 carry over(13868*10%)(Para12 of Rec22-01)-600(transfer to China (Footnote2 of Para.8  of Rec.22-01))-300(transfer to European Union (Footnote 2 of Para.8 of Rec.22-01))</t>
  </si>
  <si>
    <t>JAPAN-N-BSH:Japan's 2024 adjusted limit = 3,055t(Para3 of Rec23-10)-43t(transfer to Morocco(Para3 of Rec23-10))</t>
  </si>
  <si>
    <t xml:space="preserve">Note: Because the 2023 Japanese fishing season is from August 1, 2023 to July 31,2024, all the figures for the 2023 catches are preliminary and do not include a part of the data in the 2023 fishing season. Japan will submit the final figures before the Compliance Committee in November that include all the catches. </t>
  </si>
  <si>
    <t>2024**</t>
  </si>
  <si>
    <t>(992*0.10)+992 - 223</t>
  </si>
  <si>
    <t>a) According to Recommendation 19-04 paragraph 5, Norway was initially  allocated a quota of 300 tonnes eastern BFT in 2020. Referring to Recommendation 19-04 Paragraph 7, Norway requested in panel 2 to transfer a maximum of 5 % of its 2019 quota to 2020. A total of 49,3 tonnes of the Norwegian catch quota (239 tonnes) was utilised in 2019, and 11,95 tonnes (5 % of 239 tonnes) may, according to Paragraph 7, be transferred to 2020.</t>
  </si>
  <si>
    <t>b) According to Recommendation 20-07 paragraph 1, Norway was initially  allocated a quota of 300 tonnes eastern BFT in 2021. Referring to Recommendation 20-04 Paragraph 2, Norway requested in panel 2 to transfer a maximum of 5 % of its 2020 quota to 2021. A total of 194.39 tonnes of the Adjusted Norwegian catch quota (311.95 tonnes) was utilised in 2020, and 15 tonnes (5 % of 300 tonnes) may, according to Paragraph 2, be transferred to 2021.</t>
  </si>
  <si>
    <t>c) According to Recommendation 21-08 paragraph 5, Norway was initially  allocated a quota of 300 tonnes eastern BFT in 2022. Referring to Recommendation 21-08 Paragraph 7, Norway requested in panel 2 to transfer a maximum of 5 % of its 2021 quota to 2022. A total of 157,68 tonnes of the Adjusted Norwegian catch quota (315 tonnes) was utilised in 2021, and 15 tonnes (5 % of 300 tonnes) may, according to Paragraph 7, be transferred to 2022.</t>
  </si>
  <si>
    <t>d) According to Recommendation 22-08 paragraph 4, Norway was initially  allocated a quota of 368 tonnes eastern BFT in 2023. Referring to Recommendation 22-08 Paragraph 6, Norway requested in panel 2 to transfer a maximum of 5 % of its 2022 quota to 2023. A total of 123,17 tonnes of the Adjusted Norwegian catch quota (315 tonnes) was utilised in 2022, and 15 tonnes (5 % of 300 tonnes) may, according to Paragraph 7, be transferred to 2023.</t>
  </si>
  <si>
    <t>302+(242*0.25)</t>
  </si>
  <si>
    <t>2024= 149.34 + 113.12 - transfer to Canada (60t) por Rec. 22-10</t>
  </si>
  <si>
    <t>In 2024 USA transfers 50t to NAM and JPN transfers 50to to NAM</t>
  </si>
  <si>
    <t>SMAS</t>
  </si>
  <si>
    <t>Retention allowance</t>
  </si>
  <si>
    <t>Adjusted Retention allowance (A)</t>
  </si>
  <si>
    <t>[1] = 2024 limit + 2023 Balance</t>
  </si>
  <si>
    <t>Describe the rationale used in the application of overage / underage: Rec. 22-11 Para 12</t>
  </si>
  <si>
    <t>Limite ajustee 2024= Limite 2024+ max. Solde (Limite 2024*0.4) -transfert Canada (125 t) = 250 + (250 * 0.4) -125= 225 t</t>
  </si>
  <si>
    <t>le calcul du quota ajusté 2024 prend en compte le solde  MAX de 2022 (Limite 2022 * 0,1 = 417*0,1=41.7) auquel est ajouté la limite 2023 de 417 t) ce qui donne (41.7+417=458.70) t</t>
  </si>
  <si>
    <t>* (1)</t>
  </si>
  <si>
    <t>(1) 2025 Adjusted limit considers payback plan and 2023 overharvest</t>
  </si>
  <si>
    <t>* Adjusted limit 2024 = initial limit 2023 (5280) + available balance 2022 (0 as the 2022 overharvest was covered by BRA &amp; URY according to para 4f of the ICCAT Rec. 16-07, supplemented by ICCAT Rec. 21-05 ) -100t transferred to JPN</t>
  </si>
  <si>
    <t>* Adjusted limit 2025 = initial limit 2023 (5280) + available balance 2023(not to exceed 25% of initial quota) (1320) -100t transferred to JPN</t>
  </si>
  <si>
    <t>=1001+10%1001-50</t>
  </si>
  <si>
    <t>=302+(MAX. 25% from 2022 quota= 60.5t)</t>
  </si>
  <si>
    <t>= 170 + MAX 25% IQ 2023</t>
  </si>
  <si>
    <t xml:space="preserve">2024: The 2023 underage is greater than the maximum amount that can be carried over to 2024 (&lt;= 40% of original catch limit); hence the amount carried over is 50 t (0.4*125).Additionally, 75 t and 25 t were transferred to Belize and Morocco respectively; hence 100 is subtracted from the sum of the initial catch limit and the allowed carry over, to arrive at the final adjusted limit of 75 t. </t>
  </si>
  <si>
    <t>The calculation of the adjusted quota for 2022, 2023, 2024 takes into account the transfer of 2 t to Trinidad &amp; Tobago as provided by Rec. 19-05.</t>
  </si>
  <si>
    <t>9(A)=IQ2024+2t EU transfer provided by Rec. 19-05.</t>
  </si>
  <si>
    <t>Pour l'année 2024 le quota ajusté est de 3030  ( le quota initial 3000T+quota non consommé  des prises accessoires 2023 (30T)</t>
  </si>
  <si>
    <t>IQ2025+MAX 25% IQ2023</t>
  </si>
  <si>
    <t>2025: For 2025 the UK's initial quota is 752.8t. The UK's catches in 2023 were 112.47t. As a result the UK has a remaining balance of 438.29. The UK is permitted to carry over to 2025 25% of its intitial 2023 quota which equals 110.56. The quota for 2025 is therefore 752.8+110.56=863.36</t>
  </si>
  <si>
    <t>2025: The UK wishes to carry over 25% of its 2023 quota into 2025, 25% of 120 is 30 with the adjusted quota for 2025 therefore being 120+30=150.</t>
  </si>
  <si>
    <t>=IQ2025+MAX. 0.25*IQ2023</t>
  </si>
  <si>
    <t xml:space="preserve">2024: The UK's adjusted quota for N.ATL SWO is 49.67t in 2022. The UK's catches in 2022 were 3.35t. The UK will bank 40% (14t) of IQ in 2022 and carry this over to 2024. Therefore the adjusted limit in 2024 is 49.67t. </t>
  </si>
  <si>
    <t>2025: The UK will carry over 40% of its 2023 quota 14.7t into 2025 which means 14.7 + 35.67 = 49.94</t>
  </si>
  <si>
    <t>IQ2025+MAX 40% IQ2023</t>
  </si>
  <si>
    <t>=IQ2023+MAX. 0.10*IQ2021</t>
  </si>
  <si>
    <t>=IQ2024+MAX. 0.10*IQ2022</t>
  </si>
  <si>
    <t>=IQ2025+MAX. 0.10*IQ2023</t>
  </si>
  <si>
    <t xml:space="preserve">2024: The UK's quota for S.ATL SWO is 25t  for 2022. The UK's catches in 2022 were 0t, consequently the UK has a remaining balance of 25t. The UK is permitted to transfer a maximum of 10% of unused quota to 2024. When the 10% is applied to the IQ2022 and the quota for 2024 is added, the adjusted quota for 2024 is 27.50t. </t>
  </si>
  <si>
    <t>2025: The UK will carry over 10% of its 2023 quota into 2025 this results in an adjusted quota of 30t. Initial quota of 25+2.5=27.5</t>
  </si>
  <si>
    <t>IQ2025+Max5%IQ2024</t>
  </si>
  <si>
    <t>2024: The UK's initial quota for 2024 was 63t and this was supplemented by 5% of the UK's 2023 quota which equals 3.15 giving a total of 66.15t</t>
  </si>
  <si>
    <t>IQ2025+MAX100%IQ2024</t>
  </si>
  <si>
    <t xml:space="preserve">2024: The UK's initial quota for W.BFT in 2024 is 6.18. The UK can carry over 100% of the 2023 quota over in to 2024 this means 6.18+6.18=12.36. </t>
  </si>
  <si>
    <t>JAPAN-N-SWO: Japan’s 2024 adjusted limit = 842t(Limit)+1723.51t(2023 carry over(Para 1A of Rec23-04))-150t(transfer to Morocco(Para 1A of Rec 23-04))-35t(transfer to Canada(Para 1A of Rec. 23-04))-25t(transfer to Mauritania(Para 1A of Rec. 23-04))</t>
  </si>
  <si>
    <t>JAPAN-S-SWO: Japan's 2025 adjusted limit  = 901t(Limit)+600.00t(2023 carry over(Para 1(2) of Rec22-04))-50t(transfer to Namibia(Para 5 of Rec.17-03))</t>
  </si>
  <si>
    <t>JAPAN-E-BFT: Japan's 2024 adjusted limit = 3114.00t(Limit)(Para 4 of Rec22-08)+70.40t(2023 carry over (Para 6 of Rec. 22-08))</t>
  </si>
  <si>
    <t>JAPAN-N-BSH:Japan's 2025 adjusted limit = 3,055t(Para3 of Rec23-10)-43t(transfer to Morocco(Para3 of Rec23-10))</t>
  </si>
  <si>
    <t>JAPAN-S-SMA: Japan's 2024 adjusted limit = 62t(Para 2 of Rec22-11)</t>
    <phoneticPr fontId="1" type="noConversion"/>
  </si>
  <si>
    <t>JAPAN-W-BFT: Japan's 2024 adjusted limit = 664.52t(Limit)+47.28t(2023 carry over(Para 6 of Rec. 22-10)</t>
  </si>
  <si>
    <t>IQ(2024)+ BALANCE(2023)</t>
  </si>
  <si>
    <t>[1] = 2017 limit + balance 2016</t>
  </si>
  <si>
    <t>[2] = 2018 limit + balance 2017</t>
  </si>
  <si>
    <t>[3] = 2019 limit + balance 2018</t>
  </si>
  <si>
    <t>[4] = 2020 limit + balance 2019</t>
  </si>
  <si>
    <t>[5] = 2021 limit + balance 2020</t>
  </si>
  <si>
    <t>* Adjusted limit 2024 = initial limit 2024 (530) - 100t transferred to JPN. URY did not inform during the 2023 COMM regarding the amount of their 2022 underage they intend to use in 2024 as stated in Rec. 22-06 Para 4b)</t>
  </si>
  <si>
    <t>* Adjusted limit 2025 = initial limit 2025 (530) + available balance 2023 (not to exceed 25% of initial quota) (132.5) - 100t transferred to JPN</t>
  </si>
  <si>
    <t>2025: IQ2025 + 25% MAX2023 - 100t transferred to JPN</t>
  </si>
  <si>
    <t>=120+30</t>
  </si>
  <si>
    <t xml:space="preserve">2025 adjusted quota is 120+30 due to the inclusion of 2023 underage (MAX 25% IQ 2023) and 2025 initial catch quota.  </t>
  </si>
  <si>
    <t>Limit 2025 + 25%  2023 limit</t>
  </si>
  <si>
    <t>The underharvest of the EU in 2023 was of 2090.79t.  In line with Rec 22-06, the EU is entitled to carry over  441.25 t to 2025, corresponding to 25% of its initial quota for 2023.</t>
  </si>
  <si>
    <t>42.5+170</t>
  </si>
  <si>
    <t>The applied methodology is described in Recs. 13-05, 16-06, 17-04, 20-03/04, 21-04, 23-05</t>
  </si>
  <si>
    <t>New REC 23-05 / annual TAC of 47,251 t is established for the management period 2024-2026. CPCs other than those mentioned in paragraph 6 shall limit their annual catches to 302 t (Brazil).</t>
  </si>
  <si>
    <t xml:space="preserve">2015-2023: 25t transferred to Mauritania (on the condition that Mauritania submit its development plan per paragraph 5 of Re. 22-03). </t>
  </si>
  <si>
    <t>Rec 16-04, 17-03, 22-04: Brazil may harvest up to 200 t of its annual catch limit from SWO_S within the area between 5 degrees North latitude and 15 degrees North latitude</t>
  </si>
  <si>
    <t>New Rec 23-04: Brazil 50 t; Brazil transfer 25 t to Mauritania (2024)</t>
  </si>
  <si>
    <t>50+(0.40*50)-25</t>
  </si>
  <si>
    <t>3940+(0.1*3940)-50</t>
  </si>
  <si>
    <t>Adjusted limit for 2025=initial quota(240)+240*25%(not exceeding the balance of 2023)=300</t>
  </si>
  <si>
    <t>IQ2025+25%Q2023</t>
  </si>
  <si>
    <r>
      <t>2020</t>
    </r>
    <r>
      <rPr>
        <b/>
        <vertAlign val="superscript"/>
        <sz val="10"/>
        <rFont val="Cambria"/>
        <family val="1"/>
      </rPr>
      <t>a</t>
    </r>
  </si>
  <si>
    <r>
      <t>2021</t>
    </r>
    <r>
      <rPr>
        <b/>
        <vertAlign val="superscript"/>
        <sz val="10"/>
        <rFont val="Cambria"/>
        <family val="1"/>
      </rPr>
      <t>b</t>
    </r>
  </si>
  <si>
    <r>
      <t>2022</t>
    </r>
    <r>
      <rPr>
        <b/>
        <vertAlign val="superscript"/>
        <sz val="10"/>
        <rFont val="Cambria"/>
        <family val="1"/>
      </rPr>
      <t>c</t>
    </r>
  </si>
  <si>
    <r>
      <t>2023</t>
    </r>
    <r>
      <rPr>
        <b/>
        <vertAlign val="superscript"/>
        <sz val="10"/>
        <rFont val="Cambria"/>
        <family val="1"/>
      </rPr>
      <t>d</t>
    </r>
  </si>
  <si>
    <t>Adjusted limited for 2025=302(initial quota)+55.93(carryover 2023)=357.93</t>
  </si>
  <si>
    <t>2025 adjusted quota is 6425.33 t (=5521.1+4416.9*0.25-200)  due to the inclusion of 2022 underage and 2024 initial catch quota and the deduction of transfers of 200 t to Belize.</t>
  </si>
  <si>
    <t>Limit 2025 + 2023 balance</t>
  </si>
  <si>
    <t>(9)</t>
  </si>
  <si>
    <t>Adjusted limit for 2025 = 889.4  + (.25)(889,4) = 1111.75******</t>
  </si>
  <si>
    <t>******reflects that 25% of the 2024 initial quota may be carried forward to 2025</t>
  </si>
  <si>
    <t>(9) Límite ajustado 2025 = Límite 2025 + Saldo 2024 (hasta MAX 25% Q2024)</t>
  </si>
  <si>
    <t>Limit 2025 + MAX5% 2023 (1075,15)</t>
  </si>
  <si>
    <t>Limit 2026 + 25%  2024 limit</t>
  </si>
  <si>
    <t>2026*</t>
  </si>
  <si>
    <t>IQ(2025)+125% BALANCE(2023)</t>
  </si>
  <si>
    <t>[9] = 2025 limit + 125% 2024 Balance</t>
  </si>
  <si>
    <t>[9]= Límite de 2025 + 125% BALANCE de 2024</t>
  </si>
  <si>
    <t>IQ(2025)+ BALANCE(2024)</t>
  </si>
  <si>
    <t>(9) Límite ajustado 2025 = Límite 2025 + 125% Saldo 2024</t>
  </si>
  <si>
    <r>
      <t>Limit 202</t>
    </r>
    <r>
      <rPr>
        <sz val="10"/>
        <color rgb="FFFF0000"/>
        <rFont val="Cambria"/>
        <family val="1"/>
      </rPr>
      <t>5</t>
    </r>
    <r>
      <rPr>
        <sz val="10"/>
        <rFont val="Cambria"/>
        <family val="1"/>
      </rPr>
      <t xml:space="preserve"> + MAX5% 2023 (1075,15)</t>
    </r>
  </si>
  <si>
    <t>2025: In accordance with paragraph 6 of Rec. 22-08, Algeria requests a transfer of 29,65 t (1.44%) of its 2024 unused quota to 2025. therefore, the total adjusted national quota will be 2,052,65 t</t>
  </si>
  <si>
    <t>Q2025+ max 5%Q2024=2023+34,65</t>
  </si>
  <si>
    <t>n.a</t>
  </si>
  <si>
    <t>JAPAN-E-BFT: Japan's 2025 adjusted limit = 3114.00t(Limit)(Para 4 of Rec.24-05)+155.7t(2024 carry over (Para 6 of Rec. 24-05))</t>
  </si>
  <si>
    <t>JAPAN-W-BFT: Japan's 2025 adjusted limit = 664.52t(Limit)+19.14t(2024 carry over(Para 6 of Rec. 22-10))</t>
    <phoneticPr fontId="1" type="noConversion"/>
  </si>
  <si>
    <t>221+50+(278.72-273.55)</t>
  </si>
  <si>
    <t>221+50+(276.17-267.99)</t>
  </si>
  <si>
    <t>Quota ajusté 2025: 3870 tonnes = quota initial alloué au Maroc 2025 (3700 t) + 120 tonnes (reliquat de l'année 2024) + 50 t (transféré de la Namibie au Maroc) Rec. 22-08, 23-06</t>
  </si>
  <si>
    <t>Pour l'année 2025, le quota ajusté est de 3030 (le quota initial 3000T+quota non consommé  des prises accessoires 2024 (20,62T)</t>
  </si>
  <si>
    <t>=10340+450+2135-1425.02</t>
  </si>
  <si>
    <t>2025 adjusted quota is 11499.98 t (=10340+450) due to the inclusion of 2023 underage and 2025 initial catch quota + 2135 t (Rec. 22-06 Para 4b) as complement from total underage from the TAC - 1425.02 t (overage in 2024)</t>
  </si>
  <si>
    <t xml:space="preserve">9 : limite 2023 + 40% limite de capture initiale (Rec.22-03) + 40 tonnes transférées de l'Union Européenne (REC 17-02)=40+(40*0.4)+40=96 </t>
  </si>
  <si>
    <t>IQ(2025)+125% BALANCE(2024)</t>
  </si>
  <si>
    <t>Transfer of 200t from Chinese Taipei to Belize in 2022, 2023 and 2024</t>
  </si>
  <si>
    <t>50+(0.40*50)</t>
  </si>
  <si>
    <t>IQ2026 -308-balance 2024</t>
  </si>
  <si>
    <t>SMA</t>
  </si>
  <si>
    <t>2025 = Initial allocation + underharvest from 2024 (49.814)</t>
  </si>
  <si>
    <t>Adjusted limit for 2025=initial quota(111)+available balance of 202 (10t)=121t</t>
  </si>
  <si>
    <t>Adjusted limit for 2025=initial quota(313)+313*10%(carryover 2023)= 344.3</t>
  </si>
  <si>
    <t>Adjusted limit for 2025=initial quota(4624.07)+ (IQ2023)50.15+350 t transfer from Japan=5024.22</t>
  </si>
  <si>
    <t>=270*(1+40%)</t>
  </si>
  <si>
    <t>2025 adjusted quota is 378 t (=270+270*40%) due to the inclusion of 2023 underage and 2025 initial catch quota.</t>
  </si>
  <si>
    <t>No carryover from 2025 underage to 2027 (Rec 22-06, para 5)</t>
  </si>
  <si>
    <t>2024 adjusted quota is 504.9 t (=459 + 459*10%) due to the inclusion of 2023 underage and 2024 initial catch quota.</t>
  </si>
  <si>
    <t>2025 adjusted quota is 504.9 t (=459 + 459*10%) due to the inclusion of 2024 underage and 2025 initial catch quota.</t>
  </si>
  <si>
    <t>'=101-50</t>
  </si>
  <si>
    <t>2025 adjusted quota is 51 t (=101-50) due to the transfer of 50t to Korea.</t>
  </si>
  <si>
    <t>=9226.41+(11679*10%)+223</t>
  </si>
  <si>
    <t>=9226.41+(9226.41*10%)+223</t>
  </si>
  <si>
    <t>2021 adjusted quota is 10671.31 t = 9226.41 (initial quota) + 11679*10% (carry over of 10% of 2019 initial quota pursuant to Rec.19-02) +223 (transfer from Korea)</t>
  </si>
  <si>
    <t>2022 adjusted quota is 10372.05 t = 9226.41 (initial quota) + 9226.41*10% (carry over of 10% of 2020 initial quota pursuant to Rec.21-01) +223 (transfer from Korea).</t>
  </si>
  <si>
    <t>2023 adjusted quota is 10372.05 t = 9226.41 (initial quota) + 9226.41*10% (carry over of 10% of 2021 initial quota pursuant to Rec.22-01) +223 (transfer from Korea).</t>
  </si>
  <si>
    <t>2024 adjusted quota is 10372.05 t = 9226.41 (initial quota) + 9226.41*10% (carry over of 10% of 2022 initial quota pursuant to Rec.23-01) +223 (transfer from Korea).</t>
  </si>
  <si>
    <t>[10]</t>
  </si>
  <si>
    <t>[10]= Límite de 2025 + trasferencia de Estados Unidos (300 t) + balance de 2024</t>
  </si>
  <si>
    <t>50 + Balance 2022</t>
  </si>
  <si>
    <t>2023(***)</t>
  </si>
  <si>
    <t>2024(***)</t>
  </si>
  <si>
    <t>2025(***)</t>
  </si>
  <si>
    <t>2024 limit + 0,15*2022 limit - 40t SPM -280 CAN</t>
  </si>
  <si>
    <t>2025 limit + 2023 balance - 40t SPM -200 CAN</t>
  </si>
  <si>
    <t xml:space="preserve">Limit 2025 +  2023 balance </t>
  </si>
  <si>
    <t>In 2024, the underharvest for the EU was 1712,73 t, which is more than the maximum allowed 5% provided in the Rec. 22-08. Therefore, the EU is entitled to carry over 1075,15t to 2025 if the current management arrangments are maintained.</t>
  </si>
  <si>
    <t>2025 Limit - 2t</t>
  </si>
  <si>
    <t>9(A) = Limit 2024 + Carry over from Balance 2022 MAX. 10% 393.648 (393.648) Rec. 22-01 Para 12</t>
  </si>
  <si>
    <t>JAPAN-N-ALB: Japan's 2024 adjusted limit = BET 2024 catch * 4.5% (Para 8 of Rec.23-05)</t>
  </si>
  <si>
    <t>JAPAN-N-ALB: Japan's 2025 adjusted limit = BET 2025 catch * 4.5% (Para 8 of Rec.23-05)</t>
  </si>
  <si>
    <t>JAPAN-S-ALB: 2025 adjusted limit = 1,630t(Limit)+259.35t(2023 carry over(Para 4 of Rec. 22-06))+100t(transfer from Brazil (Para 3 of Rec. 22-06))+100t(transfer from Uruguay(Para 3 of Rec. 22-06))+100t(transfer from South Africa (Para 3 of Rec. 22-06))+148.15t(up to 25% of initial quita(407.5-259.35)(Para 4b) of Rec. 22-06))</t>
  </si>
  <si>
    <t>JAPAN-N-SWO: Japan’s 2025 adjusted limit = 842t(Limit)+1,991.26t(2024 carry over(Para 12 of Rec.24-10))-150t(transfer to Morocco(Para 7 of Rec. 24-10))-25t(transfer to Mauritania(Para 7 of Rec. 24-10))</t>
  </si>
  <si>
    <t>JAPAN-BUM: Japan's 2025 adjusted limit = 328.1t(Limit)(Para 2 of Rec.19-05)</t>
  </si>
  <si>
    <t>JAPAN-WHM・SPF: Japan's 2024 adjusted limit =35t(Limit)(Para 2 of Rec.19-05)</t>
  </si>
  <si>
    <t>JAPAN-WHM・SPF: Japan's 2025 adjusted limit =35t(Limit)(Para 2 of Rec.19-05)</t>
  </si>
  <si>
    <t>JAPAN-S-SMA: Japan's 2025 adjusted limit = 62t(Para 2 of Rec.22-11)</t>
  </si>
  <si>
    <t>2025**</t>
    <phoneticPr fontId="24" type="noConversion"/>
  </si>
  <si>
    <t>50+(50*0.4)</t>
    <phoneticPr fontId="1" type="noConversion"/>
  </si>
  <si>
    <t>50+(50*0.1)</t>
    <phoneticPr fontId="1" type="noConversion"/>
  </si>
  <si>
    <t>2025*</t>
    <phoneticPr fontId="1" type="noConversion"/>
  </si>
  <si>
    <t>Quota ajusté 2026: 377,50 tonnes  = quota initial alloué au Maroc 2026 (302 t) + 75,50 tonnes ( reliquat= 25% du quota initial 2024 (302 tonnes) ). Rec ICCAT 21-04, 23-05</t>
  </si>
  <si>
    <t>Quota ajusté 2026: 1488,5 tonnes = quota initial alloué au Maroc (1186 t) + 127,5 t (reliquat= 15% du quota initial 2024 (850 t) + 150 t (transférées par le Japon au Maroc)+ 25 t (transférées par le Trinité-et-Tobago). Rec ICCAT  24-10</t>
  </si>
  <si>
    <t>Quota ajusté 2025: 08 tonnes = quota initial alloué au Maroc 2025 (10t) -02 tonnes (surconsommation). Recommandation ICCAT 19-05/para 3 amendant la Rec 15-05</t>
  </si>
  <si>
    <t>2021=(58.90)</t>
  </si>
  <si>
    <t>2022=(58.90)</t>
  </si>
  <si>
    <t>2023=(58.90)</t>
  </si>
  <si>
    <t>2024=(58.90)</t>
  </si>
  <si>
    <r>
      <t>2024</t>
    </r>
    <r>
      <rPr>
        <b/>
        <vertAlign val="superscript"/>
        <sz val="10"/>
        <rFont val="Cambria"/>
        <family val="1"/>
      </rPr>
      <t>e</t>
    </r>
  </si>
  <si>
    <t>e) According to Recommendation 22-08 paragraph 4, Norway was initially  allocated a quota of 368 tonnes eastern BFT in 2024. Referring to Recommendation 22-08 Paragraph 6, Norway requested in panel 2 to transfer a maximum of 5 % of its 2023 quota to 2024. A total of 117,44 tonnes of the Adjusted Norwegian catch quota (368 tonnes) was utilised in 2023, and 18,4 tonnes (5 % of 368 tonnes) may, according to Paragraph 6, be transferred to 2024.</t>
  </si>
  <si>
    <t>le calcul du quota ajusté 2025 prend en compte le solde  MAX de 2024 (Limite 2024 * 0.2 = 417*0,1=41.7) auquel est ajouté la limite 2025 (417 t) ce qui donne (41,7+417=458,70) t</t>
  </si>
  <si>
    <t>le calcul du quota ajusté 2025 prend en compte le solde  MAX de 2024 (Limite 2024 * 0.2 = 417*0.2=83.4) auquel est ajouté la limite 2025 (417 t) ce qui donne (83.4+417=500.4) t</t>
  </si>
  <si>
    <t>Limite ajustée 2025: limite initiale (2546, t) à laquelle est soustraite 137, 77 t en application pour 2025 du plan de remboursement de 137,77 t sur 10 ans (2023-2032): 1322,73 t-137, 77 t= 2408, 23 t</t>
  </si>
  <si>
    <t>[1] = QI2025-Balance2024</t>
  </si>
  <si>
    <t>* Adjusted limit 2026 = initial limit 2026 (5280) + available balance 2024(not to exceed 25% of initial quota, i.e. max.25% of 5280t = 1320t) (297.7) - 100t transferred to Japan</t>
  </si>
  <si>
    <r>
      <t>From 2016 to</t>
    </r>
    <r>
      <rPr>
        <sz val="10"/>
        <color rgb="FFFF0000"/>
        <rFont val="Cambria"/>
        <family val="1"/>
      </rPr>
      <t xml:space="preserve"> 2024</t>
    </r>
    <r>
      <rPr>
        <sz val="10"/>
        <rFont val="Cambria"/>
        <family val="1"/>
      </rPr>
      <t>, South Africa has transferred 50t to Namibia in accordance with Recs. 16-04/17-03/22-04.</t>
    </r>
  </si>
  <si>
    <t>(**)</t>
  </si>
  <si>
    <t>2026: For 2026 the UK's initial quota is 752.8t. The UK's catches in 2024 were 8.23t. As a result, the UK has a remaining balance of 855.13. The UK is permitted to carry over to 2026 25% of its initial 2024 quota which equals 188.2. The quota for 2026 is therefore 752.8+188.2 = 941</t>
  </si>
  <si>
    <t>2026</t>
  </si>
  <si>
    <t>IQ2026+MAX 25% IQ 2024</t>
  </si>
  <si>
    <t>2026: The UK wishes to carry over 25% of its 2024 quota into 2026, 25% of 120 is 30 with the adjusted quota for 2025 therefore being 120+30=150</t>
  </si>
  <si>
    <t>=IQ2026+MAX. 0.25*IQ2024</t>
  </si>
  <si>
    <t>IQ2025+MAX 40% IQ 2024</t>
  </si>
  <si>
    <t>2026: The UK will carry over 40% of its 2024 quota 14.7t into 2025 which means 14.7 + 35.67 = 49.94</t>
  </si>
  <si>
    <t>2026: The UK will carry over 10% of its 2023 quota into 2025 this results in an adjusted quota of 30t. Initial quota of 25+2.5=27.5</t>
  </si>
  <si>
    <t xml:space="preserve">2025: The UK’s initial quota for 2025 was 63t and this was supplemented by 5% of the UK’s 2024 quota which equals 3.15 giving a total of 66.15t. </t>
  </si>
  <si>
    <t>=IQ2025+MAX. 0.10*IQ2024</t>
  </si>
  <si>
    <t>IQ2026+IQ2025</t>
  </si>
  <si>
    <t>IQ2025+MAX 40% IQ 2025</t>
  </si>
  <si>
    <t xml:space="preserve">2025: The UK's initial quota for BFT-W in 2025 is 6.18. The UK can carry over 100% of the 2024 quota over in to 2025 this means 6.18+6.18=12.36. </t>
  </si>
  <si>
    <t>Adjusted limit for 2025 = 3907.0 - (300 t to Costa Rica) + (0.15)(3907)  = 4193.05 t</t>
  </si>
  <si>
    <t>Adjusted limit for 2025 = 100.0 - (100 t (Namibia (50 t), Cote d'Ivoire (25 t), Belize (25 t)) + 100.0</t>
  </si>
  <si>
    <t>Adjusted limit for 2025 = 1341.14 - 141.18 = 1,199.96 t</t>
  </si>
  <si>
    <t>2025 adjusted quota is 10283.48 t = 9152.6 (initial quota) +9152.6*10% (carry over of 10% of 2022 initial quota pursuant to Rec.22-01) +223 (transfer from Korea).</t>
  </si>
  <si>
    <t>=9151.19+9.48+223</t>
  </si>
  <si>
    <t>Limit 2025+limit 2023*0,10</t>
  </si>
  <si>
    <t>JAPAN-BIGEYE:Japan's 2025 adjusted limit = 13865.86(Para 4 of Rec.22-01)+984.02(2023 carry over)(Para12 of Rec22-01)-350(transfer to China (Para.12 of Rec.24-01))</t>
  </si>
  <si>
    <t>[2] IQ(2025)+125% BALANCE(2024)</t>
  </si>
  <si>
    <t>(1) Límite ajustado en 2026 = Límite 2024 + Saldo 2024 (hasta 25% limite original de 2024)</t>
  </si>
  <si>
    <t>(2) Límite ajustado en 2026 = Límite 2024 + Saldo 2024 (hasta 25% limite original de 2024)</t>
  </si>
  <si>
    <t>JAPAN-N-ALB: Japan's 2026 adjusted limit = BET 2026 catch * 4.5% (Para 8 of Rec.23-05)</t>
    <phoneticPr fontId="1" type="noConversion"/>
  </si>
  <si>
    <t>JAPAN-S-ALB: 2026 adjusted limit = 1,630t(Limit)+21.05t(2024 carry over(Para 4 of Rec. 22-06))+100t(transfer from Brazil (Para 3 of Rec. 22-06))+100t(transfer from Uruguay(Para 3 of Rec. 22-06))+100t(transfer from South Africa (Para 3 of Rec. 22-06))+386.45t(up to 25% of initial quita(407.5-21.05)(Para 4b) of Rec. 22-06))</t>
  </si>
  <si>
    <t>JAPAN-N-SWO: Japan’s 2026 adjusted limit = 842t(Limit)+NAt(2025 carry over(Para 12 of Rec.24-10))-150t(transfer to Morocco(Para 7 of Rec. 24-10))-25t(transfer to Mauritania(Para 7 of Rec. 24-10))</t>
    <phoneticPr fontId="1" type="noConversion"/>
  </si>
  <si>
    <t>JAPAN-N-BSH: Japan's 2026 adjusted limit = 3,055t(Para 3 of Rec.23-10)-43t(transfer to Morocco(Para 3 of Rec.23-10))</t>
    <phoneticPr fontId="1" type="noConversion"/>
  </si>
  <si>
    <t>JAPAN-S-SMA: Japan's 2026 adjusted limit = 62t(Para 2 of Rec.22-11)</t>
    <phoneticPr fontId="1" type="noConversion"/>
  </si>
  <si>
    <t>S-BSH</t>
  </si>
  <si>
    <t>JAPAN-S-BSH: Japan's 2026 adjusted limit = 1,520t (para 4 a) of Rec. 23-11)</t>
  </si>
  <si>
    <t>(3) Adjusted quota for 2025 = 2600 t (Quota) + 128t from SYR = 2728.00t</t>
  </si>
  <si>
    <r>
      <t>2025</t>
    </r>
    <r>
      <rPr>
        <b/>
        <vertAlign val="superscript"/>
        <sz val="10"/>
        <rFont val="Cambria"/>
        <family val="1"/>
      </rPr>
      <t>f</t>
    </r>
  </si>
  <si>
    <t>SWOMed</t>
  </si>
  <si>
    <t>=AQ2024-catches2024+1/2reserve2024</t>
  </si>
  <si>
    <t>=AQ2023-catches2023+1/2reserve2023</t>
  </si>
  <si>
    <t>=1/2reserve2022-catches2022</t>
  </si>
  <si>
    <t>LIBYA</t>
  </si>
  <si>
    <t>=1/2reserve2019-catches2019</t>
  </si>
  <si>
    <t>=AQ2020-catches2020+1/2reserve2020</t>
  </si>
  <si>
    <t>=AQ2021-catches2021+1/2reserve2021</t>
  </si>
  <si>
    <t>=AQ2022-catches2022+1/2reserve2022</t>
  </si>
  <si>
    <t xml:space="preserve">COC-304/25 Annex 1_REV5: APPLICATION OF OVER/UNDERHARVEST / APPLICATION DE SUR/SOUSONSOMMATION / APLICACIÓN DE EXCESO/REMANENTE DE CAPTURA </t>
  </si>
  <si>
    <t>JAPAN-S-SWO: Japan's 2026 adjusted limit  = 901t(Limit)+600.00t(2024 carry over(Para 1(2) of Rec.22-04))-50t(transfer to Namibia(Para 5 of Rec.17-03))</t>
  </si>
  <si>
    <t>JAPAN-BIGEYE: Japan's 2026 adjusted limit = 13,865.86t(Para 6 of Rec.24-01)+4,147.16t(2024 carry over(Para 12 of Rec.22-01))-350t(transfer to China (Para 12 of Rec.24-01))</t>
  </si>
  <si>
    <t>(**) Türkiye transfers to EU 0.05 t in 2025</t>
  </si>
  <si>
    <t>ANGOLA</t>
  </si>
  <si>
    <t>2025**</t>
  </si>
  <si>
    <t>50 + Balance 2023</t>
  </si>
  <si>
    <t>11 : limite 2025 + 40% limite de capture initiale (Rec.23-04) + 40 tonnes transférées de l'Union Européenne (REC 17-02)=40+(40*0.4)+40=96</t>
  </si>
  <si>
    <t>12 : limite 2025 + 25% quota de capture initial 2024 (REC 23-05)</t>
  </si>
  <si>
    <t>2025= 149.34+186.46-transfer to Canada (60t) por Rec. 22-10</t>
  </si>
  <si>
    <t>10(A)=IQ2024+2t EU transfer provided by Rec. 19-05.</t>
  </si>
  <si>
    <t>=1168+10%1168+50+50+50</t>
  </si>
  <si>
    <t>=1168+10%1168+50+50</t>
  </si>
  <si>
    <t>302+(0.25*302)</t>
  </si>
  <si>
    <t xml:space="preserve">*Belize is carrying forward 25% of its initial balance (75 t) from its balance of 302.72 in 2024 to be used in 2026.  </t>
  </si>
  <si>
    <r>
      <t xml:space="preserve">2026: IQ2024 + 25% MAX2024 </t>
    </r>
    <r>
      <rPr>
        <b/>
        <sz val="10"/>
        <color rgb="FFFF0000"/>
        <rFont val="Cambria"/>
        <family val="1"/>
      </rPr>
      <t>- 100t transferred to JPN</t>
    </r>
  </si>
  <si>
    <t xml:space="preserve">2026 adjusted quota is 120+30 due to the inclusion of 2024 underage (MAX 25% IQ 2024) and 2026 initial catch quota.  </t>
  </si>
  <si>
    <t>Adjusted limit for 2026=initial quota(240)+240*25%(not exceeding the balance of 2023)=300</t>
  </si>
  <si>
    <t>The underharvest of the EU in 2024 was of 2065.47t.  In line with Rec 22-06, the EU is entitled to carry over  441.25 t to 2026, corresponding to 25% of its initial quota for 2024.</t>
  </si>
  <si>
    <t>=4320+25%4320</t>
  </si>
  <si>
    <t>* Adjusted limit 2026 = initial limit 2024 (530) + available balance 2023 (not to exceed 25% of initial quota) (132.5) - 100t transferred to JPN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</si>
</sst>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0_-;\-* #,##0_-;_-* &quot;-&quot;_-;_-@_-"/>
    <numFmt numFmtId="43" formatCode="_-* #,##0.00_-;\-* #,##0.00_-;_-* &quot;-&quot;??_-;_-@_-"/>
    <numFmt numFmtId="164" formatCode="0.0_ "/>
    <numFmt numFmtId="165" formatCode="#,##0.00_ "/>
    <numFmt numFmtId="166" formatCode="0.0%"/>
    <numFmt numFmtId="167" formatCode="0.00_);[Red]\(0.00\)"/>
    <numFmt numFmtId="168" formatCode="0.00_);\(0.00\)"/>
    <numFmt numFmtId="169" formatCode="0.000"/>
  </numFmts>
  <fonts count="32" x14ac:knownFonts="1">
    <font>
      <sz val="11"/>
      <color theme="1"/>
      <name val="Calibri"/>
      <family val="2"/>
      <scheme val="minor"/>
    </font>
    <font>
      <sz val="10"/>
      <name val="Arial"/>
      <family val="2"/>
    </font>
    <font>
      <sz val="12"/>
      <name val="Times New Roman"/>
      <family val="1"/>
    </font>
    <font>
      <sz val="10"/>
      <color rgb="FF000000"/>
      <name val="Arial"/>
      <family val="2"/>
    </font>
    <font>
      <sz val="10"/>
      <name val="Arial"/>
      <family val="2"/>
    </font>
    <font>
      <b/>
      <sz val="10"/>
      <name val="Cambria"/>
      <family val="1"/>
    </font>
    <font>
      <sz val="10"/>
      <color rgb="FFFF0000"/>
      <name val="Cambria"/>
      <family val="1"/>
    </font>
    <font>
      <sz val="10"/>
      <color theme="1"/>
      <name val="Cambria"/>
      <family val="1"/>
    </font>
    <font>
      <sz val="10"/>
      <name val="Arial"/>
      <family val="2"/>
    </font>
    <font>
      <sz val="11"/>
      <color theme="1"/>
      <name val="Calibri"/>
      <family val="2"/>
      <scheme val="minor"/>
    </font>
    <font>
      <sz val="8"/>
      <name val="Calibri"/>
      <family val="2"/>
      <scheme val="minor"/>
    </font>
    <font>
      <sz val="10"/>
      <name val="Cambria"/>
      <family val="1"/>
    </font>
    <font>
      <sz val="10"/>
      <name val="Times New Roman"/>
      <family val="1"/>
    </font>
    <font>
      <b/>
      <sz val="10"/>
      <name val="Times New Roman"/>
      <family val="1"/>
    </font>
    <font>
      <vertAlign val="superscript"/>
      <sz val="10"/>
      <name val="Cambria"/>
      <family val="1"/>
    </font>
    <font>
      <sz val="11"/>
      <name val="Times New Roman"/>
      <family val="1"/>
    </font>
    <font>
      <sz val="11"/>
      <name val="Calibri"/>
      <family val="2"/>
      <scheme val="minor"/>
    </font>
    <font>
      <b/>
      <sz val="10"/>
      <name val="Calibri"/>
      <family val="2"/>
      <scheme val="minor"/>
    </font>
    <font>
      <sz val="11"/>
      <name val="Cambria"/>
      <family val="1"/>
    </font>
    <font>
      <b/>
      <sz val="11"/>
      <name val="Cambria"/>
      <family val="1"/>
    </font>
    <font>
      <sz val="10"/>
      <name val="Calibri Light"/>
      <family val="1"/>
      <scheme val="major"/>
    </font>
    <font>
      <strike/>
      <sz val="10"/>
      <name val="Cambria"/>
      <family val="1"/>
    </font>
    <font>
      <b/>
      <sz val="12"/>
      <name val="Cambria"/>
      <family val="1"/>
    </font>
    <font>
      <b/>
      <vertAlign val="superscript"/>
      <sz val="10"/>
      <name val="Cambria"/>
      <family val="1"/>
    </font>
    <font>
      <b/>
      <sz val="10"/>
      <color theme="1"/>
      <name val="Cambria"/>
      <family val="1"/>
    </font>
    <font>
      <b/>
      <sz val="10"/>
      <name val="Cambria"/>
      <family val="1"/>
      <charset val="1"/>
    </font>
    <font>
      <sz val="10"/>
      <name val="Cambria"/>
      <family val="1"/>
      <charset val="1"/>
    </font>
    <font>
      <sz val="11"/>
      <color rgb="FFFF0000"/>
      <name val="Calibri"/>
      <family val="2"/>
      <scheme val="minor"/>
    </font>
    <font>
      <sz val="10"/>
      <color rgb="FFFF0000"/>
      <name val="Times New Roman"/>
      <family val="1"/>
    </font>
    <font>
      <sz val="11"/>
      <color rgb="FFFF0000"/>
      <name val="Cambria"/>
      <family val="1"/>
    </font>
    <font>
      <sz val="10"/>
      <color rgb="FFFF0000"/>
      <name val="Calibri Light"/>
      <family val="1"/>
      <scheme val="major"/>
    </font>
    <font>
      <b/>
      <sz val="10"/>
      <color rgb="FFFF0000"/>
      <name val="Cambria"/>
      <family val="1"/>
    </font>
  </fonts>
  <fills count="2">
    <fill>
      <patternFill patternType="none"/>
    </fill>
    <fill>
      <patternFill patternType="gray125"/>
    </fill>
  </fills>
  <borders count="47">
    <border>
      <left/>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style="thin">
        <color indexed="64"/>
      </left>
      <right/>
      <top/>
      <bottom/>
      <diagonal/>
    </border>
    <border>
      <left style="hair">
        <color indexed="64"/>
      </left>
      <right style="thin">
        <color indexed="64"/>
      </right>
      <top style="thin">
        <color indexed="64"/>
      </top>
      <bottom style="thin">
        <color indexed="64"/>
      </bottom>
      <diagonal/>
    </border>
    <border>
      <left style="thin">
        <color theme="1"/>
      </left>
      <right style="thin">
        <color theme="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thin">
        <color rgb="FF000000"/>
      </right>
      <top/>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style="thin">
        <color rgb="FF000000"/>
      </left>
      <right style="thin">
        <color rgb="FF000000"/>
      </right>
      <top style="thin">
        <color rgb="FF000000"/>
      </top>
      <bottom/>
      <diagonal/>
    </border>
    <border>
      <left/>
      <right/>
      <top style="thin">
        <color rgb="FF000000"/>
      </top>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11">
    <xf numFmtId="0" fontId="0" fillId="0" borderId="0"/>
    <xf numFmtId="0" fontId="1" fillId="0" borderId="0"/>
    <xf numFmtId="0" fontId="1" fillId="0" borderId="0"/>
    <xf numFmtId="0" fontId="1" fillId="0" borderId="0"/>
    <xf numFmtId="0" fontId="3" fillId="0" borderId="0"/>
    <xf numFmtId="0" fontId="4" fillId="0" borderId="0"/>
    <xf numFmtId="0" fontId="8" fillId="0" borderId="0"/>
    <xf numFmtId="0" fontId="1" fillId="0" borderId="0"/>
    <xf numFmtId="41" fontId="9" fillId="0" borderId="0" applyFont="0" applyFill="0" applyBorder="0" applyAlignment="0" applyProtection="0"/>
    <xf numFmtId="38" fontId="1" fillId="0" borderId="0" applyFont="0" applyFill="0" applyBorder="0" applyAlignment="0" applyProtection="0">
      <alignment vertical="center"/>
    </xf>
    <xf numFmtId="0" fontId="9" fillId="0" borderId="0"/>
  </cellStyleXfs>
  <cellXfs count="737">
    <xf numFmtId="0" fontId="0" fillId="0" borderId="0" xfId="0"/>
    <xf numFmtId="0" fontId="17" fillId="0" borderId="0" xfId="0" applyFont="1"/>
    <xf numFmtId="0" fontId="5" fillId="0" borderId="0" xfId="0" applyFont="1"/>
    <xf numFmtId="0" fontId="11" fillId="0" borderId="0" xfId="0" applyFont="1"/>
    <xf numFmtId="0" fontId="11" fillId="0" borderId="0" xfId="0" applyFont="1" applyAlignment="1">
      <alignment wrapText="1"/>
    </xf>
    <xf numFmtId="0" fontId="20" fillId="0" borderId="0" xfId="0" applyFont="1" applyAlignment="1">
      <alignment horizontal="left" wrapText="1"/>
    </xf>
    <xf numFmtId="0" fontId="5" fillId="0" borderId="1" xfId="0" applyFont="1" applyBorder="1"/>
    <xf numFmtId="0" fontId="5" fillId="0" borderId="2" xfId="0" applyFont="1" applyBorder="1"/>
    <xf numFmtId="0" fontId="11" fillId="0" borderId="0" xfId="1" applyFont="1"/>
    <xf numFmtId="0" fontId="5" fillId="0" borderId="4" xfId="0" applyFont="1" applyBorder="1"/>
    <xf numFmtId="0" fontId="11" fillId="0" borderId="1" xfId="0" applyFont="1" applyBorder="1"/>
    <xf numFmtId="0" fontId="11" fillId="0" borderId="4" xfId="0" applyFont="1" applyBorder="1"/>
    <xf numFmtId="2" fontId="11" fillId="0" borderId="4" xfId="0" applyNumberFormat="1" applyFont="1" applyBorder="1"/>
    <xf numFmtId="1" fontId="11" fillId="0" borderId="4" xfId="0" applyNumberFormat="1" applyFont="1" applyBorder="1"/>
    <xf numFmtId="1" fontId="11" fillId="0" borderId="4" xfId="0" applyNumberFormat="1" applyFont="1" applyBorder="1" applyAlignment="1">
      <alignment wrapText="1"/>
    </xf>
    <xf numFmtId="2" fontId="5" fillId="0" borderId="4" xfId="0" applyNumberFormat="1" applyFont="1" applyBorder="1"/>
    <xf numFmtId="0" fontId="11" fillId="0" borderId="7" xfId="0" applyFont="1" applyBorder="1"/>
    <xf numFmtId="0" fontId="11" fillId="0" borderId="15" xfId="0" applyFont="1" applyBorder="1"/>
    <xf numFmtId="0" fontId="11" fillId="0" borderId="34" xfId="0" applyFont="1" applyBorder="1"/>
    <xf numFmtId="0" fontId="11" fillId="0" borderId="36" xfId="0" applyFont="1" applyBorder="1"/>
    <xf numFmtId="0" fontId="17" fillId="0" borderId="36" xfId="0" applyFont="1" applyBorder="1"/>
    <xf numFmtId="0" fontId="5" fillId="0" borderId="37" xfId="0" applyFont="1" applyBorder="1"/>
    <xf numFmtId="0" fontId="11" fillId="0" borderId="6" xfId="0" applyFont="1" applyBorder="1" applyAlignment="1">
      <alignment horizontal="left" wrapText="1"/>
    </xf>
    <xf numFmtId="0" fontId="17" fillId="0" borderId="6" xfId="0" applyFont="1" applyBorder="1"/>
    <xf numFmtId="0" fontId="5" fillId="0" borderId="3" xfId="0" applyFont="1" applyBorder="1"/>
    <xf numFmtId="0" fontId="6" fillId="0" borderId="4" xfId="0" applyFont="1" applyBorder="1"/>
    <xf numFmtId="2" fontId="6" fillId="0" borderId="4" xfId="0" applyNumberFormat="1" applyFont="1" applyBorder="1"/>
    <xf numFmtId="2" fontId="24" fillId="0" borderId="4" xfId="0" applyNumberFormat="1" applyFont="1" applyBorder="1"/>
    <xf numFmtId="1" fontId="24" fillId="0" borderId="4" xfId="0" applyNumberFormat="1" applyFont="1" applyBorder="1" applyAlignment="1">
      <alignment wrapText="1"/>
    </xf>
    <xf numFmtId="0" fontId="11" fillId="0" borderId="38" xfId="0" applyFont="1" applyBorder="1"/>
    <xf numFmtId="0" fontId="11" fillId="0" borderId="39" xfId="0" applyFont="1" applyBorder="1"/>
    <xf numFmtId="0" fontId="17" fillId="0" borderId="33" xfId="0" applyFont="1" applyBorder="1"/>
    <xf numFmtId="0" fontId="11" fillId="0" borderId="0" xfId="0" applyFont="1" applyAlignment="1">
      <alignment horizontal="left" wrapText="1"/>
    </xf>
    <xf numFmtId="0" fontId="5" fillId="0" borderId="6" xfId="0" applyFont="1" applyBorder="1"/>
    <xf numFmtId="0" fontId="11" fillId="0" borderId="6" xfId="0" applyFont="1" applyBorder="1"/>
    <xf numFmtId="0" fontId="6" fillId="0" borderId="0" xfId="0" applyFont="1" applyAlignment="1">
      <alignment horizontal="left" wrapText="1"/>
    </xf>
    <xf numFmtId="0" fontId="11" fillId="0" borderId="5" xfId="0" applyFont="1" applyBorder="1"/>
    <xf numFmtId="0" fontId="11" fillId="0" borderId="2" xfId="0" applyFont="1" applyBorder="1"/>
    <xf numFmtId="0" fontId="6" fillId="0" borderId="2" xfId="0" applyFont="1" applyBorder="1"/>
    <xf numFmtId="0" fontId="11" fillId="0" borderId="12" xfId="0" applyFont="1" applyBorder="1"/>
    <xf numFmtId="0" fontId="6" fillId="0" borderId="10" xfId="0" applyFont="1" applyBorder="1"/>
    <xf numFmtId="0" fontId="11" fillId="0" borderId="11" xfId="0" applyFont="1" applyBorder="1"/>
    <xf numFmtId="0" fontId="6" fillId="0" borderId="11" xfId="0" applyFont="1" applyBorder="1"/>
    <xf numFmtId="0" fontId="6" fillId="0" borderId="6" xfId="0" applyFont="1" applyBorder="1"/>
    <xf numFmtId="0" fontId="6" fillId="0" borderId="3" xfId="0" applyFont="1" applyBorder="1"/>
    <xf numFmtId="0" fontId="6" fillId="0" borderId="0" xfId="0" applyFont="1"/>
    <xf numFmtId="0" fontId="11" fillId="0" borderId="8" xfId="0" applyFont="1" applyBorder="1"/>
    <xf numFmtId="0" fontId="11" fillId="0" borderId="9" xfId="0" applyFont="1" applyBorder="1"/>
    <xf numFmtId="0" fontId="11" fillId="0" borderId="3" xfId="0" applyFont="1" applyBorder="1"/>
    <xf numFmtId="0" fontId="11" fillId="0" borderId="0" xfId="0" applyFont="1" applyAlignment="1">
      <alignment vertical="center"/>
    </xf>
    <xf numFmtId="0" fontId="16" fillId="0" borderId="0" xfId="0" applyFont="1"/>
    <xf numFmtId="0" fontId="11" fillId="0" borderId="4" xfId="0" applyFont="1" applyBorder="1" applyAlignment="1">
      <alignment vertical="center"/>
    </xf>
    <xf numFmtId="0" fontId="11" fillId="0" borderId="4" xfId="0" applyFont="1" applyBorder="1" applyAlignment="1">
      <alignment horizontal="right" vertical="center"/>
    </xf>
    <xf numFmtId="0" fontId="11" fillId="0" borderId="36" xfId="0" applyFont="1" applyBorder="1" applyAlignment="1">
      <alignment vertical="center"/>
    </xf>
    <xf numFmtId="0" fontId="16" fillId="0" borderId="36" xfId="0" applyFont="1" applyBorder="1"/>
    <xf numFmtId="0" fontId="16" fillId="0" borderId="37" xfId="0" applyFont="1" applyBorder="1"/>
    <xf numFmtId="0" fontId="11" fillId="0" borderId="12" xfId="0" applyFont="1" applyBorder="1" applyAlignment="1">
      <alignment vertical="center"/>
    </xf>
    <xf numFmtId="0" fontId="16" fillId="0" borderId="10" xfId="0" applyFont="1" applyBorder="1"/>
    <xf numFmtId="0" fontId="11" fillId="0" borderId="6" xfId="0" applyFont="1" applyBorder="1" applyAlignment="1">
      <alignment vertical="center"/>
    </xf>
    <xf numFmtId="0" fontId="16" fillId="0" borderId="6" xfId="0" applyFont="1" applyBorder="1"/>
    <xf numFmtId="0" fontId="16" fillId="0" borderId="3" xfId="0" applyFont="1" applyBorder="1"/>
    <xf numFmtId="0" fontId="11" fillId="0" borderId="8" xfId="0" applyFont="1" applyBorder="1" applyAlignment="1">
      <alignment vertical="center"/>
    </xf>
    <xf numFmtId="0" fontId="11" fillId="0" borderId="35" xfId="0" applyFont="1" applyBorder="1"/>
    <xf numFmtId="0" fontId="11" fillId="0" borderId="37" xfId="0" applyFont="1" applyBorder="1"/>
    <xf numFmtId="0" fontId="11" fillId="0" borderId="10" xfId="0" applyFont="1" applyBorder="1"/>
    <xf numFmtId="0" fontId="5" fillId="0" borderId="24" xfId="1" applyFont="1" applyBorder="1"/>
    <xf numFmtId="0" fontId="5" fillId="0" borderId="2" xfId="1" applyFont="1" applyBorder="1"/>
    <xf numFmtId="0" fontId="5" fillId="0" borderId="4" xfId="1" applyFont="1" applyBorder="1"/>
    <xf numFmtId="0" fontId="11" fillId="0" borderId="1" xfId="1" applyFont="1" applyBorder="1"/>
    <xf numFmtId="0" fontId="11" fillId="0" borderId="4" xfId="1" applyFont="1" applyBorder="1"/>
    <xf numFmtId="0" fontId="5" fillId="0" borderId="5" xfId="1" applyFont="1" applyBorder="1"/>
    <xf numFmtId="2" fontId="11" fillId="0" borderId="5" xfId="1" applyNumberFormat="1" applyFont="1" applyBorder="1"/>
    <xf numFmtId="2" fontId="11" fillId="0" borderId="4" xfId="1" applyNumberFormat="1" applyFont="1" applyBorder="1"/>
    <xf numFmtId="0" fontId="11" fillId="0" borderId="7" xfId="1" applyFont="1" applyBorder="1"/>
    <xf numFmtId="0" fontId="11" fillId="0" borderId="15" xfId="1" applyFont="1" applyBorder="1"/>
    <xf numFmtId="0" fontId="11" fillId="0" borderId="8" xfId="1" applyFont="1" applyBorder="1"/>
    <xf numFmtId="0" fontId="11" fillId="0" borderId="7" xfId="1" applyFont="1" applyBorder="1" applyAlignment="1">
      <alignment horizontal="left"/>
    </xf>
    <xf numFmtId="0" fontId="11" fillId="0" borderId="8" xfId="1" applyFont="1" applyBorder="1" applyAlignment="1">
      <alignment horizontal="left"/>
    </xf>
    <xf numFmtId="0" fontId="12" fillId="0" borderId="12" xfId="0" applyFont="1" applyBorder="1" applyAlignment="1">
      <alignment horizontal="left"/>
    </xf>
    <xf numFmtId="0" fontId="12" fillId="0" borderId="0" xfId="0" applyFont="1" applyAlignment="1">
      <alignment horizontal="left"/>
    </xf>
    <xf numFmtId="0" fontId="11" fillId="0" borderId="0" xfId="1" applyFont="1" applyAlignment="1">
      <alignment horizontal="left"/>
    </xf>
    <xf numFmtId="0" fontId="12" fillId="0" borderId="12" xfId="0" applyFont="1" applyBorder="1"/>
    <xf numFmtId="0" fontId="28" fillId="0" borderId="12" xfId="0" applyFont="1" applyBorder="1"/>
    <xf numFmtId="0" fontId="12" fillId="0" borderId="0" xfId="0" applyFont="1"/>
    <xf numFmtId="0" fontId="12" fillId="0" borderId="11" xfId="0" applyFont="1" applyBorder="1"/>
    <xf numFmtId="0" fontId="11" fillId="0" borderId="6" xfId="1" applyFont="1" applyBorder="1"/>
    <xf numFmtId="0" fontId="28" fillId="0" borderId="0" xfId="0" applyFont="1"/>
    <xf numFmtId="0" fontId="11" fillId="0" borderId="24" xfId="1" applyFont="1" applyBorder="1"/>
    <xf numFmtId="0" fontId="11" fillId="0" borderId="33" xfId="0" applyFont="1" applyBorder="1"/>
    <xf numFmtId="2" fontId="11" fillId="0" borderId="16" xfId="1" applyNumberFormat="1" applyFont="1" applyBorder="1"/>
    <xf numFmtId="0" fontId="11" fillId="0" borderId="32" xfId="0" applyFont="1" applyBorder="1"/>
    <xf numFmtId="0" fontId="11" fillId="0" borderId="25" xfId="1" applyFont="1" applyBorder="1"/>
    <xf numFmtId="0" fontId="11" fillId="0" borderId="34" xfId="1" applyFont="1" applyBorder="1"/>
    <xf numFmtId="0" fontId="11" fillId="0" borderId="36" xfId="1" applyFont="1" applyBorder="1"/>
    <xf numFmtId="0" fontId="11" fillId="0" borderId="12" xfId="1" applyFont="1" applyBorder="1"/>
    <xf numFmtId="0" fontId="11" fillId="0" borderId="11" xfId="1" applyFont="1" applyBorder="1"/>
    <xf numFmtId="2" fontId="11" fillId="0" borderId="1" xfId="1" applyNumberFormat="1" applyFont="1" applyBorder="1"/>
    <xf numFmtId="2" fontId="11" fillId="0" borderId="2" xfId="1" applyNumberFormat="1" applyFont="1" applyBorder="1"/>
    <xf numFmtId="0" fontId="5" fillId="0" borderId="1" xfId="1" applyFont="1" applyBorder="1"/>
    <xf numFmtId="39" fontId="11" fillId="0" borderId="4" xfId="1" applyNumberFormat="1" applyFont="1" applyBorder="1"/>
    <xf numFmtId="39" fontId="11" fillId="0" borderId="2" xfId="1" applyNumberFormat="1" applyFont="1" applyBorder="1"/>
    <xf numFmtId="43" fontId="11" fillId="0" borderId="4" xfId="1" applyNumberFormat="1" applyFont="1" applyBorder="1"/>
    <xf numFmtId="1" fontId="11" fillId="0" borderId="15" xfId="1" applyNumberFormat="1" applyFont="1" applyBorder="1"/>
    <xf numFmtId="0" fontId="5" fillId="0" borderId="11" xfId="1" applyFont="1" applyBorder="1"/>
    <xf numFmtId="0" fontId="5" fillId="0" borderId="3" xfId="1" applyFont="1" applyBorder="1"/>
    <xf numFmtId="0" fontId="5" fillId="0" borderId="16" xfId="1" applyFont="1" applyBorder="1"/>
    <xf numFmtId="168" fontId="11" fillId="0" borderId="4" xfId="1" applyNumberFormat="1" applyFont="1" applyBorder="1"/>
    <xf numFmtId="168" fontId="11" fillId="0" borderId="2" xfId="1" applyNumberFormat="1" applyFont="1" applyBorder="1"/>
    <xf numFmtId="43" fontId="11" fillId="0" borderId="4" xfId="1" applyNumberFormat="1" applyFont="1" applyBorder="1" applyAlignment="1">
      <alignment wrapText="1"/>
    </xf>
    <xf numFmtId="0" fontId="11" fillId="0" borderId="12" xfId="1" applyFont="1" applyBorder="1" applyAlignment="1">
      <alignment horizontal="left"/>
    </xf>
    <xf numFmtId="0" fontId="11" fillId="0" borderId="11" xfId="1" applyFont="1" applyBorder="1" applyAlignment="1">
      <alignment horizontal="left"/>
    </xf>
    <xf numFmtId="0" fontId="11" fillId="0" borderId="6" xfId="1" applyFont="1" applyBorder="1" applyAlignment="1">
      <alignment horizontal="left"/>
    </xf>
    <xf numFmtId="0" fontId="13" fillId="0" borderId="32" xfId="0" applyFont="1" applyBorder="1"/>
    <xf numFmtId="0" fontId="12" fillId="0" borderId="32" xfId="0" applyFont="1" applyBorder="1"/>
    <xf numFmtId="0" fontId="12" fillId="0" borderId="32" xfId="0" applyFont="1" applyBorder="1" applyAlignment="1">
      <alignment horizontal="right"/>
    </xf>
    <xf numFmtId="0" fontId="12" fillId="0" borderId="33" xfId="0" applyFont="1" applyBorder="1"/>
    <xf numFmtId="0" fontId="12" fillId="0" borderId="6" xfId="0" applyFont="1" applyBorder="1"/>
    <xf numFmtId="0" fontId="11" fillId="0" borderId="9" xfId="1" applyFont="1" applyBorder="1"/>
    <xf numFmtId="0" fontId="11" fillId="0" borderId="12" xfId="1" applyFont="1" applyBorder="1" applyAlignment="1">
      <alignment vertical="top"/>
    </xf>
    <xf numFmtId="0" fontId="11" fillId="0" borderId="0" xfId="1" applyFont="1" applyAlignment="1">
      <alignment wrapText="1"/>
    </xf>
    <xf numFmtId="0" fontId="11" fillId="0" borderId="11" xfId="1" applyFont="1" applyBorder="1" applyAlignment="1">
      <alignment vertical="top"/>
    </xf>
    <xf numFmtId="0" fontId="11" fillId="0" borderId="6" xfId="1" applyFont="1" applyBorder="1" applyAlignment="1">
      <alignment vertical="top" wrapText="1"/>
    </xf>
    <xf numFmtId="0" fontId="11" fillId="0" borderId="6" xfId="1" applyFont="1" applyBorder="1" applyAlignment="1">
      <alignment wrapText="1"/>
    </xf>
    <xf numFmtId="0" fontId="11" fillId="0" borderId="0" xfId="0" applyFont="1" applyAlignment="1">
      <alignment horizontal="left"/>
    </xf>
    <xf numFmtId="0" fontId="5" fillId="0" borderId="35" xfId="1" applyFont="1" applyBorder="1"/>
    <xf numFmtId="0" fontId="5" fillId="0" borderId="36" xfId="1" applyFont="1" applyBorder="1"/>
    <xf numFmtId="0" fontId="5" fillId="0" borderId="37" xfId="1" applyFont="1" applyBorder="1"/>
    <xf numFmtId="0" fontId="5" fillId="0" borderId="35" xfId="0" applyFont="1" applyBorder="1"/>
    <xf numFmtId="0" fontId="5" fillId="0" borderId="32" xfId="0" applyFont="1" applyBorder="1"/>
    <xf numFmtId="0" fontId="11" fillId="0" borderId="32" xfId="1" applyFont="1" applyBorder="1"/>
    <xf numFmtId="2" fontId="11" fillId="0" borderId="32" xfId="1" applyNumberFormat="1" applyFont="1" applyBorder="1"/>
    <xf numFmtId="2" fontId="11" fillId="0" borderId="32" xfId="0" applyNumberFormat="1" applyFont="1" applyBorder="1"/>
    <xf numFmtId="2" fontId="11" fillId="0" borderId="32" xfId="1" applyNumberFormat="1" applyFont="1" applyBorder="1" applyAlignment="1">
      <alignment horizontal="right"/>
    </xf>
    <xf numFmtId="43" fontId="11" fillId="0" borderId="32" xfId="1" applyNumberFormat="1" applyFont="1" applyBorder="1"/>
    <xf numFmtId="1" fontId="11" fillId="0" borderId="32" xfId="1" applyNumberFormat="1" applyFont="1" applyBorder="1"/>
    <xf numFmtId="43" fontId="11" fillId="0" borderId="2" xfId="1" applyNumberFormat="1" applyFont="1" applyBorder="1"/>
    <xf numFmtId="0" fontId="11" fillId="0" borderId="5" xfId="1" applyFont="1" applyBorder="1"/>
    <xf numFmtId="0" fontId="11" fillId="0" borderId="2" xfId="1" applyFont="1" applyBorder="1"/>
    <xf numFmtId="0" fontId="11" fillId="0" borderId="0" xfId="1" applyFont="1" applyAlignment="1">
      <alignment horizontal="left" wrapText="1"/>
    </xf>
    <xf numFmtId="0" fontId="11" fillId="0" borderId="7" xfId="0" applyFont="1" applyBorder="1" applyAlignment="1">
      <alignment vertical="center"/>
    </xf>
    <xf numFmtId="0" fontId="11" fillId="0" borderId="10" xfId="0" applyFont="1" applyBorder="1" applyAlignment="1">
      <alignment vertical="center"/>
    </xf>
    <xf numFmtId="0" fontId="6" fillId="0" borderId="6" xfId="0" applyFont="1" applyBorder="1" applyAlignment="1">
      <alignment vertical="center"/>
    </xf>
    <xf numFmtId="0" fontId="5" fillId="0" borderId="5" xfId="0" applyFont="1" applyBorder="1"/>
    <xf numFmtId="169" fontId="11" fillId="0" borderId="0" xfId="0" applyNumberFormat="1" applyFont="1"/>
    <xf numFmtId="0" fontId="5" fillId="0" borderId="4" xfId="0" applyFont="1" applyBorder="1" applyAlignment="1">
      <alignment horizontal="right" vertical="center"/>
    </xf>
    <xf numFmtId="2" fontId="11" fillId="0" borderId="4" xfId="0" applyNumberFormat="1" applyFont="1" applyBorder="1" applyAlignment="1">
      <alignment horizontal="right" vertical="center"/>
    </xf>
    <xf numFmtId="2" fontId="11" fillId="0" borderId="4" xfId="0" applyNumberFormat="1" applyFont="1" applyBorder="1" applyAlignment="1">
      <alignment vertical="center"/>
    </xf>
    <xf numFmtId="0" fontId="11" fillId="0" borderId="15" xfId="0" applyFont="1" applyBorder="1" applyAlignment="1">
      <alignment horizontal="right" vertical="center"/>
    </xf>
    <xf numFmtId="0" fontId="11" fillId="0" borderId="15" xfId="0" applyFont="1" applyBorder="1" applyAlignment="1">
      <alignment vertical="center"/>
    </xf>
    <xf numFmtId="0" fontId="11" fillId="0" borderId="8" xfId="0" applyFont="1" applyBorder="1" applyAlignment="1">
      <alignment horizontal="right" vertical="center"/>
    </xf>
    <xf numFmtId="0" fontId="6" fillId="0" borderId="12" xfId="0" applyFont="1" applyBorder="1"/>
    <xf numFmtId="0" fontId="5" fillId="0" borderId="11" xfId="0" applyFont="1" applyBorder="1"/>
    <xf numFmtId="0" fontId="11" fillId="0" borderId="4" xfId="0" applyFont="1" applyBorder="1" applyAlignment="1">
      <alignment horizontal="left"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xf>
    <xf numFmtId="2" fontId="11" fillId="0" borderId="4" xfId="0" applyNumberFormat="1" applyFont="1" applyBorder="1" applyAlignment="1">
      <alignment horizontal="right" vertical="center" wrapText="1"/>
    </xf>
    <xf numFmtId="2" fontId="11" fillId="0" borderId="4" xfId="0" applyNumberFormat="1" applyFont="1" applyBorder="1" applyAlignment="1">
      <alignment horizontal="right"/>
    </xf>
    <xf numFmtId="0" fontId="11" fillId="0" borderId="15" xfId="0" applyFont="1" applyBorder="1" applyAlignment="1">
      <alignment horizontal="left" vertical="center" wrapText="1"/>
    </xf>
    <xf numFmtId="0" fontId="11" fillId="0" borderId="15" xfId="0" applyFont="1" applyBorder="1" applyAlignment="1">
      <alignment horizontal="center" vertical="center" wrapText="1"/>
    </xf>
    <xf numFmtId="0" fontId="11" fillId="0" borderId="15" xfId="0" applyFont="1" applyBorder="1" applyAlignment="1">
      <alignment horizontal="center"/>
    </xf>
    <xf numFmtId="0" fontId="11" fillId="0" borderId="34" xfId="0" applyFont="1" applyBorder="1" applyAlignment="1">
      <alignment horizontal="left"/>
    </xf>
    <xf numFmtId="0" fontId="11" fillId="0" borderId="12" xfId="0" applyFont="1" applyBorder="1" applyAlignment="1">
      <alignment horizontal="left"/>
    </xf>
    <xf numFmtId="0" fontId="6" fillId="0" borderId="11" xfId="0" applyFont="1" applyBorder="1" applyAlignment="1">
      <alignment horizontal="left"/>
    </xf>
    <xf numFmtId="2" fontId="11" fillId="0" borderId="4" xfId="0" applyNumberFormat="1" applyFont="1" applyBorder="1" applyAlignment="1">
      <alignment horizontal="left" vertical="center" wrapText="1"/>
    </xf>
    <xf numFmtId="0" fontId="11" fillId="0" borderId="16" xfId="0" applyFont="1" applyBorder="1" applyAlignment="1">
      <alignment horizontal="left" vertical="center" wrapText="1"/>
    </xf>
    <xf numFmtId="0" fontId="5" fillId="0" borderId="16" xfId="0" applyFont="1" applyBorder="1" applyAlignment="1">
      <alignment horizontal="center" vertical="center" wrapText="1"/>
    </xf>
    <xf numFmtId="2" fontId="11" fillId="0" borderId="16" xfId="0" applyNumberFormat="1" applyFont="1" applyBorder="1" applyAlignment="1">
      <alignment horizontal="right"/>
    </xf>
    <xf numFmtId="0" fontId="11" fillId="0" borderId="35" xfId="0" applyFont="1" applyBorder="1" applyAlignment="1">
      <alignment horizontal="left" vertical="center" wrapText="1"/>
    </xf>
    <xf numFmtId="0" fontId="5" fillId="0" borderId="35" xfId="0" applyFont="1" applyBorder="1" applyAlignment="1">
      <alignment horizontal="center" vertical="center" wrapText="1"/>
    </xf>
    <xf numFmtId="0" fontId="5" fillId="0" borderId="35" xfId="0" applyFont="1" applyBorder="1" applyAlignment="1">
      <alignment horizontal="center"/>
    </xf>
    <xf numFmtId="0" fontId="11" fillId="0" borderId="16" xfId="0" applyFont="1" applyBorder="1"/>
    <xf numFmtId="0" fontId="6" fillId="0" borderId="6" xfId="0" applyFont="1" applyBorder="1" applyAlignment="1">
      <alignment horizontal="left"/>
    </xf>
    <xf numFmtId="0" fontId="5" fillId="0" borderId="5" xfId="0" applyFont="1" applyBorder="1" applyAlignment="1">
      <alignment horizontal="center"/>
    </xf>
    <xf numFmtId="0" fontId="5" fillId="0" borderId="2" xfId="0" applyFont="1" applyBorder="1" applyAlignment="1">
      <alignment horizontal="center"/>
    </xf>
    <xf numFmtId="2" fontId="11" fillId="0" borderId="5" xfId="0" applyNumberFormat="1" applyFont="1" applyBorder="1" applyAlignment="1">
      <alignment horizontal="right"/>
    </xf>
    <xf numFmtId="2" fontId="11" fillId="0" borderId="2" xfId="0" applyNumberFormat="1" applyFont="1" applyBorder="1" applyAlignment="1">
      <alignment horizontal="right"/>
    </xf>
    <xf numFmtId="49" fontId="11" fillId="0" borderId="4" xfId="0" applyNumberFormat="1" applyFont="1" applyBorder="1" applyAlignment="1">
      <alignment wrapText="1"/>
    </xf>
    <xf numFmtId="49" fontId="11" fillId="0" borderId="2" xfId="0" applyNumberFormat="1" applyFont="1" applyBorder="1" applyAlignment="1">
      <alignment wrapText="1"/>
    </xf>
    <xf numFmtId="0" fontId="11" fillId="0" borderId="8" xfId="0" applyFont="1" applyBorder="1" applyAlignment="1">
      <alignment horizontal="center"/>
    </xf>
    <xf numFmtId="0" fontId="11" fillId="0" borderId="9" xfId="0" applyFont="1" applyBorder="1" applyAlignment="1">
      <alignment horizontal="center"/>
    </xf>
    <xf numFmtId="0" fontId="11" fillId="0" borderId="32" xfId="0" applyFont="1" applyBorder="1" applyAlignment="1">
      <alignment horizontal="center"/>
    </xf>
    <xf numFmtId="0" fontId="11" fillId="0" borderId="6" xfId="0" applyFont="1" applyBorder="1" applyAlignment="1">
      <alignment horizontal="left"/>
    </xf>
    <xf numFmtId="2" fontId="6" fillId="0" borderId="4" xfId="0" applyNumberFormat="1" applyFont="1" applyBorder="1" applyAlignment="1">
      <alignment horizontal="right"/>
    </xf>
    <xf numFmtId="0" fontId="11" fillId="0" borderId="4" xfId="0" quotePrefix="1" applyFont="1" applyBorder="1"/>
    <xf numFmtId="0" fontId="11" fillId="0" borderId="4" xfId="0" quotePrefix="1" applyFont="1" applyBorder="1" applyAlignment="1">
      <alignment wrapText="1"/>
    </xf>
    <xf numFmtId="0" fontId="6" fillId="0" borderId="9" xfId="0" applyFont="1" applyBorder="1" applyAlignment="1">
      <alignment horizontal="center" vertical="center" wrapText="1"/>
    </xf>
    <xf numFmtId="0" fontId="11" fillId="0" borderId="39" xfId="0" applyFont="1" applyBorder="1" applyAlignment="1">
      <alignment horizontal="center"/>
    </xf>
    <xf numFmtId="2" fontId="11" fillId="0" borderId="35" xfId="0" applyNumberFormat="1" applyFont="1" applyBorder="1" applyAlignment="1">
      <alignment horizontal="right"/>
    </xf>
    <xf numFmtId="2" fontId="11" fillId="0" borderId="5" xfId="0" applyNumberFormat="1" applyFont="1" applyBorder="1"/>
    <xf numFmtId="2" fontId="11" fillId="0" borderId="2" xfId="0" applyNumberFormat="1" applyFont="1" applyBorder="1"/>
    <xf numFmtId="49" fontId="11" fillId="0" borderId="4" xfId="0" applyNumberFormat="1" applyFont="1" applyBorder="1"/>
    <xf numFmtId="49" fontId="11" fillId="0" borderId="2" xfId="0" applyNumberFormat="1" applyFont="1" applyBorder="1"/>
    <xf numFmtId="49" fontId="6" fillId="0" borderId="4" xfId="0" applyNumberFormat="1" applyFont="1" applyBorder="1" applyAlignment="1">
      <alignment wrapText="1"/>
    </xf>
    <xf numFmtId="0" fontId="6" fillId="0" borderId="4" xfId="0" quotePrefix="1" applyFont="1" applyBorder="1" applyAlignment="1">
      <alignment wrapText="1"/>
    </xf>
    <xf numFmtId="0" fontId="6" fillId="0" borderId="32" xfId="0" applyFont="1" applyBorder="1" applyAlignment="1">
      <alignment horizontal="center"/>
    </xf>
    <xf numFmtId="0" fontId="11" fillId="0" borderId="4" xfId="0" applyFont="1" applyBorder="1" applyAlignment="1">
      <alignment wrapText="1"/>
    </xf>
    <xf numFmtId="0" fontId="6" fillId="0" borderId="12" xfId="0" applyFont="1" applyBorder="1" applyAlignment="1">
      <alignment horizontal="left"/>
    </xf>
    <xf numFmtId="0" fontId="11" fillId="0" borderId="4" xfId="0" applyFont="1" applyBorder="1" applyAlignment="1">
      <alignment horizontal="center"/>
    </xf>
    <xf numFmtId="0" fontId="12" fillId="0" borderId="1" xfId="0" applyFont="1" applyBorder="1"/>
    <xf numFmtId="0" fontId="13" fillId="0" borderId="4" xfId="0" applyFont="1" applyBorder="1"/>
    <xf numFmtId="0" fontId="13" fillId="0" borderId="5" xfId="0" applyFont="1" applyBorder="1"/>
    <xf numFmtId="0" fontId="13" fillId="0" borderId="2" xfId="0" applyFont="1" applyBorder="1"/>
    <xf numFmtId="0" fontId="1" fillId="0" borderId="0" xfId="0" applyFont="1"/>
    <xf numFmtId="2" fontId="12" fillId="0" borderId="4" xfId="0" applyNumberFormat="1" applyFont="1" applyBorder="1" applyAlignment="1">
      <alignment horizontal="right" vertical="center"/>
    </xf>
    <xf numFmtId="2" fontId="12" fillId="0" borderId="2" xfId="0" applyNumberFormat="1" applyFont="1" applyBorder="1" applyAlignment="1">
      <alignment horizontal="right" vertical="center"/>
    </xf>
    <xf numFmtId="0" fontId="12" fillId="0" borderId="4" xfId="0" applyFont="1" applyBorder="1" applyAlignment="1">
      <alignment horizontal="right"/>
    </xf>
    <xf numFmtId="2" fontId="12" fillId="0" borderId="4" xfId="0" applyNumberFormat="1" applyFont="1" applyBorder="1" applyAlignment="1">
      <alignment horizontal="right"/>
    </xf>
    <xf numFmtId="0" fontId="12" fillId="0" borderId="5" xfId="0" applyFont="1" applyBorder="1" applyAlignment="1">
      <alignment horizontal="right"/>
    </xf>
    <xf numFmtId="0" fontId="12" fillId="0" borderId="2" xfId="0" applyFont="1" applyBorder="1" applyAlignment="1">
      <alignment horizontal="right"/>
    </xf>
    <xf numFmtId="0" fontId="12" fillId="0" borderId="7" xfId="0" applyFont="1" applyBorder="1"/>
    <xf numFmtId="0" fontId="12" fillId="0" borderId="15" xfId="0" applyFont="1" applyBorder="1" applyAlignment="1">
      <alignment horizontal="right"/>
    </xf>
    <xf numFmtId="0" fontId="12" fillId="0" borderId="8" xfId="0" applyFont="1" applyBorder="1" applyAlignment="1">
      <alignment horizontal="right"/>
    </xf>
    <xf numFmtId="0" fontId="12" fillId="0" borderId="9" xfId="0" applyFont="1" applyBorder="1" applyAlignment="1">
      <alignment horizontal="right"/>
    </xf>
    <xf numFmtId="0" fontId="12" fillId="0" borderId="8" xfId="0" applyFont="1" applyBorder="1"/>
    <xf numFmtId="0" fontId="12" fillId="0" borderId="9" xfId="0" applyFont="1" applyBorder="1"/>
    <xf numFmtId="0" fontId="12" fillId="0" borderId="10" xfId="0" applyFont="1" applyBorder="1"/>
    <xf numFmtId="0" fontId="12" fillId="0" borderId="3" xfId="0" applyFont="1" applyBorder="1"/>
    <xf numFmtId="2" fontId="12" fillId="0" borderId="4" xfId="0" applyNumberFormat="1" applyFont="1" applyBorder="1" applyAlignment="1">
      <alignment vertical="center"/>
    </xf>
    <xf numFmtId="2" fontId="12" fillId="0" borderId="2" xfId="0" applyNumberFormat="1" applyFont="1" applyBorder="1" applyAlignment="1">
      <alignment vertical="center"/>
    </xf>
    <xf numFmtId="0" fontId="1" fillId="0" borderId="32" xfId="0" applyFont="1" applyBorder="1"/>
    <xf numFmtId="0" fontId="12" fillId="0" borderId="4" xfId="0" applyFont="1" applyBorder="1"/>
    <xf numFmtId="2" fontId="12" fillId="0" borderId="4" xfId="0" applyNumberFormat="1" applyFont="1" applyBorder="1"/>
    <xf numFmtId="2" fontId="12" fillId="0" borderId="32" xfId="0" applyNumberFormat="1" applyFont="1" applyBorder="1"/>
    <xf numFmtId="0" fontId="12" fillId="0" borderId="2" xfId="0" applyFont="1" applyBorder="1"/>
    <xf numFmtId="2" fontId="28" fillId="0" borderId="4" xfId="0" applyNumberFormat="1" applyFont="1" applyBorder="1" applyAlignment="1">
      <alignment horizontal="right"/>
    </xf>
    <xf numFmtId="0" fontId="12" fillId="0" borderId="15" xfId="0" applyFont="1" applyBorder="1"/>
    <xf numFmtId="0" fontId="12" fillId="0" borderId="38" xfId="0" applyFont="1" applyBorder="1"/>
    <xf numFmtId="0" fontId="12" fillId="0" borderId="39" xfId="0" applyFont="1" applyBorder="1"/>
    <xf numFmtId="0" fontId="1" fillId="0" borderId="33" xfId="0" applyFont="1" applyBorder="1"/>
    <xf numFmtId="20" fontId="12" fillId="0" borderId="34" xfId="0" applyNumberFormat="1" applyFont="1" applyBorder="1"/>
    <xf numFmtId="0" fontId="12" fillId="0" borderId="36" xfId="0" applyFont="1" applyBorder="1"/>
    <xf numFmtId="0" fontId="12" fillId="0" borderId="37" xfId="0" applyFont="1" applyBorder="1"/>
    <xf numFmtId="0" fontId="1" fillId="0" borderId="37" xfId="0" applyFont="1" applyBorder="1"/>
    <xf numFmtId="20" fontId="12" fillId="0" borderId="12" xfId="0" applyNumberFormat="1" applyFont="1" applyBorder="1"/>
    <xf numFmtId="0" fontId="1" fillId="0" borderId="10" xfId="0" applyFont="1" applyBorder="1"/>
    <xf numFmtId="20" fontId="28" fillId="0" borderId="11" xfId="0" applyNumberFormat="1" applyFont="1" applyBorder="1"/>
    <xf numFmtId="0" fontId="1" fillId="0" borderId="3" xfId="0" applyFont="1" applyBorder="1"/>
    <xf numFmtId="0" fontId="13" fillId="0" borderId="4" xfId="0" applyFont="1" applyBorder="1" applyAlignment="1">
      <alignment horizontal="right"/>
    </xf>
    <xf numFmtId="0" fontId="13" fillId="0" borderId="5" xfId="0" applyFont="1" applyBorder="1" applyAlignment="1">
      <alignment horizontal="right"/>
    </xf>
    <xf numFmtId="0" fontId="13" fillId="0" borderId="2" xfId="0" applyFont="1" applyBorder="1" applyAlignment="1">
      <alignment horizontal="right"/>
    </xf>
    <xf numFmtId="2" fontId="12" fillId="0" borderId="4" xfId="0" applyNumberFormat="1" applyFont="1" applyBorder="1" applyAlignment="1">
      <alignment horizontal="right" vertical="center" wrapText="1"/>
    </xf>
    <xf numFmtId="2" fontId="12" fillId="0" borderId="2" xfId="0" applyNumberFormat="1" applyFont="1" applyBorder="1" applyAlignment="1">
      <alignment horizontal="right" vertical="center" wrapText="1"/>
    </xf>
    <xf numFmtId="2" fontId="12" fillId="0" borderId="2" xfId="0" applyNumberFormat="1" applyFont="1" applyBorder="1" applyAlignment="1">
      <alignment horizontal="right"/>
    </xf>
    <xf numFmtId="0" fontId="12" fillId="0" borderId="34" xfId="0" applyFont="1" applyBorder="1"/>
    <xf numFmtId="0" fontId="11" fillId="0" borderId="10" xfId="0" applyFont="1" applyBorder="1" applyAlignment="1">
      <alignment horizontal="left" wrapText="1"/>
    </xf>
    <xf numFmtId="0" fontId="11" fillId="0" borderId="11" xfId="0" applyFont="1" applyBorder="1" applyAlignment="1">
      <alignment horizontal="left"/>
    </xf>
    <xf numFmtId="0" fontId="11" fillId="0" borderId="3" xfId="0" applyFont="1" applyBorder="1" applyAlignment="1">
      <alignment horizontal="left" wrapText="1"/>
    </xf>
    <xf numFmtId="0" fontId="11" fillId="0" borderId="16" xfId="1" applyFont="1" applyBorder="1"/>
    <xf numFmtId="0" fontId="11" fillId="0" borderId="4" xfId="1" applyFont="1" applyBorder="1" applyAlignment="1">
      <alignment horizontal="center"/>
    </xf>
    <xf numFmtId="0" fontId="11" fillId="0" borderId="32" xfId="0" applyFont="1" applyBorder="1" applyAlignment="1">
      <alignment horizontal="center" vertical="center"/>
    </xf>
    <xf numFmtId="164" fontId="11" fillId="0" borderId="4" xfId="1" applyNumberFormat="1" applyFont="1" applyBorder="1"/>
    <xf numFmtId="164" fontId="11" fillId="0" borderId="4" xfId="1" applyNumberFormat="1" applyFont="1" applyBorder="1" applyAlignment="1">
      <alignment horizontal="right"/>
    </xf>
    <xf numFmtId="0" fontId="11" fillId="0" borderId="4" xfId="1" applyFont="1" applyBorder="1" applyAlignment="1">
      <alignment horizontal="right" wrapText="1"/>
    </xf>
    <xf numFmtId="0" fontId="11" fillId="0" borderId="4" xfId="1" applyFont="1" applyBorder="1" applyAlignment="1">
      <alignment horizontal="right"/>
    </xf>
    <xf numFmtId="0" fontId="11" fillId="0" borderId="15" xfId="1" applyFont="1" applyBorder="1" applyAlignment="1">
      <alignment horizontal="center"/>
    </xf>
    <xf numFmtId="0" fontId="11" fillId="0" borderId="36" xfId="1" applyFont="1" applyBorder="1" applyAlignment="1">
      <alignment horizontal="center"/>
    </xf>
    <xf numFmtId="0" fontId="11" fillId="0" borderId="11" xfId="1" applyFont="1" applyBorder="1" applyAlignment="1">
      <alignment horizontal="left" vertical="center"/>
    </xf>
    <xf numFmtId="0" fontId="11" fillId="0" borderId="6" xfId="1" applyFont="1" applyBorder="1" applyAlignment="1">
      <alignment horizontal="left" vertical="center"/>
    </xf>
    <xf numFmtId="0" fontId="11" fillId="0" borderId="36" xfId="1" applyFont="1" applyBorder="1" applyAlignment="1">
      <alignment wrapText="1"/>
    </xf>
    <xf numFmtId="0" fontId="11" fillId="0" borderId="6" xfId="1" applyFont="1" applyBorder="1" applyAlignment="1">
      <alignment horizontal="left" wrapText="1"/>
    </xf>
    <xf numFmtId="0" fontId="5" fillId="0" borderId="12" xfId="1" applyFont="1" applyBorder="1"/>
    <xf numFmtId="0" fontId="5" fillId="0" borderId="10" xfId="1" applyFont="1" applyBorder="1"/>
    <xf numFmtId="0" fontId="5" fillId="0" borderId="9" xfId="1" applyFont="1" applyBorder="1"/>
    <xf numFmtId="0" fontId="5" fillId="0" borderId="4" xfId="1" applyFont="1" applyBorder="1" applyAlignment="1">
      <alignment horizontal="center"/>
    </xf>
    <xf numFmtId="2" fontId="11" fillId="0" borderId="4" xfId="1" applyNumberFormat="1" applyFont="1" applyBorder="1" applyAlignment="1">
      <alignment horizontal="right"/>
    </xf>
    <xf numFmtId="49" fontId="11" fillId="0" borderId="4" xfId="1" applyNumberFormat="1" applyFont="1" applyBorder="1" applyAlignment="1">
      <alignment horizontal="right"/>
    </xf>
    <xf numFmtId="2" fontId="6" fillId="0" borderId="4" xfId="1" applyNumberFormat="1" applyFont="1" applyBorder="1"/>
    <xf numFmtId="0" fontId="11" fillId="0" borderId="15" xfId="1" applyFont="1" applyBorder="1" applyAlignment="1">
      <alignment wrapText="1"/>
    </xf>
    <xf numFmtId="0" fontId="11" fillId="0" borderId="3" xfId="1" applyFont="1" applyBorder="1" applyAlignment="1">
      <alignment wrapText="1"/>
    </xf>
    <xf numFmtId="2" fontId="11" fillId="0" borderId="0" xfId="0" applyNumberFormat="1" applyFont="1"/>
    <xf numFmtId="0" fontId="5" fillId="0" borderId="16" xfId="1" applyFont="1" applyBorder="1" applyAlignment="1">
      <alignment horizontal="center"/>
    </xf>
    <xf numFmtId="0" fontId="5" fillId="0" borderId="32" xfId="1" applyFont="1" applyBorder="1" applyAlignment="1">
      <alignment horizontal="center"/>
    </xf>
    <xf numFmtId="0" fontId="11" fillId="0" borderId="35" xfId="1" applyFont="1" applyBorder="1"/>
    <xf numFmtId="0" fontId="5" fillId="0" borderId="3" xfId="0" applyFont="1" applyBorder="1" applyAlignment="1">
      <alignment horizontal="center"/>
    </xf>
    <xf numFmtId="0" fontId="5" fillId="0" borderId="16" xfId="0" applyFont="1" applyBorder="1" applyAlignment="1">
      <alignment horizontal="center"/>
    </xf>
    <xf numFmtId="2" fontId="11" fillId="0" borderId="4" xfId="1" applyNumberFormat="1" applyFont="1" applyBorder="1" applyProtection="1">
      <protection locked="0"/>
    </xf>
    <xf numFmtId="2" fontId="11" fillId="0" borderId="4" xfId="1" applyNumberFormat="1" applyFont="1" applyBorder="1" applyAlignment="1" applyProtection="1">
      <alignment horizontal="center" vertical="center" wrapText="1"/>
      <protection locked="0"/>
    </xf>
    <xf numFmtId="2" fontId="11" fillId="0" borderId="4" xfId="0" applyNumberFormat="1" applyFont="1" applyBorder="1" applyAlignment="1">
      <alignment horizontal="center" vertical="center" wrapText="1"/>
    </xf>
    <xf numFmtId="2" fontId="11" fillId="0" borderId="4" xfId="0" applyNumberFormat="1" applyFont="1" applyBorder="1" applyAlignment="1">
      <alignment horizontal="center" wrapText="1"/>
    </xf>
    <xf numFmtId="0" fontId="5" fillId="0" borderId="36" xfId="0" applyFont="1" applyBorder="1" applyAlignment="1">
      <alignment horizontal="center"/>
    </xf>
    <xf numFmtId="0" fontId="5" fillId="0" borderId="0" xfId="0" applyFont="1" applyAlignment="1">
      <alignment horizontal="center"/>
    </xf>
    <xf numFmtId="0" fontId="5" fillId="0" borderId="6" xfId="0" applyFont="1" applyBorder="1" applyAlignment="1">
      <alignment horizontal="center"/>
    </xf>
    <xf numFmtId="49" fontId="11" fillId="0" borderId="4" xfId="0" applyNumberFormat="1" applyFont="1" applyBorder="1" applyAlignment="1">
      <alignment horizontal="center" wrapText="1"/>
    </xf>
    <xf numFmtId="0" fontId="5" fillId="0" borderId="32" xfId="0" applyFont="1" applyBorder="1" applyAlignment="1">
      <alignment horizontal="center" vertical="center"/>
    </xf>
    <xf numFmtId="2" fontId="11" fillId="0" borderId="4" xfId="0" applyNumberFormat="1" applyFont="1" applyBorder="1" applyAlignment="1">
      <alignment wrapText="1"/>
    </xf>
    <xf numFmtId="0" fontId="11" fillId="0" borderId="32" xfId="0" applyFont="1" applyBorder="1" applyAlignment="1">
      <alignment horizontal="left" wrapText="1"/>
    </xf>
    <xf numFmtId="2" fontId="11" fillId="0" borderId="1" xfId="0" applyNumberFormat="1" applyFont="1" applyBorder="1"/>
    <xf numFmtId="0" fontId="5" fillId="0" borderId="36" xfId="0" applyFont="1" applyBorder="1"/>
    <xf numFmtId="0" fontId="11" fillId="0" borderId="11" xfId="0" applyFont="1" applyBorder="1" applyProtection="1">
      <protection locked="0"/>
    </xf>
    <xf numFmtId="0" fontId="11" fillId="0" borderId="6" xfId="0" applyFont="1" applyBorder="1" applyAlignment="1" applyProtection="1">
      <alignment wrapText="1"/>
      <protection locked="0"/>
    </xf>
    <xf numFmtId="2" fontId="26" fillId="0" borderId="40" xfId="1" applyNumberFormat="1" applyFont="1" applyBorder="1" applyProtection="1">
      <protection locked="0"/>
    </xf>
    <xf numFmtId="0" fontId="11" fillId="0" borderId="4" xfId="0" applyFont="1" applyBorder="1" applyAlignment="1">
      <alignment horizontal="center" vertical="center" wrapText="1"/>
    </xf>
    <xf numFmtId="0" fontId="26" fillId="0" borderId="40" xfId="0" applyFont="1" applyBorder="1" applyAlignment="1">
      <alignment wrapText="1"/>
    </xf>
    <xf numFmtId="2" fontId="26" fillId="0" borderId="40" xfId="0" applyNumberFormat="1" applyFont="1" applyBorder="1"/>
    <xf numFmtId="0" fontId="26" fillId="0" borderId="40" xfId="0" applyFont="1" applyBorder="1"/>
    <xf numFmtId="0" fontId="26" fillId="0" borderId="41" xfId="0" applyFont="1" applyBorder="1" applyAlignment="1">
      <alignment horizontal="center"/>
    </xf>
    <xf numFmtId="0" fontId="11" fillId="0" borderId="11" xfId="1" applyFont="1" applyBorder="1" applyAlignment="1">
      <alignment horizontal="left" vertical="top"/>
    </xf>
    <xf numFmtId="0" fontId="11" fillId="0" borderId="6" xfId="1" applyFont="1" applyBorder="1" applyAlignment="1">
      <alignment horizontal="left" vertical="top" wrapText="1"/>
    </xf>
    <xf numFmtId="2" fontId="11" fillId="0" borderId="4" xfId="1" applyNumberFormat="1" applyFont="1" applyBorder="1" applyAlignment="1" applyProtection="1">
      <alignment horizontal="right"/>
      <protection locked="0"/>
    </xf>
    <xf numFmtId="0" fontId="11" fillId="0" borderId="4" xfId="0" applyFont="1" applyBorder="1" applyAlignment="1">
      <alignment horizontal="center" wrapText="1"/>
    </xf>
    <xf numFmtId="0" fontId="5" fillId="0" borderId="15" xfId="0" applyFont="1" applyBorder="1" applyAlignment="1">
      <alignment horizontal="center"/>
    </xf>
    <xf numFmtId="0" fontId="5" fillId="0" borderId="37" xfId="0" applyFont="1" applyBorder="1" applyAlignment="1">
      <alignment horizontal="center"/>
    </xf>
    <xf numFmtId="0" fontId="5" fillId="0" borderId="10" xfId="0" applyFont="1" applyBorder="1" applyAlignment="1">
      <alignment horizontal="center"/>
    </xf>
    <xf numFmtId="0" fontId="11" fillId="0" borderId="12" xfId="0" applyFont="1" applyBorder="1" applyAlignment="1">
      <alignment vertical="top"/>
    </xf>
    <xf numFmtId="0" fontId="11" fillId="0" borderId="0" xfId="0" applyFont="1" applyAlignment="1">
      <alignment vertical="top" wrapText="1"/>
    </xf>
    <xf numFmtId="0" fontId="11" fillId="0" borderId="10" xfId="0" applyFont="1" applyBorder="1" applyAlignment="1">
      <alignment vertical="top" wrapText="1"/>
    </xf>
    <xf numFmtId="0" fontId="6" fillId="0" borderId="11" xfId="0" applyFont="1" applyBorder="1" applyAlignment="1">
      <alignment vertical="top"/>
    </xf>
    <xf numFmtId="0" fontId="11" fillId="0" borderId="6" xfId="0" applyFont="1" applyBorder="1" applyAlignment="1">
      <alignment vertical="top" wrapText="1"/>
    </xf>
    <xf numFmtId="0" fontId="11" fillId="0" borderId="3" xfId="0" applyFont="1" applyBorder="1" applyAlignment="1">
      <alignment vertical="top" wrapText="1"/>
    </xf>
    <xf numFmtId="0" fontId="11" fillId="0" borderId="4" xfId="1" applyFont="1" applyBorder="1" applyAlignment="1" applyProtection="1">
      <alignment horizontal="right"/>
      <protection locked="0"/>
    </xf>
    <xf numFmtId="2" fontId="11" fillId="0" borderId="7" xfId="0" applyNumberFormat="1" applyFont="1" applyBorder="1"/>
    <xf numFmtId="2" fontId="11" fillId="0" borderId="15" xfId="0" applyNumberFormat="1" applyFont="1" applyBorder="1"/>
    <xf numFmtId="0" fontId="11" fillId="0" borderId="11" xfId="0" applyFont="1" applyBorder="1" applyAlignment="1">
      <alignment vertical="center"/>
    </xf>
    <xf numFmtId="0" fontId="11" fillId="0" borderId="6" xfId="0" applyFont="1" applyBorder="1" applyAlignment="1">
      <alignment vertical="center" wrapText="1"/>
    </xf>
    <xf numFmtId="2" fontId="11" fillId="0" borderId="4" xfId="1" applyNumberFormat="1" applyFont="1" applyBorder="1" applyAlignment="1" applyProtection="1">
      <alignment horizontal="right" vertical="center" wrapText="1"/>
      <protection locked="0"/>
    </xf>
    <xf numFmtId="0" fontId="11" fillId="0" borderId="0" xfId="0" applyFont="1" applyAlignment="1">
      <alignment horizontal="left" vertical="center" wrapText="1"/>
    </xf>
    <xf numFmtId="1" fontId="11" fillId="0" borderId="5" xfId="0" applyNumberFormat="1" applyFont="1" applyBorder="1"/>
    <xf numFmtId="1" fontId="11" fillId="0" borderId="2" xfId="0" applyNumberFormat="1" applyFont="1" applyBorder="1"/>
    <xf numFmtId="1" fontId="11" fillId="0" borderId="15" xfId="0" applyNumberFormat="1" applyFont="1" applyBorder="1" applyAlignment="1">
      <alignment horizontal="right"/>
    </xf>
    <xf numFmtId="1" fontId="11" fillId="0" borderId="32" xfId="0" applyNumberFormat="1" applyFont="1" applyBorder="1" applyAlignment="1">
      <alignment horizontal="right"/>
    </xf>
    <xf numFmtId="0" fontId="5" fillId="0" borderId="1" xfId="0" applyFont="1" applyBorder="1" applyAlignment="1">
      <alignment wrapText="1"/>
    </xf>
    <xf numFmtId="0" fontId="5" fillId="0" borderId="2" xfId="0" applyFont="1" applyBorder="1" applyAlignment="1">
      <alignment wrapText="1"/>
    </xf>
    <xf numFmtId="0" fontId="5" fillId="0" borderId="4" xfId="0" applyFont="1" applyBorder="1" applyAlignment="1">
      <alignment wrapText="1"/>
    </xf>
    <xf numFmtId="0" fontId="11" fillId="0" borderId="1" xfId="0" applyFont="1" applyBorder="1" applyAlignment="1">
      <alignment wrapText="1"/>
    </xf>
    <xf numFmtId="0" fontId="5" fillId="0" borderId="4" xfId="0" applyFont="1" applyBorder="1" applyAlignment="1">
      <alignment horizontal="center" wrapText="1"/>
    </xf>
    <xf numFmtId="0" fontId="5" fillId="0" borderId="5" xfId="0" applyFont="1" applyBorder="1" applyAlignment="1">
      <alignment horizontal="center" wrapText="1"/>
    </xf>
    <xf numFmtId="2" fontId="11" fillId="0" borderId="5" xfId="0" applyNumberFormat="1" applyFont="1" applyBorder="1" applyAlignment="1">
      <alignment wrapText="1"/>
    </xf>
    <xf numFmtId="2" fontId="11" fillId="0" borderId="2" xfId="0" applyNumberFormat="1" applyFont="1" applyBorder="1" applyAlignment="1">
      <alignment wrapText="1"/>
    </xf>
    <xf numFmtId="2" fontId="6" fillId="0" borderId="4" xfId="0" applyNumberFormat="1" applyFont="1" applyBorder="1" applyAlignment="1">
      <alignment wrapText="1"/>
    </xf>
    <xf numFmtId="0" fontId="11" fillId="0" borderId="5" xfId="0" applyFont="1" applyBorder="1" applyAlignment="1">
      <alignment wrapText="1"/>
    </xf>
    <xf numFmtId="0" fontId="11" fillId="0" borderId="2" xfId="0" applyFont="1" applyBorder="1" applyAlignment="1">
      <alignment wrapText="1"/>
    </xf>
    <xf numFmtId="0" fontId="11" fillId="0" borderId="7" xfId="0" applyFont="1" applyBorder="1" applyAlignment="1">
      <alignment wrapText="1"/>
    </xf>
    <xf numFmtId="0" fontId="11" fillId="0" borderId="15" xfId="0" applyFont="1" applyBorder="1" applyAlignment="1">
      <alignment wrapText="1"/>
    </xf>
    <xf numFmtId="0" fontId="11" fillId="0" borderId="10" xfId="0" applyFont="1" applyBorder="1" applyAlignment="1">
      <alignment wrapText="1"/>
    </xf>
    <xf numFmtId="0" fontId="7" fillId="0" borderId="12" xfId="0" applyFont="1" applyBorder="1" applyAlignment="1">
      <alignment horizontal="left"/>
    </xf>
    <xf numFmtId="0" fontId="7" fillId="0" borderId="0" xfId="0" applyFont="1" applyAlignment="1">
      <alignment wrapText="1"/>
    </xf>
    <xf numFmtId="0" fontId="7" fillId="0" borderId="10" xfId="0" applyFont="1" applyBorder="1" applyAlignment="1">
      <alignment wrapText="1"/>
    </xf>
    <xf numFmtId="0" fontId="11" fillId="0" borderId="6" xfId="0" applyFont="1" applyBorder="1" applyAlignment="1">
      <alignment wrapText="1"/>
    </xf>
    <xf numFmtId="0" fontId="11" fillId="0" borderId="3" xfId="0" applyFont="1" applyBorder="1" applyAlignment="1">
      <alignment wrapText="1"/>
    </xf>
    <xf numFmtId="0" fontId="11" fillId="0" borderId="0" xfId="2" applyFont="1"/>
    <xf numFmtId="0" fontId="5" fillId="0" borderId="5" xfId="1" applyFont="1" applyBorder="1" applyAlignment="1">
      <alignment horizontal="center"/>
    </xf>
    <xf numFmtId="0" fontId="5" fillId="0" borderId="2" xfId="1" applyFont="1" applyBorder="1" applyAlignment="1">
      <alignment horizontal="center"/>
    </xf>
    <xf numFmtId="0" fontId="5" fillId="0" borderId="33" xfId="1" applyFont="1" applyBorder="1" applyAlignment="1">
      <alignment horizontal="center"/>
    </xf>
    <xf numFmtId="1" fontId="11" fillId="0" borderId="32" xfId="0" applyNumberFormat="1" applyFont="1" applyBorder="1"/>
    <xf numFmtId="1" fontId="11" fillId="0" borderId="15" xfId="1" applyNumberFormat="1" applyFont="1" applyBorder="1" applyAlignment="1">
      <alignment horizontal="center"/>
    </xf>
    <xf numFmtId="1" fontId="11" fillId="0" borderId="35" xfId="1" applyNumberFormat="1" applyFont="1" applyBorder="1" applyAlignment="1">
      <alignment horizontal="center"/>
    </xf>
    <xf numFmtId="0" fontId="11" fillId="0" borderId="34" xfId="0" applyFont="1" applyBorder="1" applyAlignment="1">
      <alignment horizontal="left" vertical="center" wrapText="1"/>
    </xf>
    <xf numFmtId="0" fontId="11" fillId="0" borderId="36" xfId="0" applyFont="1" applyBorder="1" applyAlignment="1">
      <alignment vertical="center" wrapText="1"/>
    </xf>
    <xf numFmtId="0" fontId="11" fillId="0" borderId="0" xfId="0" applyFont="1" applyAlignment="1">
      <alignment vertical="center" wrapText="1"/>
    </xf>
    <xf numFmtId="0" fontId="12" fillId="0" borderId="0" xfId="0" applyFont="1" applyAlignment="1">
      <alignment vertical="center"/>
    </xf>
    <xf numFmtId="2" fontId="22" fillId="0" borderId="4" xfId="0" applyNumberFormat="1" applyFont="1" applyBorder="1" applyAlignment="1">
      <alignment horizontal="right" vertical="center"/>
    </xf>
    <xf numFmtId="2" fontId="22" fillId="0" borderId="4" xfId="0" applyNumberFormat="1" applyFont="1" applyBorder="1" applyAlignment="1">
      <alignment vertical="center"/>
    </xf>
    <xf numFmtId="0" fontId="5" fillId="0" borderId="1" xfId="2" applyFont="1" applyBorder="1"/>
    <xf numFmtId="0" fontId="5" fillId="0" borderId="2" xfId="2" applyFont="1" applyBorder="1"/>
    <xf numFmtId="0" fontId="21" fillId="0" borderId="0" xfId="2" applyFont="1"/>
    <xf numFmtId="0" fontId="5" fillId="0" borderId="11" xfId="2" applyFont="1" applyBorder="1"/>
    <xf numFmtId="0" fontId="5" fillId="0" borderId="3" xfId="2" applyFont="1" applyBorder="1"/>
    <xf numFmtId="0" fontId="11" fillId="0" borderId="11" xfId="2" applyFont="1" applyBorder="1"/>
    <xf numFmtId="1" fontId="5" fillId="0" borderId="16" xfId="2" applyNumberFormat="1" applyFont="1" applyBorder="1" applyAlignment="1">
      <alignment horizontal="center" vertical="top"/>
    </xf>
    <xf numFmtId="1" fontId="5" fillId="0" borderId="4" xfId="2" applyNumberFormat="1" applyFont="1" applyBorder="1" applyAlignment="1">
      <alignment horizontal="center" vertical="top"/>
    </xf>
    <xf numFmtId="0" fontId="11" fillId="0" borderId="1" xfId="2" applyFont="1" applyBorder="1"/>
    <xf numFmtId="40" fontId="11" fillId="0" borderId="4" xfId="2" applyNumberFormat="1" applyFont="1" applyBorder="1"/>
    <xf numFmtId="0" fontId="16" fillId="0" borderId="32" xfId="0" applyFont="1" applyBorder="1"/>
    <xf numFmtId="0" fontId="18" fillId="0" borderId="32" xfId="0" applyFont="1" applyBorder="1"/>
    <xf numFmtId="0" fontId="11" fillId="0" borderId="7" xfId="2" applyFont="1" applyBorder="1"/>
    <xf numFmtId="40" fontId="11" fillId="0" borderId="15" xfId="2" applyNumberFormat="1" applyFont="1" applyBorder="1"/>
    <xf numFmtId="0" fontId="11" fillId="0" borderId="34" xfId="2" applyFont="1" applyBorder="1"/>
    <xf numFmtId="40" fontId="11" fillId="0" borderId="36" xfId="2" applyNumberFormat="1" applyFont="1" applyBorder="1"/>
    <xf numFmtId="0" fontId="11" fillId="0" borderId="36" xfId="2" applyFont="1" applyBorder="1"/>
    <xf numFmtId="0" fontId="11" fillId="0" borderId="12" xfId="2" applyFont="1" applyBorder="1"/>
    <xf numFmtId="0" fontId="11" fillId="0" borderId="0" xfId="2" applyFont="1" applyAlignment="1">
      <alignment horizontal="left"/>
    </xf>
    <xf numFmtId="166" fontId="11" fillId="0" borderId="0" xfId="2" applyNumberFormat="1" applyFont="1"/>
    <xf numFmtId="0" fontId="11" fillId="0" borderId="0" xfId="2" applyFont="1" applyAlignment="1">
      <alignment horizontal="center"/>
    </xf>
    <xf numFmtId="0" fontId="11" fillId="0" borderId="6" xfId="2" applyFont="1" applyBorder="1"/>
    <xf numFmtId="0" fontId="12" fillId="0" borderId="6" xfId="2" applyFont="1" applyBorder="1"/>
    <xf numFmtId="0" fontId="18" fillId="0" borderId="0" xfId="0" applyFont="1"/>
    <xf numFmtId="2" fontId="11" fillId="0" borderId="4" xfId="2" applyNumberFormat="1" applyFont="1" applyBorder="1"/>
    <xf numFmtId="0" fontId="11" fillId="0" borderId="15" xfId="2" applyFont="1" applyBorder="1"/>
    <xf numFmtId="0" fontId="11" fillId="0" borderId="15" xfId="2" applyFont="1" applyBorder="1" applyAlignment="1">
      <alignment horizontal="center"/>
    </xf>
    <xf numFmtId="0" fontId="11" fillId="0" borderId="38" xfId="2" applyFont="1" applyBorder="1"/>
    <xf numFmtId="0" fontId="11" fillId="0" borderId="39" xfId="2" applyFont="1" applyBorder="1"/>
    <xf numFmtId="0" fontId="18" fillId="0" borderId="33" xfId="0" applyFont="1" applyBorder="1"/>
    <xf numFmtId="0" fontId="18" fillId="0" borderId="37" xfId="0" applyFont="1" applyBorder="1"/>
    <xf numFmtId="0" fontId="18" fillId="0" borderId="10" xfId="0" applyFont="1" applyBorder="1"/>
    <xf numFmtId="0" fontId="11" fillId="0" borderId="12" xfId="3" applyFont="1" applyBorder="1" applyAlignment="1">
      <alignment horizontal="left"/>
    </xf>
    <xf numFmtId="0" fontId="21" fillId="0" borderId="0" xfId="2" applyFont="1" applyAlignment="1">
      <alignment horizontal="center"/>
    </xf>
    <xf numFmtId="0" fontId="21" fillId="0" borderId="10" xfId="0" applyFont="1" applyBorder="1"/>
    <xf numFmtId="0" fontId="21" fillId="0" borderId="0" xfId="0" applyFont="1"/>
    <xf numFmtId="164" fontId="21" fillId="0" borderId="0" xfId="2" applyNumberFormat="1" applyFont="1" applyAlignment="1">
      <alignment horizontal="center"/>
    </xf>
    <xf numFmtId="0" fontId="11" fillId="0" borderId="12" xfId="3" applyFont="1" applyBorder="1"/>
    <xf numFmtId="0" fontId="11" fillId="0" borderId="0" xfId="3" applyFont="1"/>
    <xf numFmtId="0" fontId="6" fillId="0" borderId="12" xfId="3" applyFont="1" applyBorder="1"/>
    <xf numFmtId="0" fontId="5" fillId="0" borderId="16" xfId="2" applyFont="1" applyBorder="1" applyAlignment="1">
      <alignment horizontal="center" vertical="top"/>
    </xf>
    <xf numFmtId="0" fontId="5" fillId="0" borderId="4" xfId="2" applyFont="1" applyBorder="1" applyAlignment="1">
      <alignment horizontal="center" vertical="top"/>
    </xf>
    <xf numFmtId="40" fontId="11" fillId="0" borderId="32" xfId="8" applyNumberFormat="1" applyFont="1" applyFill="1" applyBorder="1" applyAlignment="1"/>
    <xf numFmtId="1" fontId="11" fillId="0" borderId="4" xfId="2" applyNumberFormat="1" applyFont="1" applyBorder="1"/>
    <xf numFmtId="4" fontId="11" fillId="0" borderId="32" xfId="8" applyNumberFormat="1" applyFont="1" applyFill="1" applyBorder="1" applyAlignment="1">
      <alignment horizontal="center"/>
    </xf>
    <xf numFmtId="0" fontId="11" fillId="0" borderId="37" xfId="2" applyFont="1" applyBorder="1"/>
    <xf numFmtId="0" fontId="11" fillId="0" borderId="10" xfId="2" applyFont="1" applyBorder="1"/>
    <xf numFmtId="0" fontId="11" fillId="0" borderId="12" xfId="2" applyFont="1" applyBorder="1" applyAlignment="1">
      <alignment horizontal="left"/>
    </xf>
    <xf numFmtId="164" fontId="11" fillId="0" borderId="0" xfId="2" applyNumberFormat="1" applyFont="1" applyAlignment="1">
      <alignment horizontal="center"/>
    </xf>
    <xf numFmtId="0" fontId="6" fillId="0" borderId="11" xfId="3" applyFont="1" applyBorder="1"/>
    <xf numFmtId="0" fontId="11" fillId="0" borderId="8" xfId="2" applyFont="1" applyBorder="1"/>
    <xf numFmtId="0" fontId="11" fillId="0" borderId="9" xfId="2" applyFont="1" applyBorder="1"/>
    <xf numFmtId="0" fontId="11" fillId="0" borderId="11" xfId="3" applyFont="1" applyBorder="1" applyAlignment="1">
      <alignment horizontal="left"/>
    </xf>
    <xf numFmtId="0" fontId="5" fillId="0" borderId="4" xfId="2" applyFont="1" applyBorder="1"/>
    <xf numFmtId="2" fontId="11" fillId="0" borderId="4" xfId="2" applyNumberFormat="1" applyFont="1" applyBorder="1" applyAlignment="1">
      <alignment horizontal="right"/>
    </xf>
    <xf numFmtId="0" fontId="16" fillId="0" borderId="33" xfId="0" applyFont="1" applyBorder="1"/>
    <xf numFmtId="0" fontId="11" fillId="0" borderId="6" xfId="2" applyFont="1" applyBorder="1" applyAlignment="1">
      <alignment horizontal="center"/>
    </xf>
    <xf numFmtId="0" fontId="20" fillId="0" borderId="6" xfId="0" applyFont="1" applyBorder="1"/>
    <xf numFmtId="0" fontId="20" fillId="0" borderId="3" xfId="0" applyFont="1" applyBorder="1"/>
    <xf numFmtId="0" fontId="20" fillId="0" borderId="0" xfId="0" applyFont="1"/>
    <xf numFmtId="0" fontId="5" fillId="0" borderId="7" xfId="2" applyFont="1" applyBorder="1"/>
    <xf numFmtId="0" fontId="11" fillId="0" borderId="4" xfId="2" applyFont="1" applyBorder="1"/>
    <xf numFmtId="1" fontId="5" fillId="0" borderId="2" xfId="2" applyNumberFormat="1" applyFont="1" applyBorder="1" applyAlignment="1">
      <alignment horizontal="center" vertical="top"/>
    </xf>
    <xf numFmtId="1" fontId="5" fillId="0" borderId="13" xfId="2" applyNumberFormat="1" applyFont="1" applyBorder="1" applyAlignment="1">
      <alignment horizontal="center" vertical="top"/>
    </xf>
    <xf numFmtId="2" fontId="11" fillId="0" borderId="2" xfId="2" applyNumberFormat="1" applyFont="1" applyBorder="1" applyAlignment="1">
      <alignment horizontal="right"/>
    </xf>
    <xf numFmtId="2" fontId="11" fillId="0" borderId="2" xfId="2" applyNumberFormat="1" applyFont="1" applyBorder="1"/>
    <xf numFmtId="0" fontId="6" fillId="0" borderId="11" xfId="2" applyFont="1" applyBorder="1" applyAlignment="1">
      <alignment horizontal="left"/>
    </xf>
    <xf numFmtId="0" fontId="11" fillId="0" borderId="6" xfId="2" applyFont="1" applyBorder="1" applyAlignment="1">
      <alignment horizontal="left"/>
    </xf>
    <xf numFmtId="2" fontId="11" fillId="0" borderId="5" xfId="2" applyNumberFormat="1" applyFont="1" applyBorder="1"/>
    <xf numFmtId="40" fontId="11" fillId="0" borderId="9" xfId="2" applyNumberFormat="1" applyFont="1" applyBorder="1"/>
    <xf numFmtId="0" fontId="11" fillId="0" borderId="5" xfId="2" applyFont="1" applyBorder="1"/>
    <xf numFmtId="0" fontId="6" fillId="0" borderId="11" xfId="2" applyFont="1" applyBorder="1"/>
    <xf numFmtId="164" fontId="11" fillId="0" borderId="6" xfId="2" applyNumberFormat="1" applyFont="1" applyBorder="1" applyAlignment="1">
      <alignment horizontal="center"/>
    </xf>
    <xf numFmtId="40" fontId="11" fillId="0" borderId="8" xfId="2" applyNumberFormat="1" applyFont="1" applyBorder="1"/>
    <xf numFmtId="0" fontId="6" fillId="0" borderId="12" xfId="2" applyFont="1" applyBorder="1"/>
    <xf numFmtId="0" fontId="6" fillId="0" borderId="12" xfId="0" applyFont="1" applyBorder="1" applyAlignment="1">
      <alignment horizontal="left" vertical="center"/>
    </xf>
    <xf numFmtId="0" fontId="6" fillId="0" borderId="11" xfId="0" applyFont="1" applyBorder="1" applyAlignment="1">
      <alignment horizontal="left" vertical="center"/>
    </xf>
    <xf numFmtId="0" fontId="11" fillId="0" borderId="0" xfId="0" applyFont="1" applyAlignment="1">
      <alignment horizontal="left" vertical="center"/>
    </xf>
    <xf numFmtId="1" fontId="11" fillId="0" borderId="4" xfId="2" applyNumberFormat="1" applyFont="1" applyBorder="1" applyAlignment="1">
      <alignment horizontal="center" vertical="top"/>
    </xf>
    <xf numFmtId="1" fontId="11" fillId="0" borderId="1" xfId="2" applyNumberFormat="1" applyFont="1" applyBorder="1" applyAlignment="1">
      <alignment horizontal="center" vertical="top"/>
    </xf>
    <xf numFmtId="40" fontId="11" fillId="0" borderId="1" xfId="2" applyNumberFormat="1" applyFont="1" applyBorder="1"/>
    <xf numFmtId="40" fontId="11" fillId="0" borderId="7" xfId="2" applyNumberFormat="1" applyFont="1" applyBorder="1"/>
    <xf numFmtId="164" fontId="11" fillId="0" borderId="4" xfId="1" applyNumberFormat="1" applyFont="1" applyBorder="1" applyAlignment="1">
      <alignment horizontal="right" vertical="center"/>
    </xf>
    <xf numFmtId="0" fontId="11" fillId="0" borderId="9" xfId="1" applyFont="1" applyBorder="1" applyAlignment="1">
      <alignment horizontal="center"/>
    </xf>
    <xf numFmtId="0" fontId="11" fillId="0" borderId="38" xfId="1" applyFont="1" applyBorder="1" applyAlignment="1">
      <alignment horizontal="left"/>
    </xf>
    <xf numFmtId="0" fontId="11" fillId="0" borderId="39" xfId="1" applyFont="1" applyBorder="1" applyAlignment="1">
      <alignment horizontal="left"/>
    </xf>
    <xf numFmtId="2" fontId="11" fillId="0" borderId="4" xfId="1" applyNumberFormat="1" applyFont="1" applyBorder="1" applyAlignment="1">
      <alignment vertical="center" wrapText="1"/>
    </xf>
    <xf numFmtId="0" fontId="11" fillId="0" borderId="36" xfId="0" applyFont="1" applyBorder="1" applyAlignment="1">
      <alignment horizontal="center"/>
    </xf>
    <xf numFmtId="0" fontId="6" fillId="0" borderId="11" xfId="1" applyFont="1" applyBorder="1" applyAlignment="1">
      <alignment horizontal="left"/>
    </xf>
    <xf numFmtId="0" fontId="24" fillId="0" borderId="32" xfId="1" applyFont="1" applyBorder="1" applyAlignment="1">
      <alignment horizontal="center"/>
    </xf>
    <xf numFmtId="2" fontId="7" fillId="0" borderId="32" xfId="0" applyNumberFormat="1" applyFont="1" applyBorder="1"/>
    <xf numFmtId="0" fontId="7" fillId="0" borderId="32" xfId="0" applyFont="1" applyBorder="1" applyAlignment="1">
      <alignment horizontal="right"/>
    </xf>
    <xf numFmtId="0" fontId="7" fillId="0" borderId="32" xfId="0" applyFont="1" applyBorder="1" applyAlignment="1">
      <alignment horizontal="center"/>
    </xf>
    <xf numFmtId="0" fontId="11" fillId="0" borderId="0" xfId="1" applyFont="1" applyAlignment="1">
      <alignment horizontal="center"/>
    </xf>
    <xf numFmtId="0" fontId="11" fillId="0" borderId="0" xfId="0" applyFont="1" applyAlignment="1">
      <alignment horizontal="center"/>
    </xf>
    <xf numFmtId="0" fontId="24" fillId="0" borderId="32" xfId="0" applyFont="1" applyBorder="1" applyAlignment="1">
      <alignment horizontal="center"/>
    </xf>
    <xf numFmtId="0" fontId="7" fillId="0" borderId="32" xfId="1" applyFont="1" applyBorder="1" applyAlignment="1">
      <alignment horizontal="right"/>
    </xf>
    <xf numFmtId="0" fontId="7" fillId="0" borderId="35" xfId="0" applyFont="1" applyBorder="1" applyAlignment="1">
      <alignment horizontal="center"/>
    </xf>
    <xf numFmtId="0" fontId="7" fillId="0" borderId="32" xfId="0" applyFont="1" applyBorder="1" applyAlignment="1">
      <alignment wrapText="1"/>
    </xf>
    <xf numFmtId="2" fontId="11" fillId="0" borderId="4" xfId="1" applyNumberFormat="1" applyFont="1" applyBorder="1" applyAlignment="1">
      <alignment horizontal="right" wrapText="1"/>
    </xf>
    <xf numFmtId="2" fontId="7" fillId="0" borderId="32" xfId="1" applyNumberFormat="1" applyFont="1" applyBorder="1"/>
    <xf numFmtId="2" fontId="7" fillId="0" borderId="32" xfId="1" applyNumberFormat="1" applyFont="1" applyBorder="1" applyAlignment="1">
      <alignment horizontal="right"/>
    </xf>
    <xf numFmtId="2" fontId="11" fillId="0" borderId="4" xfId="0" applyNumberFormat="1" applyFont="1" applyBorder="1" applyAlignment="1">
      <alignment horizontal="center" vertical="center"/>
    </xf>
    <xf numFmtId="2" fontId="11" fillId="0" borderId="2" xfId="0" applyNumberFormat="1" applyFont="1" applyBorder="1" applyAlignment="1">
      <alignment horizontal="center" vertical="center"/>
    </xf>
    <xf numFmtId="1" fontId="11" fillId="0" borderId="15" xfId="0" applyNumberFormat="1" applyFont="1" applyBorder="1" applyAlignment="1">
      <alignment horizontal="center"/>
    </xf>
    <xf numFmtId="0" fontId="25" fillId="0" borderId="40" xfId="0" applyFont="1" applyBorder="1" applyAlignment="1">
      <alignment horizontal="center"/>
    </xf>
    <xf numFmtId="2" fontId="26" fillId="0" borderId="42" xfId="0" applyNumberFormat="1" applyFont="1" applyBorder="1" applyAlignment="1">
      <alignment horizontal="right"/>
    </xf>
    <xf numFmtId="0" fontId="26" fillId="0" borderId="43" xfId="0" applyFont="1" applyBorder="1" applyAlignment="1">
      <alignment horizontal="center"/>
    </xf>
    <xf numFmtId="0" fontId="1" fillId="0" borderId="39" xfId="0" applyFont="1" applyBorder="1"/>
    <xf numFmtId="0" fontId="1" fillId="0" borderId="36" xfId="0" applyFont="1" applyBorder="1"/>
    <xf numFmtId="0" fontId="11" fillId="0" borderId="12" xfId="0" applyFont="1" applyBorder="1" applyAlignment="1">
      <alignment horizontal="left" vertical="center"/>
    </xf>
    <xf numFmtId="0" fontId="11" fillId="0" borderId="6" xfId="0" applyFont="1" applyBorder="1" applyAlignment="1">
      <alignment horizontal="left" vertical="center" wrapText="1"/>
    </xf>
    <xf numFmtId="2" fontId="11" fillId="0" borderId="42" xfId="0" applyNumberFormat="1" applyFont="1" applyBorder="1" applyAlignment="1">
      <alignment horizontal="right"/>
    </xf>
    <xf numFmtId="0" fontId="25" fillId="0" borderId="30" xfId="0" applyFont="1" applyBorder="1" applyAlignment="1">
      <alignment horizontal="center"/>
    </xf>
    <xf numFmtId="2" fontId="11" fillId="0" borderId="4" xfId="0" applyNumberFormat="1" applyFont="1" applyBorder="1" applyAlignment="1">
      <alignment horizontal="center"/>
    </xf>
    <xf numFmtId="2" fontId="11" fillId="0" borderId="31" xfId="0" applyNumberFormat="1" applyFont="1" applyBorder="1"/>
    <xf numFmtId="1" fontId="11" fillId="0" borderId="31" xfId="0" applyNumberFormat="1" applyFont="1" applyBorder="1"/>
    <xf numFmtId="0" fontId="5" fillId="0" borderId="16" xfId="0" applyFont="1" applyBorder="1"/>
    <xf numFmtId="2" fontId="26" fillId="0" borderId="42" xfId="0" applyNumberFormat="1" applyFont="1" applyBorder="1"/>
    <xf numFmtId="0" fontId="26" fillId="0" borderId="43" xfId="0" applyFont="1" applyBorder="1"/>
    <xf numFmtId="0" fontId="11" fillId="0" borderId="34" xfId="0" applyFont="1" applyBorder="1" applyAlignment="1">
      <alignment vertical="center"/>
    </xf>
    <xf numFmtId="0" fontId="5" fillId="0" borderId="2" xfId="0" applyFont="1" applyBorder="1" applyAlignment="1">
      <alignment horizontal="left"/>
    </xf>
    <xf numFmtId="0" fontId="5" fillId="0" borderId="1" xfId="0" applyFont="1" applyBorder="1" applyAlignment="1">
      <alignment horizontal="center"/>
    </xf>
    <xf numFmtId="0" fontId="11" fillId="0" borderId="7" xfId="0" applyFont="1" applyBorder="1" applyAlignment="1">
      <alignment horizontal="center"/>
    </xf>
    <xf numFmtId="0" fontId="15" fillId="0" borderId="0" xfId="0" applyFont="1"/>
    <xf numFmtId="2" fontId="11" fillId="0" borderId="1" xfId="0" applyNumberFormat="1" applyFont="1" applyBorder="1" applyAlignment="1">
      <alignment horizontal="right" vertical="center" wrapText="1"/>
    </xf>
    <xf numFmtId="2" fontId="11" fillId="0" borderId="1" xfId="0" applyNumberFormat="1" applyFont="1" applyBorder="1" applyAlignment="1">
      <alignment horizontal="right"/>
    </xf>
    <xf numFmtId="1" fontId="11" fillId="0" borderId="32" xfId="0" applyNumberFormat="1" applyFont="1" applyBorder="1" applyAlignment="1">
      <alignment horizontal="center"/>
    </xf>
    <xf numFmtId="2" fontId="11" fillId="0" borderId="4" xfId="1" quotePrefix="1" applyNumberFormat="1" applyFont="1" applyBorder="1" applyAlignment="1">
      <alignment horizontal="right"/>
    </xf>
    <xf numFmtId="2" fontId="11" fillId="0" borderId="4" xfId="1" quotePrefix="1" applyNumberFormat="1" applyFont="1" applyBorder="1" applyAlignment="1">
      <alignment horizontal="right" wrapText="1"/>
    </xf>
    <xf numFmtId="0" fontId="11" fillId="0" borderId="39" xfId="1" applyFont="1" applyBorder="1"/>
    <xf numFmtId="0" fontId="25" fillId="0" borderId="32" xfId="1" applyFont="1" applyBorder="1" applyAlignment="1">
      <alignment horizontal="center"/>
    </xf>
    <xf numFmtId="2" fontId="26" fillId="0" borderId="32" xfId="1" applyNumberFormat="1" applyFont="1" applyBorder="1"/>
    <xf numFmtId="0" fontId="26" fillId="0" borderId="32" xfId="1" applyFont="1" applyBorder="1"/>
    <xf numFmtId="49" fontId="11" fillId="0" borderId="4" xfId="1" applyNumberFormat="1" applyFont="1" applyBorder="1" applyAlignment="1">
      <alignment horizontal="center" wrapText="1"/>
    </xf>
    <xf numFmtId="0" fontId="11" fillId="0" borderId="6" xfId="0" applyFont="1" applyBorder="1" applyAlignment="1">
      <alignment horizontal="center"/>
    </xf>
    <xf numFmtId="2" fontId="11" fillId="0" borderId="13" xfId="0" applyNumberFormat="1" applyFont="1" applyBorder="1" applyAlignment="1">
      <alignment horizontal="right"/>
    </xf>
    <xf numFmtId="2" fontId="11" fillId="0" borderId="36" xfId="0" applyNumberFormat="1" applyFont="1" applyBorder="1"/>
    <xf numFmtId="0" fontId="6" fillId="0" borderId="11" xfId="0" applyFont="1" applyBorder="1" applyAlignment="1">
      <alignment vertical="center"/>
    </xf>
    <xf numFmtId="2" fontId="22" fillId="0" borderId="4" xfId="0" applyNumberFormat="1" applyFont="1" applyBorder="1"/>
    <xf numFmtId="2" fontId="22" fillId="0" borderId="4" xfId="0" applyNumberFormat="1" applyFont="1" applyBorder="1" applyAlignment="1">
      <alignment horizontal="right"/>
    </xf>
    <xf numFmtId="0" fontId="5" fillId="0" borderId="32" xfId="0" applyFont="1" applyBorder="1" applyAlignment="1">
      <alignment horizontal="center"/>
    </xf>
    <xf numFmtId="0" fontId="11" fillId="0" borderId="10" xfId="0" applyFont="1" applyBorder="1" applyAlignment="1">
      <alignment horizontal="left"/>
    </xf>
    <xf numFmtId="0" fontId="11" fillId="0" borderId="3" xfId="0" applyFont="1" applyBorder="1" applyAlignment="1">
      <alignment horizontal="left"/>
    </xf>
    <xf numFmtId="49" fontId="11" fillId="0" borderId="4" xfId="0" applyNumberFormat="1" applyFont="1" applyBorder="1" applyAlignment="1">
      <alignment horizontal="center"/>
    </xf>
    <xf numFmtId="0" fontId="11" fillId="0" borderId="7" xfId="1" applyFont="1" applyBorder="1" applyAlignment="1">
      <alignment horizontal="left" vertical="top"/>
    </xf>
    <xf numFmtId="0" fontId="11" fillId="0" borderId="8" xfId="1" applyFont="1" applyBorder="1" applyAlignment="1">
      <alignment horizontal="left" vertical="top"/>
    </xf>
    <xf numFmtId="0" fontId="11" fillId="0" borderId="9" xfId="1" applyFont="1" applyBorder="1" applyAlignment="1">
      <alignment horizontal="left" vertical="top"/>
    </xf>
    <xf numFmtId="0" fontId="11" fillId="0" borderId="12" xfId="1" applyFont="1" applyBorder="1" applyAlignment="1">
      <alignment horizontal="left" vertical="top"/>
    </xf>
    <xf numFmtId="0" fontId="11" fillId="0" borderId="0" xfId="1" applyFont="1" applyAlignment="1">
      <alignment horizontal="left" vertical="top"/>
    </xf>
    <xf numFmtId="0" fontId="11" fillId="0" borderId="10" xfId="1" applyFont="1" applyBorder="1" applyAlignment="1">
      <alignment horizontal="left" vertical="top"/>
    </xf>
    <xf numFmtId="2" fontId="11" fillId="0" borderId="32" xfId="0" applyNumberFormat="1" applyFont="1" applyBorder="1" applyAlignment="1">
      <alignment horizontal="right"/>
    </xf>
    <xf numFmtId="0" fontId="11" fillId="0" borderId="32" xfId="0" quotePrefix="1" applyFont="1" applyBorder="1" applyAlignment="1">
      <alignment horizontal="center"/>
    </xf>
    <xf numFmtId="0" fontId="11" fillId="0" borderId="32" xfId="0" applyFont="1" applyBorder="1" applyAlignment="1">
      <alignment horizontal="left"/>
    </xf>
    <xf numFmtId="0" fontId="11" fillId="0" borderId="37" xfId="0" applyFont="1" applyBorder="1" applyAlignment="1">
      <alignment horizontal="left"/>
    </xf>
    <xf numFmtId="1" fontId="5" fillId="0" borderId="4" xfId="0" applyNumberFormat="1" applyFont="1" applyBorder="1" applyAlignment="1">
      <alignment horizontal="center"/>
    </xf>
    <xf numFmtId="1" fontId="5" fillId="0" borderId="5" xfId="0" applyNumberFormat="1" applyFont="1" applyBorder="1" applyAlignment="1">
      <alignment horizontal="center"/>
    </xf>
    <xf numFmtId="1" fontId="5" fillId="0" borderId="2" xfId="0" applyNumberFormat="1" applyFont="1" applyBorder="1" applyAlignment="1">
      <alignment horizontal="center"/>
    </xf>
    <xf numFmtId="49" fontId="11" fillId="0" borderId="2" xfId="0" applyNumberFormat="1" applyFont="1" applyBorder="1" applyAlignment="1">
      <alignment horizontal="center"/>
    </xf>
    <xf numFmtId="0" fontId="5" fillId="0" borderId="9" xfId="0" applyFont="1" applyBorder="1" applyAlignment="1">
      <alignment horizontal="left"/>
    </xf>
    <xf numFmtId="0" fontId="5" fillId="0" borderId="15" xfId="0" applyFont="1" applyBorder="1"/>
    <xf numFmtId="0" fontId="5" fillId="0" borderId="6" xfId="0" applyFont="1" applyBorder="1" applyAlignment="1">
      <alignment horizontal="right"/>
    </xf>
    <xf numFmtId="0" fontId="5" fillId="0" borderId="2" xfId="0" applyFont="1" applyBorder="1" applyAlignment="1">
      <alignment horizontal="center" vertical="top" wrapText="1"/>
    </xf>
    <xf numFmtId="0" fontId="5" fillId="0" borderId="13" xfId="0" applyFont="1" applyBorder="1" applyAlignment="1">
      <alignment horizontal="center" vertical="top" wrapText="1"/>
    </xf>
    <xf numFmtId="2" fontId="11" fillId="0" borderId="14" xfId="0" applyNumberFormat="1" applyFont="1" applyBorder="1"/>
    <xf numFmtId="2" fontId="5" fillId="0" borderId="2" xfId="0" applyNumberFormat="1" applyFont="1" applyBorder="1"/>
    <xf numFmtId="0" fontId="6" fillId="0" borderId="6" xfId="0" applyFont="1" applyBorder="1" applyAlignment="1">
      <alignment horizontal="left" wrapText="1"/>
    </xf>
    <xf numFmtId="0" fontId="5" fillId="0" borderId="17" xfId="4" applyFont="1" applyBorder="1"/>
    <xf numFmtId="0" fontId="5" fillId="0" borderId="18" xfId="4" applyFont="1" applyBorder="1"/>
    <xf numFmtId="0" fontId="11" fillId="0" borderId="0" xfId="4" applyFont="1"/>
    <xf numFmtId="0" fontId="5" fillId="0" borderId="20" xfId="4" applyFont="1" applyBorder="1"/>
    <xf numFmtId="0" fontId="5" fillId="0" borderId="4" xfId="4" applyFont="1" applyBorder="1"/>
    <xf numFmtId="0" fontId="11" fillId="0" borderId="17" xfId="4" applyFont="1" applyBorder="1"/>
    <xf numFmtId="0" fontId="11" fillId="0" borderId="19" xfId="4" applyFont="1" applyBorder="1"/>
    <xf numFmtId="0" fontId="5" fillId="0" borderId="26" xfId="4" applyFont="1" applyBorder="1" applyAlignment="1">
      <alignment horizontal="center"/>
    </xf>
    <xf numFmtId="0" fontId="5" fillId="0" borderId="18" xfId="4" applyFont="1" applyBorder="1" applyAlignment="1">
      <alignment horizontal="center"/>
    </xf>
    <xf numFmtId="2" fontId="11" fillId="0" borderId="19" xfId="4" applyNumberFormat="1" applyFont="1" applyBorder="1" applyAlignment="1">
      <alignment horizontal="right"/>
    </xf>
    <xf numFmtId="2" fontId="11" fillId="0" borderId="19" xfId="4" applyNumberFormat="1" applyFont="1" applyBorder="1" applyAlignment="1">
      <alignment horizontal="left"/>
    </xf>
    <xf numFmtId="2" fontId="11" fillId="0" borderId="19" xfId="4" applyNumberFormat="1" applyFont="1" applyBorder="1"/>
    <xf numFmtId="2" fontId="11" fillId="0" borderId="22" xfId="4" applyNumberFormat="1" applyFont="1" applyBorder="1" applyAlignment="1">
      <alignment horizontal="center"/>
    </xf>
    <xf numFmtId="2" fontId="11" fillId="0" borderId="22" xfId="4" applyNumberFormat="1" applyFont="1" applyBorder="1"/>
    <xf numFmtId="0" fontId="11" fillId="0" borderId="27" xfId="4" applyFont="1" applyBorder="1"/>
    <xf numFmtId="0" fontId="11" fillId="0" borderId="28" xfId="4" applyFont="1" applyBorder="1"/>
    <xf numFmtId="0" fontId="11" fillId="0" borderId="28" xfId="4" applyFont="1" applyBorder="1" applyAlignment="1">
      <alignment horizontal="center"/>
    </xf>
    <xf numFmtId="0" fontId="11" fillId="0" borderId="23" xfId="4" applyFont="1" applyBorder="1" applyAlignment="1">
      <alignment horizontal="center"/>
    </xf>
    <xf numFmtId="0" fontId="11" fillId="0" borderId="6" xfId="4" applyFont="1" applyBorder="1"/>
    <xf numFmtId="0" fontId="11" fillId="0" borderId="6" xfId="4" applyFont="1" applyBorder="1" applyAlignment="1">
      <alignment horizontal="center"/>
    </xf>
    <xf numFmtId="2" fontId="11" fillId="0" borderId="19" xfId="4" applyNumberFormat="1" applyFont="1" applyBorder="1" applyAlignment="1">
      <alignment horizontal="center"/>
    </xf>
    <xf numFmtId="0" fontId="5" fillId="0" borderId="19" xfId="4" applyFont="1" applyBorder="1" applyAlignment="1">
      <alignment horizontal="center"/>
    </xf>
    <xf numFmtId="2" fontId="11" fillId="0" borderId="19" xfId="0" applyNumberFormat="1" applyFont="1" applyBorder="1"/>
    <xf numFmtId="0" fontId="11" fillId="0" borderId="19" xfId="0" applyFont="1" applyBorder="1"/>
    <xf numFmtId="0" fontId="11" fillId="0" borderId="28" xfId="0" applyFont="1" applyBorder="1" applyAlignment="1">
      <alignment horizontal="center"/>
    </xf>
    <xf numFmtId="0" fontId="11" fillId="0" borderId="34" xfId="4" applyFont="1" applyBorder="1"/>
    <xf numFmtId="0" fontId="11" fillId="0" borderId="36" xfId="4" applyFont="1" applyBorder="1" applyAlignment="1">
      <alignment wrapText="1"/>
    </xf>
    <xf numFmtId="0" fontId="11" fillId="0" borderId="12" xfId="4" applyFont="1" applyBorder="1"/>
    <xf numFmtId="0" fontId="11" fillId="0" borderId="0" xfId="4" applyFont="1" applyAlignment="1">
      <alignment wrapText="1"/>
    </xf>
    <xf numFmtId="0" fontId="11" fillId="0" borderId="12" xfId="4" applyFont="1" applyBorder="1" applyAlignment="1">
      <alignment horizontal="left"/>
    </xf>
    <xf numFmtId="0" fontId="11" fillId="0" borderId="0" xfId="4" applyFont="1" applyAlignment="1">
      <alignment horizontal="left" wrapText="1"/>
    </xf>
    <xf numFmtId="0" fontId="6" fillId="0" borderId="11" xfId="4" applyFont="1" applyBorder="1"/>
    <xf numFmtId="0" fontId="11" fillId="0" borderId="6" xfId="4" applyFont="1" applyBorder="1" applyAlignment="1">
      <alignment wrapText="1"/>
    </xf>
    <xf numFmtId="0" fontId="11" fillId="0" borderId="6" xfId="4" applyFont="1" applyBorder="1" applyAlignment="1">
      <alignment horizontal="left" wrapText="1"/>
    </xf>
    <xf numFmtId="2" fontId="11" fillId="0" borderId="19" xfId="4" quotePrefix="1" applyNumberFormat="1" applyFont="1" applyBorder="1"/>
    <xf numFmtId="0" fontId="11" fillId="0" borderId="36" xfId="4" applyFont="1" applyBorder="1"/>
    <xf numFmtId="0" fontId="11" fillId="0" borderId="36" xfId="4" applyFont="1" applyBorder="1" applyAlignment="1">
      <alignment horizontal="center"/>
    </xf>
    <xf numFmtId="0" fontId="11" fillId="0" borderId="0" xfId="4" applyFont="1" applyAlignment="1">
      <alignment horizontal="center"/>
    </xf>
    <xf numFmtId="2" fontId="11" fillId="0" borderId="19" xfId="4" applyNumberFormat="1" applyFont="1" applyBorder="1" applyAlignment="1">
      <alignment wrapText="1"/>
    </xf>
    <xf numFmtId="0" fontId="5" fillId="0" borderId="20" xfId="4" applyFont="1" applyBorder="1" applyAlignment="1">
      <alignment horizontal="center"/>
    </xf>
    <xf numFmtId="0" fontId="5" fillId="0" borderId="4" xfId="4" applyFont="1" applyBorder="1" applyAlignment="1">
      <alignment horizontal="center"/>
    </xf>
    <xf numFmtId="2" fontId="11" fillId="0" borderId="20" xfId="4" applyNumberFormat="1" applyFont="1" applyBorder="1"/>
    <xf numFmtId="2" fontId="11" fillId="0" borderId="4" xfId="4" applyNumberFormat="1" applyFont="1" applyBorder="1"/>
    <xf numFmtId="2" fontId="7" fillId="0" borderId="19" xfId="0" applyNumberFormat="1" applyFont="1" applyBorder="1"/>
    <xf numFmtId="0" fontId="11" fillId="0" borderId="29" xfId="4" applyFont="1" applyBorder="1" applyAlignment="1">
      <alignment horizontal="center"/>
    </xf>
    <xf numFmtId="0" fontId="11" fillId="0" borderId="15" xfId="4" applyFont="1" applyBorder="1" applyAlignment="1">
      <alignment horizontal="center"/>
    </xf>
    <xf numFmtId="0" fontId="11" fillId="0" borderId="4" xfId="4" applyFont="1" applyBorder="1" applyAlignment="1">
      <alignment horizontal="center"/>
    </xf>
    <xf numFmtId="0" fontId="11" fillId="0" borderId="38" xfId="4" applyFont="1" applyBorder="1"/>
    <xf numFmtId="0" fontId="11" fillId="0" borderId="39" xfId="4" applyFont="1" applyBorder="1"/>
    <xf numFmtId="0" fontId="5" fillId="0" borderId="21" xfId="4" applyFont="1" applyBorder="1" applyAlignment="1">
      <alignment horizontal="center"/>
    </xf>
    <xf numFmtId="0" fontId="24" fillId="0" borderId="19" xfId="0" applyFont="1" applyBorder="1" applyAlignment="1">
      <alignment horizontal="center"/>
    </xf>
    <xf numFmtId="2" fontId="11" fillId="0" borderId="21" xfId="4" applyNumberFormat="1" applyFont="1" applyBorder="1"/>
    <xf numFmtId="2" fontId="11" fillId="0" borderId="22" xfId="4" applyNumberFormat="1" applyFont="1" applyBorder="1" applyAlignment="1">
      <alignment horizontal="right"/>
    </xf>
    <xf numFmtId="0" fontId="7" fillId="0" borderId="28" xfId="0" applyFont="1" applyBorder="1" applyAlignment="1">
      <alignment horizontal="center"/>
    </xf>
    <xf numFmtId="0" fontId="5" fillId="0" borderId="0" xfId="4" applyFont="1" applyAlignment="1">
      <alignment horizontal="center"/>
    </xf>
    <xf numFmtId="0" fontId="5" fillId="0" borderId="28" xfId="4" applyFont="1" applyBorder="1" applyAlignment="1">
      <alignment horizontal="center"/>
    </xf>
    <xf numFmtId="0" fontId="5" fillId="0" borderId="29" xfId="4" applyFont="1" applyBorder="1" applyAlignment="1">
      <alignment horizontal="center"/>
    </xf>
    <xf numFmtId="2" fontId="11" fillId="0" borderId="4" xfId="4" applyNumberFormat="1" applyFont="1" applyBorder="1" applyAlignment="1">
      <alignment horizontal="right"/>
    </xf>
    <xf numFmtId="2" fontId="11" fillId="0" borderId="26" xfId="4" applyNumberFormat="1" applyFont="1" applyBorder="1" applyAlignment="1">
      <alignment horizontal="right"/>
    </xf>
    <xf numFmtId="0" fontId="11" fillId="0" borderId="19" xfId="4" applyFont="1" applyBorder="1" applyAlignment="1">
      <alignment horizontal="right"/>
    </xf>
    <xf numFmtId="0" fontId="11" fillId="0" borderId="20" xfId="4" applyFont="1" applyBorder="1"/>
    <xf numFmtId="0" fontId="7" fillId="0" borderId="19" xfId="0" applyFont="1" applyBorder="1"/>
    <xf numFmtId="0" fontId="11" fillId="0" borderId="39" xfId="4" applyFont="1" applyBorder="1" applyAlignment="1">
      <alignment horizontal="center"/>
    </xf>
    <xf numFmtId="0" fontId="27" fillId="0" borderId="0" xfId="0" applyFont="1"/>
    <xf numFmtId="49" fontId="11" fillId="0" borderId="4" xfId="1" quotePrefix="1" applyNumberFormat="1" applyFont="1" applyBorder="1" applyAlignment="1">
      <alignment horizontal="center" wrapText="1"/>
    </xf>
    <xf numFmtId="0" fontId="12" fillId="0" borderId="32" xfId="0" applyFont="1" applyBorder="1" applyAlignment="1">
      <alignment horizontal="center"/>
    </xf>
    <xf numFmtId="0" fontId="11" fillId="0" borderId="36" xfId="0" applyFont="1" applyBorder="1" applyAlignment="1">
      <alignment wrapText="1"/>
    </xf>
    <xf numFmtId="49" fontId="11" fillId="0" borderId="4" xfId="1" applyNumberFormat="1" applyFont="1" applyBorder="1" applyAlignment="1">
      <alignment horizontal="right" wrapText="1"/>
    </xf>
    <xf numFmtId="0" fontId="7" fillId="0" borderId="4" xfId="0" applyFont="1" applyBorder="1"/>
    <xf numFmtId="2" fontId="7" fillId="0" borderId="4" xfId="0" applyNumberFormat="1" applyFont="1" applyBorder="1"/>
    <xf numFmtId="0" fontId="7" fillId="0" borderId="15" xfId="0" applyFont="1" applyBorder="1"/>
    <xf numFmtId="1" fontId="7" fillId="0" borderId="4" xfId="0" applyNumberFormat="1" applyFont="1" applyBorder="1" applyAlignment="1">
      <alignment wrapText="1"/>
    </xf>
    <xf numFmtId="0" fontId="6" fillId="0" borderId="37" xfId="0" applyFont="1" applyBorder="1"/>
    <xf numFmtId="0" fontId="6" fillId="0" borderId="36" xfId="0" applyFont="1" applyBorder="1"/>
    <xf numFmtId="1" fontId="11" fillId="0" borderId="35" xfId="1" applyNumberFormat="1" applyFont="1" applyBorder="1"/>
    <xf numFmtId="0" fontId="12" fillId="0" borderId="35" xfId="0" applyFont="1" applyBorder="1"/>
    <xf numFmtId="0" fontId="11" fillId="0" borderId="34" xfId="1" applyFont="1" applyBorder="1" applyAlignment="1">
      <alignment vertical="top" wrapText="1"/>
    </xf>
    <xf numFmtId="0" fontId="11" fillId="0" borderId="36" xfId="1" applyFont="1" applyBorder="1" applyAlignment="1">
      <alignment vertical="top" wrapText="1"/>
    </xf>
    <xf numFmtId="0" fontId="11" fillId="0" borderId="37" xfId="1" applyFont="1" applyBorder="1" applyAlignment="1">
      <alignment vertical="top" wrapText="1"/>
    </xf>
    <xf numFmtId="0" fontId="11" fillId="0" borderId="0" xfId="1" applyFont="1" applyAlignment="1">
      <alignment vertical="top" wrapText="1"/>
    </xf>
    <xf numFmtId="0" fontId="11" fillId="0" borderId="34" xfId="1" applyFont="1" applyBorder="1" applyAlignment="1">
      <alignment vertical="top"/>
    </xf>
    <xf numFmtId="0" fontId="5" fillId="0" borderId="32" xfId="1" applyFont="1" applyBorder="1"/>
    <xf numFmtId="0" fontId="11" fillId="0" borderId="38" xfId="1" applyFont="1" applyBorder="1"/>
    <xf numFmtId="0" fontId="11" fillId="0" borderId="33" xfId="1" applyFont="1" applyBorder="1"/>
    <xf numFmtId="0" fontId="5" fillId="0" borderId="33" xfId="0" applyFont="1" applyBorder="1" applyAlignment="1">
      <alignment horizontal="left"/>
    </xf>
    <xf numFmtId="49" fontId="11" fillId="0" borderId="32" xfId="1" applyNumberFormat="1" applyFont="1" applyBorder="1" applyAlignment="1">
      <alignment horizontal="center" wrapText="1"/>
    </xf>
    <xf numFmtId="0" fontId="20" fillId="0" borderId="10" xfId="0" applyFont="1" applyBorder="1"/>
    <xf numFmtId="0" fontId="12" fillId="0" borderId="36" xfId="2" applyFont="1" applyBorder="1"/>
    <xf numFmtId="0" fontId="12" fillId="0" borderId="0" xfId="2" applyFont="1"/>
    <xf numFmtId="40" fontId="11" fillId="0" borderId="35" xfId="2" applyNumberFormat="1" applyFont="1" applyBorder="1"/>
    <xf numFmtId="165" fontId="11" fillId="0" borderId="35" xfId="2" applyNumberFormat="1" applyFont="1" applyBorder="1"/>
    <xf numFmtId="0" fontId="18" fillId="0" borderId="35" xfId="0" applyFont="1" applyBorder="1"/>
    <xf numFmtId="0" fontId="16" fillId="0" borderId="35" xfId="0" applyFont="1" applyBorder="1"/>
    <xf numFmtId="0" fontId="6" fillId="0" borderId="0" xfId="2" applyFont="1"/>
    <xf numFmtId="2" fontId="11" fillId="0" borderId="0" xfId="2" applyNumberFormat="1" applyFont="1" applyAlignment="1">
      <alignment horizontal="center"/>
    </xf>
    <xf numFmtId="0" fontId="6" fillId="0" borderId="6" xfId="3" applyFont="1" applyBorder="1"/>
    <xf numFmtId="0" fontId="6" fillId="0" borderId="6" xfId="2" applyFont="1" applyBorder="1"/>
    <xf numFmtId="0" fontId="29" fillId="0" borderId="3" xfId="0" applyFont="1" applyBorder="1"/>
    <xf numFmtId="0" fontId="29" fillId="0" borderId="0" xfId="0" applyFont="1"/>
    <xf numFmtId="0" fontId="11" fillId="0" borderId="0" xfId="3" applyFont="1" applyAlignment="1">
      <alignment wrapText="1"/>
    </xf>
    <xf numFmtId="0" fontId="11" fillId="0" borderId="6" xfId="3" applyFont="1" applyBorder="1"/>
    <xf numFmtId="1" fontId="5" fillId="0" borderId="32" xfId="2" applyNumberFormat="1" applyFont="1" applyBorder="1" applyAlignment="1">
      <alignment horizontal="center" vertical="top"/>
    </xf>
    <xf numFmtId="167" fontId="11" fillId="0" borderId="35" xfId="2" applyNumberFormat="1" applyFont="1" applyBorder="1"/>
    <xf numFmtId="1" fontId="11" fillId="0" borderId="35" xfId="2" applyNumberFormat="1" applyFont="1" applyBorder="1"/>
    <xf numFmtId="0" fontId="11" fillId="0" borderId="35" xfId="2" applyFont="1" applyBorder="1"/>
    <xf numFmtId="0" fontId="20" fillId="0" borderId="37" xfId="0" applyFont="1" applyBorder="1"/>
    <xf numFmtId="0" fontId="6" fillId="0" borderId="6" xfId="1" applyFont="1" applyBorder="1"/>
    <xf numFmtId="0" fontId="5" fillId="0" borderId="38" xfId="2" applyFont="1" applyBorder="1"/>
    <xf numFmtId="0" fontId="5" fillId="0" borderId="32" xfId="2" applyFont="1" applyBorder="1"/>
    <xf numFmtId="0" fontId="11" fillId="0" borderId="33" xfId="2" applyFont="1" applyBorder="1"/>
    <xf numFmtId="0" fontId="11" fillId="0" borderId="10" xfId="1" applyFont="1" applyBorder="1"/>
    <xf numFmtId="0" fontId="6" fillId="0" borderId="3" xfId="1" applyFont="1" applyBorder="1"/>
    <xf numFmtId="0" fontId="30" fillId="0" borderId="0" xfId="0" applyFont="1"/>
    <xf numFmtId="40" fontId="11" fillId="0" borderId="32" xfId="2" applyNumberFormat="1" applyFont="1" applyBorder="1"/>
    <xf numFmtId="40" fontId="11" fillId="0" borderId="38" xfId="2" applyNumberFormat="1" applyFont="1" applyBorder="1"/>
    <xf numFmtId="4" fontId="11" fillId="0" borderId="32" xfId="9" applyNumberFormat="1" applyFont="1" applyFill="1" applyBorder="1" applyAlignment="1">
      <alignment horizontal="center"/>
    </xf>
    <xf numFmtId="40" fontId="11" fillId="0" borderId="34" xfId="2" applyNumberFormat="1" applyFont="1" applyBorder="1"/>
    <xf numFmtId="4" fontId="11" fillId="0" borderId="35" xfId="9" applyNumberFormat="1" applyFont="1" applyFill="1" applyBorder="1" applyAlignment="1">
      <alignment horizontal="center"/>
    </xf>
    <xf numFmtId="0" fontId="6" fillId="0" borderId="38" xfId="4" applyFont="1" applyBorder="1"/>
    <xf numFmtId="0" fontId="11" fillId="0" borderId="33" xfId="4" applyFont="1" applyBorder="1"/>
    <xf numFmtId="0" fontId="5" fillId="0" borderId="4" xfId="0" applyFont="1" applyBorder="1" applyAlignment="1">
      <alignment vertical="center"/>
    </xf>
    <xf numFmtId="0" fontId="5" fillId="0" borderId="32" xfId="0" applyFont="1" applyBorder="1" applyAlignment="1">
      <alignment vertical="center"/>
    </xf>
    <xf numFmtId="0" fontId="27" fillId="0" borderId="3" xfId="0" applyFont="1" applyBorder="1"/>
    <xf numFmtId="1" fontId="11" fillId="0" borderId="35" xfId="0" applyNumberFormat="1" applyFont="1" applyBorder="1" applyAlignment="1">
      <alignment horizontal="center"/>
    </xf>
    <xf numFmtId="0" fontId="11" fillId="0" borderId="35" xfId="0" applyFont="1" applyBorder="1" applyAlignment="1">
      <alignment horizontal="center"/>
    </xf>
    <xf numFmtId="0" fontId="11" fillId="0" borderId="34" xfId="1" applyFont="1" applyBorder="1" applyAlignment="1">
      <alignment horizontal="left"/>
    </xf>
    <xf numFmtId="0" fontId="11" fillId="0" borderId="36" xfId="1" applyFont="1" applyBorder="1" applyAlignment="1">
      <alignment horizontal="left"/>
    </xf>
    <xf numFmtId="43" fontId="7" fillId="0" borderId="4" xfId="1" applyNumberFormat="1" applyFont="1" applyBorder="1" applyAlignment="1">
      <alignment horizontal="right"/>
    </xf>
    <xf numFmtId="0" fontId="11" fillId="0" borderId="39" xfId="1" applyFont="1" applyBorder="1" applyAlignment="1">
      <alignment horizontal="left" wrapText="1"/>
    </xf>
    <xf numFmtId="0" fontId="5" fillId="0" borderId="38" xfId="1" applyFont="1" applyBorder="1"/>
    <xf numFmtId="0" fontId="5" fillId="0" borderId="33" xfId="1" applyFont="1" applyBorder="1"/>
    <xf numFmtId="0" fontId="11" fillId="0" borderId="32" xfId="1" applyFont="1" applyBorder="1" applyAlignment="1">
      <alignment horizontal="left" wrapText="1"/>
    </xf>
    <xf numFmtId="0" fontId="11" fillId="0" borderId="32" xfId="1" applyFont="1" applyBorder="1" applyAlignment="1">
      <alignment wrapText="1"/>
    </xf>
    <xf numFmtId="2" fontId="11" fillId="0" borderId="32" xfId="1" applyNumberFormat="1" applyFont="1" applyBorder="1" applyAlignment="1">
      <alignment horizontal="left" wrapText="1"/>
    </xf>
    <xf numFmtId="2" fontId="11" fillId="0" borderId="32" xfId="1" applyNumberFormat="1" applyFont="1" applyBorder="1" applyAlignment="1">
      <alignment horizontal="right" wrapText="1"/>
    </xf>
    <xf numFmtId="0" fontId="11" fillId="0" borderId="32" xfId="1" quotePrefix="1" applyFont="1" applyBorder="1" applyAlignment="1">
      <alignment horizontal="left" wrapText="1"/>
    </xf>
    <xf numFmtId="0" fontId="11" fillId="0" borderId="32" xfId="1" applyFont="1" applyBorder="1" applyAlignment="1">
      <alignment horizontal="left"/>
    </xf>
    <xf numFmtId="0" fontId="11" fillId="0" borderId="39" xfId="1" applyFont="1" applyBorder="1" applyAlignment="1">
      <alignment wrapText="1"/>
    </xf>
    <xf numFmtId="0" fontId="11" fillId="0" borderId="33" xfId="1" applyFont="1" applyBorder="1" applyAlignment="1">
      <alignment wrapText="1"/>
    </xf>
    <xf numFmtId="2" fontId="11" fillId="0" borderId="32" xfId="1" applyNumberFormat="1" applyFont="1" applyBorder="1" applyAlignment="1">
      <alignment wrapText="1"/>
    </xf>
    <xf numFmtId="0" fontId="11" fillId="0" borderId="35" xfId="1" applyFont="1" applyBorder="1" applyAlignment="1">
      <alignment horizontal="left" wrapText="1"/>
    </xf>
    <xf numFmtId="0" fontId="11" fillId="0" borderId="35" xfId="1" applyFont="1" applyBorder="1" applyAlignment="1">
      <alignment wrapText="1"/>
    </xf>
    <xf numFmtId="0" fontId="6" fillId="0" borderId="11" xfId="3" applyFont="1" applyBorder="1" applyAlignment="1">
      <alignment horizontal="left"/>
    </xf>
    <xf numFmtId="0" fontId="11" fillId="0" borderId="32" xfId="0" applyFont="1" applyBorder="1" applyAlignment="1">
      <alignment wrapText="1"/>
    </xf>
    <xf numFmtId="0" fontId="11" fillId="0" borderId="32" xfId="1" applyFont="1" applyBorder="1" applyAlignment="1">
      <alignment horizontal="right"/>
    </xf>
    <xf numFmtId="2" fontId="11" fillId="0" borderId="32" xfId="0" applyNumberFormat="1" applyFont="1" applyBorder="1" applyAlignment="1">
      <alignment wrapText="1"/>
    </xf>
    <xf numFmtId="0" fontId="11" fillId="0" borderId="35" xfId="1" applyFont="1" applyBorder="1" applyAlignment="1">
      <alignment horizontal="center"/>
    </xf>
    <xf numFmtId="0" fontId="11" fillId="0" borderId="35" xfId="0" applyFont="1" applyBorder="1" applyAlignment="1">
      <alignment wrapText="1"/>
    </xf>
    <xf numFmtId="0" fontId="11" fillId="0" borderId="39" xfId="0" applyFont="1" applyBorder="1" applyAlignment="1">
      <alignment wrapText="1"/>
    </xf>
    <xf numFmtId="0" fontId="11" fillId="0" borderId="33" xfId="0" applyFont="1" applyBorder="1" applyAlignment="1">
      <alignment wrapText="1"/>
    </xf>
    <xf numFmtId="0" fontId="6" fillId="0" borderId="32" xfId="0" applyFont="1" applyBorder="1" applyAlignment="1">
      <alignment wrapText="1"/>
    </xf>
    <xf numFmtId="0" fontId="11" fillId="0" borderId="37" xfId="0" applyFont="1" applyBorder="1" applyAlignment="1">
      <alignment wrapText="1"/>
    </xf>
    <xf numFmtId="0" fontId="7" fillId="0" borderId="0" xfId="0" applyFont="1" applyAlignment="1">
      <alignment horizontal="left" wrapText="1"/>
    </xf>
    <xf numFmtId="0" fontId="11" fillId="0" borderId="34" xfId="0" applyFont="1" applyBorder="1" applyAlignment="1">
      <alignment wrapText="1"/>
    </xf>
    <xf numFmtId="0" fontId="11" fillId="0" borderId="32" xfId="1" applyFont="1" applyBorder="1" applyAlignment="1">
      <alignment horizontal="center"/>
    </xf>
    <xf numFmtId="2" fontId="5" fillId="0" borderId="4" xfId="0" applyNumberFormat="1" applyFont="1" applyBorder="1" applyAlignment="1">
      <alignment horizontal="right"/>
    </xf>
    <xf numFmtId="0" fontId="5" fillId="0" borderId="0" xfId="0" applyFont="1" applyAlignment="1">
      <alignment horizontal="right"/>
    </xf>
    <xf numFmtId="0" fontId="5" fillId="0" borderId="36" xfId="0" applyFont="1" applyBorder="1" applyAlignment="1">
      <alignment horizontal="right"/>
    </xf>
    <xf numFmtId="0" fontId="11" fillId="0" borderId="38" xfId="1" applyFont="1" applyBorder="1" applyAlignment="1">
      <alignment horizontal="left" wrapText="1"/>
    </xf>
    <xf numFmtId="0" fontId="11" fillId="0" borderId="39" xfId="1" applyFont="1" applyBorder="1" applyAlignment="1">
      <alignment horizontal="left" wrapText="1"/>
    </xf>
    <xf numFmtId="0" fontId="11" fillId="0" borderId="33" xfId="1" applyFont="1" applyBorder="1" applyAlignment="1">
      <alignment horizontal="left" wrapText="1"/>
    </xf>
    <xf numFmtId="0" fontId="11" fillId="0" borderId="39" xfId="0" applyFont="1" applyBorder="1" applyAlignment="1">
      <alignment horizontal="center"/>
    </xf>
    <xf numFmtId="0" fontId="11" fillId="0" borderId="33" xfId="0" applyFont="1" applyBorder="1" applyAlignment="1">
      <alignment horizontal="center"/>
    </xf>
    <xf numFmtId="0" fontId="11" fillId="0" borderId="12" xfId="0" applyFont="1" applyBorder="1" applyAlignment="1">
      <alignment horizontal="left" wrapText="1"/>
    </xf>
    <xf numFmtId="0" fontId="11" fillId="0" borderId="0" xfId="0" applyFont="1" applyAlignment="1">
      <alignment horizontal="left" wrapText="1"/>
    </xf>
    <xf numFmtId="0" fontId="11" fillId="0" borderId="38" xfId="0" applyFont="1" applyBorder="1" applyAlignment="1">
      <alignment horizontal="left"/>
    </xf>
    <xf numFmtId="0" fontId="11" fillId="0" borderId="39" xfId="0" applyFont="1" applyBorder="1" applyAlignment="1">
      <alignment horizontal="left"/>
    </xf>
    <xf numFmtId="0" fontId="11" fillId="0" borderId="34" xfId="1" applyFont="1" applyBorder="1" applyAlignment="1">
      <alignment horizontal="left" wrapText="1"/>
    </xf>
    <xf numFmtId="0" fontId="11" fillId="0" borderId="36" xfId="1" applyFont="1" applyBorder="1" applyAlignment="1">
      <alignment horizontal="left" wrapText="1"/>
    </xf>
    <xf numFmtId="0" fontId="11" fillId="0" borderId="12" xfId="1" applyFont="1" applyBorder="1" applyAlignment="1">
      <alignment horizontal="left" vertical="top" wrapText="1"/>
    </xf>
    <xf numFmtId="0" fontId="11" fillId="0" borderId="0" xfId="1" applyFont="1" applyAlignment="1">
      <alignment horizontal="left" vertical="top" wrapText="1"/>
    </xf>
    <xf numFmtId="0" fontId="11" fillId="0" borderId="11" xfId="1" applyFont="1" applyBorder="1" applyAlignment="1">
      <alignment horizontal="left" wrapText="1"/>
    </xf>
    <xf numFmtId="0" fontId="11" fillId="0" borderId="6" xfId="1" applyFont="1" applyBorder="1" applyAlignment="1">
      <alignment horizontal="left" wrapText="1"/>
    </xf>
    <xf numFmtId="0" fontId="11" fillId="0" borderId="1" xfId="0" applyFont="1" applyBorder="1" applyAlignment="1">
      <alignment horizontal="left"/>
    </xf>
    <xf numFmtId="0" fontId="11" fillId="0" borderId="5" xfId="0" applyFont="1" applyBorder="1" applyAlignment="1">
      <alignment horizontal="left"/>
    </xf>
    <xf numFmtId="0" fontId="11" fillId="0" borderId="34" xfId="0" applyFont="1" applyBorder="1" applyAlignment="1">
      <alignment horizontal="left" wrapText="1"/>
    </xf>
    <xf numFmtId="0" fontId="11" fillId="0" borderId="36" xfId="0" applyFont="1" applyBorder="1" applyAlignment="1">
      <alignment horizontal="left" wrapText="1"/>
    </xf>
    <xf numFmtId="0" fontId="11" fillId="0" borderId="38" xfId="1" applyFont="1" applyBorder="1" applyAlignment="1">
      <alignment horizontal="left"/>
    </xf>
    <xf numFmtId="0" fontId="11" fillId="0" borderId="39" xfId="1" applyFont="1" applyBorder="1" applyAlignment="1">
      <alignment horizontal="left"/>
    </xf>
    <xf numFmtId="0" fontId="11" fillId="0" borderId="34" xfId="1" applyFont="1" applyBorder="1" applyAlignment="1">
      <alignment horizontal="left"/>
    </xf>
    <xf numFmtId="0" fontId="11" fillId="0" borderId="36" xfId="1" applyFont="1" applyBorder="1" applyAlignment="1">
      <alignment horizontal="left"/>
    </xf>
    <xf numFmtId="0" fontId="11" fillId="0" borderId="34" xfId="0" applyFont="1" applyBorder="1" applyAlignment="1">
      <alignment horizontal="left" vertical="center" wrapText="1"/>
    </xf>
    <xf numFmtId="0" fontId="11" fillId="0" borderId="36" xfId="0" applyFont="1" applyBorder="1" applyAlignment="1">
      <alignment horizontal="left" vertical="center" wrapText="1"/>
    </xf>
    <xf numFmtId="0" fontId="11" fillId="0" borderId="11" xfId="0" applyFont="1" applyBorder="1" applyAlignment="1">
      <alignment horizontal="left" wrapText="1"/>
    </xf>
    <xf numFmtId="0" fontId="11" fillId="0" borderId="6" xfId="0" applyFont="1" applyBorder="1" applyAlignment="1">
      <alignment horizontal="left" wrapText="1"/>
    </xf>
    <xf numFmtId="0" fontId="11" fillId="0" borderId="4" xfId="1" applyFont="1" applyBorder="1" applyAlignment="1">
      <alignment horizontal="left"/>
    </xf>
    <xf numFmtId="0" fontId="11" fillId="0" borderId="7" xfId="1" applyFont="1" applyBorder="1" applyAlignment="1">
      <alignment horizontal="left"/>
    </xf>
    <xf numFmtId="0" fontId="11" fillId="0" borderId="8" xfId="1" applyFont="1" applyBorder="1" applyAlignment="1">
      <alignment horizontal="left"/>
    </xf>
    <xf numFmtId="2" fontId="11" fillId="0" borderId="1" xfId="1" applyNumberFormat="1" applyFont="1" applyBorder="1" applyAlignment="1">
      <alignment horizontal="center"/>
    </xf>
    <xf numFmtId="2" fontId="11" fillId="0" borderId="5" xfId="1" applyNumberFormat="1" applyFont="1" applyBorder="1" applyAlignment="1">
      <alignment horizontal="center"/>
    </xf>
    <xf numFmtId="2" fontId="11" fillId="0" borderId="2" xfId="1" applyNumberFormat="1" applyFont="1" applyBorder="1" applyAlignment="1">
      <alignment horizontal="center"/>
    </xf>
    <xf numFmtId="2" fontId="11" fillId="0" borderId="38" xfId="1" applyNumberFormat="1" applyFont="1" applyBorder="1" applyAlignment="1">
      <alignment horizontal="center"/>
    </xf>
    <xf numFmtId="2" fontId="11" fillId="0" borderId="39" xfId="1" applyNumberFormat="1" applyFont="1" applyBorder="1" applyAlignment="1">
      <alignment horizontal="center"/>
    </xf>
    <xf numFmtId="2" fontId="11" fillId="0" borderId="33" xfId="1" applyNumberFormat="1" applyFont="1" applyBorder="1" applyAlignment="1">
      <alignment horizontal="center"/>
    </xf>
    <xf numFmtId="0" fontId="12" fillId="0" borderId="34" xfId="0" applyFont="1" applyBorder="1" applyAlignment="1">
      <alignment horizontal="left"/>
    </xf>
    <xf numFmtId="0" fontId="12" fillId="0" borderId="36" xfId="0" applyFont="1" applyBorder="1" applyAlignment="1">
      <alignment horizontal="left"/>
    </xf>
    <xf numFmtId="0" fontId="12" fillId="0" borderId="12" xfId="0" applyFont="1" applyBorder="1" applyAlignment="1">
      <alignment horizontal="left" wrapText="1"/>
    </xf>
    <xf numFmtId="0" fontId="12" fillId="0" borderId="0" xfId="0" applyFont="1" applyAlignment="1">
      <alignment horizontal="left" wrapText="1"/>
    </xf>
    <xf numFmtId="46" fontId="5" fillId="0" borderId="6" xfId="0" applyNumberFormat="1" applyFont="1" applyBorder="1" applyAlignment="1">
      <alignment horizontal="left" wrapText="1"/>
    </xf>
    <xf numFmtId="0" fontId="11" fillId="0" borderId="12" xfId="0" applyFont="1" applyBorder="1" applyAlignment="1">
      <alignment horizontal="left" vertical="center" wrapText="1"/>
    </xf>
    <xf numFmtId="0" fontId="11" fillId="0" borderId="0" xfId="0" applyFont="1" applyAlignment="1">
      <alignment horizontal="left" vertical="center" wrapText="1"/>
    </xf>
    <xf numFmtId="0" fontId="11" fillId="0" borderId="12" xfId="3" applyFont="1" applyBorder="1" applyAlignment="1">
      <alignment horizontal="left" wrapText="1"/>
    </xf>
    <xf numFmtId="0" fontId="11" fillId="0" borderId="0" xfId="3" applyFont="1" applyAlignment="1">
      <alignment horizontal="left" wrapText="1"/>
    </xf>
    <xf numFmtId="2" fontId="11" fillId="0" borderId="1" xfId="0" applyNumberFormat="1" applyFont="1" applyBorder="1" applyAlignment="1">
      <alignment horizontal="center"/>
    </xf>
    <xf numFmtId="2" fontId="11" fillId="0" borderId="5" xfId="0" applyNumberFormat="1" applyFont="1" applyBorder="1" applyAlignment="1">
      <alignment horizontal="center"/>
    </xf>
    <xf numFmtId="2" fontId="11" fillId="0" borderId="2" xfId="0" applyNumberFormat="1" applyFont="1" applyBorder="1" applyAlignment="1">
      <alignment horizontal="center"/>
    </xf>
    <xf numFmtId="0" fontId="11" fillId="0" borderId="7" xfId="0" applyFont="1" applyBorder="1" applyAlignment="1">
      <alignment horizontal="left" wrapText="1"/>
    </xf>
    <xf numFmtId="0" fontId="11" fillId="0" borderId="8" xfId="0" applyFont="1" applyBorder="1" applyAlignment="1">
      <alignment horizontal="left" wrapText="1"/>
    </xf>
    <xf numFmtId="0" fontId="11" fillId="0" borderId="0" xfId="1" applyFont="1" applyBorder="1"/>
    <xf numFmtId="0" fontId="11" fillId="0" borderId="0" xfId="1" applyFont="1" applyBorder="1" applyAlignment="1">
      <alignment wrapText="1"/>
    </xf>
    <xf numFmtId="0" fontId="11" fillId="0" borderId="0" xfId="0" applyFont="1" applyBorder="1"/>
    <xf numFmtId="0" fontId="11" fillId="0" borderId="44" xfId="1" applyFont="1" applyBorder="1" applyAlignment="1">
      <alignment wrapText="1"/>
    </xf>
    <xf numFmtId="0" fontId="11" fillId="0" borderId="45" xfId="1" applyFont="1" applyBorder="1" applyAlignment="1">
      <alignment wrapText="1"/>
    </xf>
    <xf numFmtId="0" fontId="11" fillId="0" borderId="46" xfId="1" applyFont="1" applyBorder="1" applyAlignment="1">
      <alignment wrapText="1"/>
    </xf>
    <xf numFmtId="0" fontId="11" fillId="0" borderId="44" xfId="1" applyFont="1" applyBorder="1"/>
    <xf numFmtId="0" fontId="11" fillId="0" borderId="45" xfId="1" applyFont="1" applyBorder="1"/>
    <xf numFmtId="0" fontId="11" fillId="0" borderId="45" xfId="0" applyFont="1" applyBorder="1"/>
    <xf numFmtId="0" fontId="11" fillId="0" borderId="46" xfId="0" applyFont="1" applyBorder="1"/>
  </cellXfs>
  <cellStyles count="11">
    <cellStyle name="Comma [0]" xfId="8" builtinId="6"/>
    <cellStyle name="Comma [0] 2" xfId="9" xr:uid="{15BE6873-DCEF-47FA-9EBF-7847D7F2AC03}"/>
    <cellStyle name="Normal" xfId="0" builtinId="0"/>
    <cellStyle name="Normal 2" xfId="1" xr:uid="{00000000-0005-0000-0000-000001000000}"/>
    <cellStyle name="Normal 3" xfId="4" xr:uid="{00000000-0005-0000-0000-000002000000}"/>
    <cellStyle name="Normal 3 2" xfId="10" xr:uid="{737AFF2C-E8F3-4F05-B0D3-ADE26FDD4D83}"/>
    <cellStyle name="Normal 4" xfId="5" xr:uid="{64DFD5AE-932A-43CB-89FD-77DBA7A77495}"/>
    <cellStyle name="Normal 5" xfId="6" xr:uid="{0B908675-5FC1-47F7-A420-9E22167CE1EC}"/>
    <cellStyle name="표준 3" xfId="7" xr:uid="{62E14E76-F9FB-4938-A6D0-9109D4D5C877}"/>
    <cellStyle name="標準 2" xfId="2" xr:uid="{00000000-0005-0000-0000-000003000000}"/>
    <cellStyle name="標準_COMP FORMS Japan" xfId="3"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D2276"/>
  <sheetViews>
    <sheetView tabSelected="1" zoomScale="115" zoomScaleNormal="115" workbookViewId="0">
      <pane xSplit="2" ySplit="2" topLeftCell="E3" activePane="bottomRight" state="frozen"/>
      <selection pane="topRight" activeCell="C1" sqref="C1"/>
      <selection pane="bottomLeft" activeCell="A3" sqref="A3"/>
      <selection pane="bottomRight"/>
    </sheetView>
  </sheetViews>
  <sheetFormatPr defaultColWidth="9.109375" defaultRowHeight="13.2" x14ac:dyDescent="0.25"/>
  <cols>
    <col min="1" max="1" width="19.88671875" style="3" customWidth="1"/>
    <col min="2" max="4" width="28.5546875" style="3" customWidth="1"/>
    <col min="5" max="5" width="30.5546875" style="3" customWidth="1"/>
    <col min="6" max="9" width="28.5546875" style="3" customWidth="1"/>
    <col min="10" max="10" width="27.44140625" style="3" bestFit="1" customWidth="1"/>
    <col min="11" max="11" width="20.6640625" style="3" customWidth="1"/>
    <col min="12" max="12" width="19.109375" style="3" bestFit="1" customWidth="1"/>
    <col min="13" max="14" width="17.6640625" style="3" bestFit="1" customWidth="1"/>
    <col min="15" max="16" width="10.33203125" style="3" customWidth="1"/>
    <col min="17" max="16384" width="9.109375" style="3"/>
  </cols>
  <sheetData>
    <row r="1" spans="1:26" ht="13.8" x14ac:dyDescent="0.3">
      <c r="A1" s="1" t="s">
        <v>1250</v>
      </c>
      <c r="B1" s="2"/>
      <c r="C1" s="2"/>
      <c r="D1" s="2"/>
      <c r="E1" s="2"/>
      <c r="F1" s="1"/>
      <c r="G1" s="2"/>
    </row>
    <row r="2" spans="1:26" ht="13.8" x14ac:dyDescent="0.3">
      <c r="A2" s="1"/>
      <c r="B2" s="2"/>
      <c r="C2" s="2"/>
      <c r="D2" s="2"/>
      <c r="E2" s="2"/>
      <c r="F2" s="1"/>
      <c r="G2" s="2"/>
    </row>
    <row r="3" spans="1:26" ht="12.75" customHeight="1" x14ac:dyDescent="0.25">
      <c r="A3" s="3" t="s">
        <v>938</v>
      </c>
      <c r="B3" s="4"/>
      <c r="C3" s="4"/>
      <c r="D3" s="4"/>
      <c r="E3" s="4"/>
      <c r="F3" s="4"/>
      <c r="G3" s="4"/>
      <c r="H3" s="4"/>
      <c r="I3" s="4"/>
      <c r="J3" s="4"/>
      <c r="K3" s="4"/>
      <c r="L3" s="4"/>
      <c r="M3" s="4"/>
      <c r="N3" s="4"/>
      <c r="O3" s="4"/>
      <c r="P3" s="4"/>
      <c r="Q3" s="4"/>
      <c r="R3" s="4"/>
      <c r="S3" s="4"/>
      <c r="T3" s="4"/>
      <c r="U3" s="4"/>
      <c r="V3" s="4"/>
      <c r="W3" s="4"/>
      <c r="X3" s="4"/>
      <c r="Y3" s="4"/>
      <c r="Z3" s="4"/>
    </row>
    <row r="4" spans="1:26" ht="12.75" customHeight="1" x14ac:dyDescent="0.25">
      <c r="B4" s="4"/>
      <c r="C4" s="4"/>
      <c r="D4" s="4"/>
      <c r="E4" s="4"/>
      <c r="F4" s="4"/>
      <c r="G4" s="4"/>
      <c r="H4" s="4"/>
      <c r="I4" s="4"/>
      <c r="J4" s="4"/>
      <c r="K4" s="4"/>
      <c r="L4" s="4"/>
      <c r="M4" s="4"/>
      <c r="N4" s="4"/>
      <c r="O4" s="4"/>
      <c r="P4" s="4"/>
      <c r="Q4" s="4"/>
      <c r="R4" s="4"/>
      <c r="S4" s="4"/>
      <c r="T4" s="4"/>
      <c r="U4" s="4"/>
      <c r="V4" s="4"/>
      <c r="W4" s="4"/>
      <c r="X4" s="4"/>
      <c r="Y4" s="4"/>
      <c r="Z4" s="4"/>
    </row>
    <row r="5" spans="1:26" ht="12.75" customHeight="1" x14ac:dyDescent="0.25">
      <c r="A5" s="6" t="s">
        <v>12</v>
      </c>
      <c r="B5" s="7" t="s">
        <v>1254</v>
      </c>
      <c r="C5" s="4"/>
      <c r="D5" s="4"/>
      <c r="E5" s="4"/>
      <c r="F5" s="4"/>
      <c r="G5" s="4"/>
      <c r="H5" s="4"/>
      <c r="I5" s="4"/>
      <c r="J5" s="4"/>
      <c r="K5" s="4"/>
      <c r="L5" s="4"/>
      <c r="M5" s="4"/>
      <c r="N5" s="4"/>
      <c r="O5" s="4"/>
      <c r="P5" s="4"/>
      <c r="Q5" s="4"/>
      <c r="R5" s="4"/>
      <c r="S5" s="4"/>
      <c r="T5" s="4"/>
      <c r="U5" s="4"/>
      <c r="V5" s="4"/>
      <c r="W5" s="4"/>
      <c r="X5" s="4"/>
      <c r="Y5" s="4"/>
      <c r="Z5" s="4"/>
    </row>
    <row r="6" spans="1:26" ht="12.75" customHeight="1" x14ac:dyDescent="0.25">
      <c r="A6" s="98" t="s">
        <v>14</v>
      </c>
      <c r="B6" s="66" t="s">
        <v>641</v>
      </c>
      <c r="C6" s="137" t="s">
        <v>152</v>
      </c>
      <c r="D6" s="8"/>
      <c r="E6" s="8"/>
      <c r="F6" s="8"/>
      <c r="G6" s="4"/>
      <c r="H6" s="4"/>
      <c r="I6" s="4"/>
      <c r="J6" s="4"/>
      <c r="K6" s="4"/>
      <c r="L6" s="4"/>
      <c r="M6" s="4"/>
      <c r="N6" s="4"/>
      <c r="O6" s="4"/>
      <c r="P6" s="4"/>
      <c r="Q6" s="4"/>
      <c r="R6" s="4"/>
      <c r="S6" s="4"/>
      <c r="T6" s="4"/>
      <c r="U6" s="4"/>
      <c r="V6" s="4"/>
      <c r="W6" s="4"/>
      <c r="X6" s="4"/>
      <c r="Y6" s="4"/>
      <c r="Z6" s="4"/>
    </row>
    <row r="7" spans="1:26" ht="12.75" customHeight="1" x14ac:dyDescent="0.25">
      <c r="A7" s="129" t="s">
        <v>16</v>
      </c>
      <c r="B7" s="271">
        <v>2016</v>
      </c>
      <c r="C7" s="271">
        <v>2017</v>
      </c>
      <c r="D7" s="271">
        <v>2018</v>
      </c>
      <c r="E7" s="271">
        <v>2019</v>
      </c>
      <c r="F7" s="271">
        <v>2020</v>
      </c>
      <c r="G7" s="271">
        <v>2021</v>
      </c>
      <c r="H7" s="271">
        <v>2022</v>
      </c>
      <c r="I7" s="271">
        <v>2023</v>
      </c>
      <c r="J7" s="271">
        <v>2024</v>
      </c>
      <c r="K7" s="271">
        <v>2025</v>
      </c>
      <c r="L7" s="4"/>
      <c r="M7" s="4"/>
      <c r="N7" s="4"/>
      <c r="O7" s="4"/>
      <c r="P7" s="4"/>
      <c r="Q7" s="4"/>
      <c r="R7" s="4"/>
      <c r="S7" s="4"/>
      <c r="T7" s="4"/>
      <c r="U7" s="4"/>
      <c r="V7" s="4"/>
      <c r="W7" s="4"/>
      <c r="X7" s="4"/>
    </row>
    <row r="8" spans="1:26" ht="12.75" customHeight="1" x14ac:dyDescent="0.25">
      <c r="A8" s="129" t="s">
        <v>17</v>
      </c>
      <c r="B8" s="130">
        <v>100</v>
      </c>
      <c r="C8" s="130">
        <v>100</v>
      </c>
      <c r="D8" s="130">
        <v>100</v>
      </c>
      <c r="E8" s="662">
        <v>100</v>
      </c>
      <c r="F8" s="662">
        <v>100</v>
      </c>
      <c r="G8" s="662">
        <v>100</v>
      </c>
      <c r="H8" s="662">
        <v>100</v>
      </c>
      <c r="I8" s="662">
        <v>100</v>
      </c>
      <c r="J8" s="662">
        <v>100</v>
      </c>
      <c r="K8" s="662">
        <v>100</v>
      </c>
      <c r="L8" s="4"/>
      <c r="M8" s="4"/>
      <c r="N8" s="4"/>
      <c r="O8" s="4"/>
      <c r="P8" s="4"/>
      <c r="Q8" s="4"/>
      <c r="R8" s="4"/>
      <c r="S8" s="4"/>
      <c r="T8" s="4"/>
      <c r="U8" s="4"/>
      <c r="V8" s="4"/>
      <c r="W8" s="4"/>
      <c r="X8" s="4"/>
    </row>
    <row r="9" spans="1:26" ht="12.75" customHeight="1" x14ac:dyDescent="0.25">
      <c r="A9" s="129" t="s">
        <v>18</v>
      </c>
      <c r="B9" s="130"/>
      <c r="C9" s="130"/>
      <c r="D9" s="130"/>
      <c r="E9" s="662"/>
      <c r="F9" s="662"/>
      <c r="G9" s="662"/>
      <c r="H9" s="662"/>
      <c r="I9" s="662"/>
      <c r="J9" s="662">
        <f>J8+H12</f>
        <v>65.319999999999993</v>
      </c>
      <c r="K9" s="664"/>
      <c r="L9" s="4"/>
      <c r="M9" s="4"/>
      <c r="N9" s="4"/>
      <c r="O9" s="4"/>
      <c r="P9" s="4"/>
      <c r="Q9" s="4"/>
      <c r="R9" s="4"/>
      <c r="S9" s="4"/>
      <c r="T9" s="4"/>
      <c r="U9" s="4"/>
      <c r="V9" s="4"/>
      <c r="W9" s="4"/>
      <c r="X9" s="4"/>
    </row>
    <row r="10" spans="1:26" ht="12.75" customHeight="1" x14ac:dyDescent="0.25">
      <c r="A10" s="129" t="s">
        <v>19</v>
      </c>
      <c r="B10" s="663"/>
      <c r="C10" s="663"/>
      <c r="D10" s="663"/>
      <c r="E10" s="662"/>
      <c r="F10" s="662"/>
      <c r="G10" s="662"/>
      <c r="H10" s="662"/>
      <c r="I10" s="662"/>
      <c r="J10" s="662"/>
      <c r="K10" s="662"/>
      <c r="L10" s="4"/>
      <c r="M10" s="4"/>
      <c r="N10" s="4"/>
      <c r="O10" s="4"/>
      <c r="P10" s="4"/>
      <c r="Q10" s="4"/>
      <c r="R10" s="4"/>
      <c r="S10" s="4"/>
      <c r="T10" s="4"/>
      <c r="U10" s="4"/>
      <c r="V10" s="4"/>
      <c r="W10" s="4"/>
      <c r="X10" s="4"/>
    </row>
    <row r="11" spans="1:26" ht="12.6" customHeight="1" x14ac:dyDescent="0.25">
      <c r="A11" s="129" t="s">
        <v>20</v>
      </c>
      <c r="B11" s="130">
        <v>0</v>
      </c>
      <c r="C11" s="130">
        <v>13.5</v>
      </c>
      <c r="D11" s="130">
        <v>0</v>
      </c>
      <c r="E11" s="664">
        <v>0</v>
      </c>
      <c r="F11" s="664">
        <v>0</v>
      </c>
      <c r="G11" s="664">
        <v>45.082000000000001</v>
      </c>
      <c r="H11" s="664">
        <v>134.68</v>
      </c>
      <c r="I11" s="664">
        <v>22.178999999999998</v>
      </c>
      <c r="J11" s="664">
        <v>32.44</v>
      </c>
      <c r="K11" s="664"/>
      <c r="L11" s="4"/>
      <c r="M11" s="4"/>
      <c r="N11" s="4"/>
      <c r="O11" s="4"/>
      <c r="P11" s="4"/>
      <c r="Q11" s="4"/>
      <c r="R11" s="4"/>
      <c r="S11" s="4"/>
      <c r="T11" s="4"/>
      <c r="U11" s="4"/>
      <c r="V11" s="4"/>
      <c r="W11" s="4"/>
      <c r="X11" s="4"/>
    </row>
    <row r="12" spans="1:26" ht="12.75" customHeight="1" x14ac:dyDescent="0.25">
      <c r="A12" s="129" t="s">
        <v>21</v>
      </c>
      <c r="B12" s="130"/>
      <c r="C12" s="130">
        <v>86.5</v>
      </c>
      <c r="D12" s="130">
        <v>100</v>
      </c>
      <c r="E12" s="662">
        <v>100</v>
      </c>
      <c r="F12" s="662">
        <v>100</v>
      </c>
      <c r="G12" s="662">
        <v>54.917999999999999</v>
      </c>
      <c r="H12" s="669">
        <v>-34.680000000000007</v>
      </c>
      <c r="I12" s="664">
        <f>I8-I11</f>
        <v>77.820999999999998</v>
      </c>
      <c r="J12" s="664">
        <f>J9-J11</f>
        <v>32.879999999999995</v>
      </c>
      <c r="K12" s="664"/>
      <c r="L12" s="4"/>
      <c r="M12" s="4"/>
      <c r="N12" s="4"/>
      <c r="O12" s="4"/>
      <c r="P12" s="4"/>
      <c r="Q12" s="4"/>
      <c r="R12" s="4"/>
      <c r="S12" s="4"/>
      <c r="T12" s="4"/>
      <c r="U12" s="4"/>
      <c r="V12" s="4"/>
      <c r="W12" s="4"/>
      <c r="X12" s="4"/>
    </row>
    <row r="13" spans="1:26" ht="12.75" customHeight="1" x14ac:dyDescent="0.25">
      <c r="A13" s="272" t="s">
        <v>22</v>
      </c>
      <c r="B13" s="665"/>
      <c r="C13" s="665"/>
      <c r="D13" s="665"/>
      <c r="E13" s="666"/>
      <c r="F13" s="666"/>
      <c r="G13" s="666"/>
      <c r="H13" s="666">
        <v>2024</v>
      </c>
      <c r="I13" s="666">
        <v>2025</v>
      </c>
      <c r="J13" s="666">
        <v>2026</v>
      </c>
      <c r="K13" s="666">
        <v>2027</v>
      </c>
      <c r="L13" s="4"/>
      <c r="M13" s="4"/>
      <c r="N13" s="4"/>
      <c r="O13" s="4"/>
      <c r="P13" s="4"/>
      <c r="Q13" s="4"/>
      <c r="R13" s="4"/>
      <c r="S13" s="4"/>
      <c r="T13" s="4"/>
      <c r="U13" s="4"/>
      <c r="V13" s="4"/>
      <c r="W13" s="4"/>
      <c r="X13" s="4"/>
    </row>
    <row r="14" spans="1:26" ht="12.75" customHeight="1" x14ac:dyDescent="0.25">
      <c r="A14" s="436" t="s">
        <v>23</v>
      </c>
      <c r="B14" s="656"/>
      <c r="C14" s="647"/>
      <c r="D14" s="647"/>
      <c r="E14" s="656"/>
      <c r="F14" s="656"/>
      <c r="G14" s="667"/>
      <c r="H14" s="667"/>
      <c r="I14" s="667"/>
      <c r="J14" s="668"/>
      <c r="K14" s="668"/>
      <c r="L14" s="4"/>
      <c r="M14" s="4"/>
      <c r="N14" s="4"/>
      <c r="O14" s="4"/>
      <c r="P14" s="4"/>
      <c r="Q14" s="4"/>
      <c r="R14" s="4"/>
      <c r="S14" s="4"/>
      <c r="T14" s="4"/>
      <c r="U14" s="4"/>
      <c r="V14" s="4"/>
      <c r="W14" s="4"/>
      <c r="X14" s="4"/>
      <c r="Y14" s="4"/>
      <c r="Z14" s="4"/>
    </row>
    <row r="15" spans="1:26" s="5" customFormat="1" ht="13.8" x14ac:dyDescent="0.3"/>
    <row r="16" spans="1:26" ht="13.8" x14ac:dyDescent="0.3">
      <c r="A16" s="6" t="s">
        <v>12</v>
      </c>
      <c r="B16" s="7" t="s">
        <v>756</v>
      </c>
      <c r="C16" s="8"/>
      <c r="F16" s="1"/>
      <c r="G16" s="2"/>
    </row>
    <row r="17" spans="1:7" ht="13.8" x14ac:dyDescent="0.3">
      <c r="A17" s="6" t="s">
        <v>14</v>
      </c>
      <c r="B17" s="7" t="s">
        <v>642</v>
      </c>
      <c r="C17" s="9" t="s">
        <v>15</v>
      </c>
      <c r="F17" s="1"/>
      <c r="G17" s="2"/>
    </row>
    <row r="18" spans="1:7" x14ac:dyDescent="0.25">
      <c r="A18" s="10" t="s">
        <v>16</v>
      </c>
      <c r="B18" s="11"/>
      <c r="C18" s="11">
        <v>2021</v>
      </c>
      <c r="D18" s="11">
        <v>2022</v>
      </c>
      <c r="E18" s="11">
        <v>2023</v>
      </c>
      <c r="F18" s="11">
        <v>2024</v>
      </c>
      <c r="G18" s="11">
        <v>2025</v>
      </c>
    </row>
    <row r="19" spans="1:7" x14ac:dyDescent="0.25">
      <c r="A19" s="10" t="s">
        <v>17</v>
      </c>
      <c r="B19" s="12"/>
      <c r="C19" s="12">
        <v>170</v>
      </c>
      <c r="D19" s="12">
        <v>170</v>
      </c>
      <c r="E19" s="12">
        <v>264</v>
      </c>
      <c r="F19" s="12">
        <v>264</v>
      </c>
      <c r="G19" s="12">
        <v>264</v>
      </c>
    </row>
    <row r="20" spans="1:7" x14ac:dyDescent="0.25">
      <c r="A20" s="10" t="s">
        <v>18</v>
      </c>
      <c r="B20" s="12"/>
      <c r="C20" s="12"/>
      <c r="D20" s="12">
        <f>D19+0.05*C19</f>
        <v>178.5</v>
      </c>
      <c r="E20" s="12"/>
      <c r="F20" s="12"/>
      <c r="G20" s="12"/>
    </row>
    <row r="21" spans="1:7" x14ac:dyDescent="0.25">
      <c r="A21" s="10" t="s">
        <v>19</v>
      </c>
      <c r="B21" s="13"/>
      <c r="C21" s="14"/>
      <c r="D21" s="14" t="s">
        <v>757</v>
      </c>
      <c r="E21" s="14"/>
      <c r="F21" s="14"/>
      <c r="G21" s="14"/>
    </row>
    <row r="22" spans="1:7" x14ac:dyDescent="0.25">
      <c r="A22" s="10" t="s">
        <v>20</v>
      </c>
      <c r="B22" s="12"/>
      <c r="C22" s="12">
        <v>148.4</v>
      </c>
      <c r="D22" s="12">
        <v>177.5</v>
      </c>
      <c r="E22" s="12">
        <v>263.86921999999998</v>
      </c>
      <c r="F22" s="15">
        <v>262.95</v>
      </c>
      <c r="G22" s="15"/>
    </row>
    <row r="23" spans="1:7" x14ac:dyDescent="0.25">
      <c r="A23" s="10" t="s">
        <v>21</v>
      </c>
      <c r="B23" s="12"/>
      <c r="C23" s="12">
        <f>C19-C22</f>
        <v>21.599999999999994</v>
      </c>
      <c r="D23" s="12">
        <f>D20-D22</f>
        <v>1</v>
      </c>
      <c r="E23" s="12">
        <f>E19-E22</f>
        <v>0.13078000000001566</v>
      </c>
      <c r="F23" s="15">
        <f>F19-F22</f>
        <v>1.0500000000000114</v>
      </c>
      <c r="G23" s="15"/>
    </row>
    <row r="24" spans="1:7" x14ac:dyDescent="0.25">
      <c r="A24" s="16" t="s">
        <v>22</v>
      </c>
      <c r="B24" s="17"/>
      <c r="C24" s="17">
        <v>2022</v>
      </c>
      <c r="D24" s="17">
        <v>2023</v>
      </c>
      <c r="E24" s="17">
        <v>2024</v>
      </c>
      <c r="F24" s="17">
        <v>2025</v>
      </c>
      <c r="G24" s="17">
        <v>2026</v>
      </c>
    </row>
    <row r="25" spans="1:7" ht="13.8" x14ac:dyDescent="0.3">
      <c r="A25" s="18" t="s">
        <v>23</v>
      </c>
      <c r="B25" s="19"/>
      <c r="C25" s="19"/>
      <c r="D25" s="19"/>
      <c r="E25" s="19"/>
      <c r="F25" s="20"/>
      <c r="G25" s="21"/>
    </row>
    <row r="26" spans="1:7" ht="31.95" customHeight="1" x14ac:dyDescent="0.3">
      <c r="A26" s="702" t="s">
        <v>758</v>
      </c>
      <c r="B26" s="703"/>
      <c r="C26" s="703"/>
      <c r="D26" s="703"/>
      <c r="E26" s="703"/>
      <c r="F26" s="23"/>
      <c r="G26" s="24"/>
    </row>
    <row r="27" spans="1:7" ht="13.8" x14ac:dyDescent="0.3">
      <c r="A27" s="1"/>
      <c r="B27" s="2"/>
      <c r="C27" s="2"/>
      <c r="D27" s="2"/>
      <c r="E27" s="2"/>
      <c r="F27" s="1"/>
      <c r="G27" s="2"/>
    </row>
    <row r="28" spans="1:7" s="5" customFormat="1" ht="13.8" x14ac:dyDescent="0.3"/>
    <row r="29" spans="1:7" ht="13.8" x14ac:dyDescent="0.3">
      <c r="A29" s="6" t="s">
        <v>12</v>
      </c>
      <c r="B29" s="7" t="s">
        <v>980</v>
      </c>
      <c r="C29" s="8"/>
      <c r="F29" s="1"/>
      <c r="G29" s="2"/>
    </row>
    <row r="30" spans="1:7" ht="13.8" x14ac:dyDescent="0.3">
      <c r="A30" s="6" t="s">
        <v>14</v>
      </c>
      <c r="B30" s="7" t="s">
        <v>642</v>
      </c>
      <c r="C30" s="9" t="s">
        <v>15</v>
      </c>
      <c r="F30" s="1"/>
      <c r="G30" s="2"/>
    </row>
    <row r="31" spans="1:7" x14ac:dyDescent="0.25">
      <c r="A31" s="10" t="s">
        <v>16</v>
      </c>
      <c r="B31" s="11"/>
      <c r="C31" s="11">
        <v>2023</v>
      </c>
      <c r="D31" s="11">
        <v>2024</v>
      </c>
      <c r="E31" s="587">
        <v>2025</v>
      </c>
      <c r="F31" s="2"/>
    </row>
    <row r="32" spans="1:7" x14ac:dyDescent="0.25">
      <c r="A32" s="10" t="s">
        <v>17</v>
      </c>
      <c r="B32" s="12"/>
      <c r="C32" s="12">
        <v>2023</v>
      </c>
      <c r="D32" s="12">
        <v>2023</v>
      </c>
      <c r="E32" s="588">
        <v>2023</v>
      </c>
      <c r="F32" s="2"/>
    </row>
    <row r="33" spans="1:9" x14ac:dyDescent="0.25">
      <c r="A33" s="10" t="s">
        <v>18</v>
      </c>
      <c r="B33" s="12"/>
      <c r="C33" s="12"/>
      <c r="D33" s="12">
        <f>D32+23</f>
        <v>2046</v>
      </c>
      <c r="E33" s="27">
        <v>2052.65</v>
      </c>
      <c r="F33" s="2"/>
    </row>
    <row r="34" spans="1:9" ht="26.4" x14ac:dyDescent="0.25">
      <c r="A34" s="10" t="s">
        <v>19</v>
      </c>
      <c r="B34" s="13"/>
      <c r="C34" s="14"/>
      <c r="D34" s="14" t="s">
        <v>981</v>
      </c>
      <c r="E34" s="28" t="s">
        <v>1136</v>
      </c>
      <c r="F34" s="2"/>
    </row>
    <row r="35" spans="1:9" x14ac:dyDescent="0.25">
      <c r="A35" s="10" t="s">
        <v>20</v>
      </c>
      <c r="B35" s="12"/>
      <c r="C35" s="12">
        <v>1999.9290000000001</v>
      </c>
      <c r="D35" s="15">
        <v>2011.35</v>
      </c>
      <c r="E35" s="588"/>
      <c r="F35" s="2"/>
    </row>
    <row r="36" spans="1:9" x14ac:dyDescent="0.25">
      <c r="A36" s="10" t="s">
        <v>21</v>
      </c>
      <c r="B36" s="12"/>
      <c r="C36" s="12">
        <f>C32-C35</f>
        <v>23.070999999999913</v>
      </c>
      <c r="D36" s="15">
        <f>D33-D35</f>
        <v>34.650000000000091</v>
      </c>
      <c r="E36" s="588"/>
      <c r="F36" s="2"/>
    </row>
    <row r="37" spans="1:9" x14ac:dyDescent="0.25">
      <c r="A37" s="16" t="s">
        <v>22</v>
      </c>
      <c r="B37" s="17"/>
      <c r="C37" s="17">
        <v>2024</v>
      </c>
      <c r="D37" s="17">
        <v>2025</v>
      </c>
      <c r="E37" s="589">
        <v>2026</v>
      </c>
      <c r="F37" s="2"/>
    </row>
    <row r="38" spans="1:9" ht="13.8" x14ac:dyDescent="0.3">
      <c r="A38" s="29" t="s">
        <v>23</v>
      </c>
      <c r="B38" s="30"/>
      <c r="C38" s="30"/>
      <c r="D38" s="30"/>
      <c r="E38" s="31"/>
      <c r="F38" s="2"/>
    </row>
    <row r="39" spans="1:9" ht="31.95" customHeight="1" x14ac:dyDescent="0.3">
      <c r="A39" s="683" t="s">
        <v>982</v>
      </c>
      <c r="B39" s="683"/>
      <c r="C39" s="683"/>
      <c r="D39" s="683"/>
      <c r="E39" s="1"/>
      <c r="F39" s="2"/>
    </row>
    <row r="40" spans="1:9" s="34" customFormat="1" ht="31.95" customHeight="1" x14ac:dyDescent="0.3">
      <c r="A40" s="717" t="s">
        <v>1135</v>
      </c>
      <c r="B40" s="717"/>
      <c r="C40" s="717"/>
      <c r="D40" s="717"/>
      <c r="E40" s="23"/>
      <c r="F40" s="33"/>
    </row>
    <row r="41" spans="1:9" ht="13.8" x14ac:dyDescent="0.3">
      <c r="A41" s="35"/>
      <c r="B41" s="35"/>
      <c r="C41" s="35"/>
      <c r="D41" s="35"/>
      <c r="E41" s="1"/>
      <c r="F41" s="2"/>
    </row>
    <row r="42" spans="1:9" ht="13.8" x14ac:dyDescent="0.3">
      <c r="A42" s="1"/>
      <c r="B42" s="2"/>
      <c r="C42" s="2"/>
      <c r="D42" s="2"/>
      <c r="E42" s="2"/>
      <c r="F42" s="1"/>
      <c r="G42" s="2"/>
    </row>
    <row r="43" spans="1:9" x14ac:dyDescent="0.25">
      <c r="A43" s="6" t="s">
        <v>12</v>
      </c>
      <c r="B43" s="7" t="s">
        <v>202</v>
      </c>
      <c r="C43" s="8"/>
    </row>
    <row r="44" spans="1:9" x14ac:dyDescent="0.25">
      <c r="A44" s="6" t="s">
        <v>14</v>
      </c>
      <c r="B44" s="7" t="s">
        <v>624</v>
      </c>
      <c r="C44" s="9" t="s">
        <v>15</v>
      </c>
    </row>
    <row r="45" spans="1:9" x14ac:dyDescent="0.25">
      <c r="A45" s="10" t="s">
        <v>16</v>
      </c>
      <c r="B45" s="11"/>
      <c r="C45" s="11">
        <v>2019</v>
      </c>
      <c r="D45" s="11">
        <v>2020</v>
      </c>
      <c r="E45" s="11">
        <v>2021</v>
      </c>
      <c r="F45" s="11">
        <v>2022</v>
      </c>
      <c r="G45" s="11">
        <v>2023</v>
      </c>
      <c r="H45" s="11">
        <v>2024</v>
      </c>
      <c r="I45" s="587">
        <v>2025</v>
      </c>
    </row>
    <row r="46" spans="1:9" x14ac:dyDescent="0.25">
      <c r="A46" s="10" t="s">
        <v>17</v>
      </c>
      <c r="B46" s="12"/>
      <c r="C46" s="12">
        <v>215</v>
      </c>
      <c r="D46" s="12">
        <v>215</v>
      </c>
      <c r="E46" s="12">
        <v>242</v>
      </c>
      <c r="F46" s="12">
        <v>242</v>
      </c>
      <c r="G46" s="12">
        <v>242</v>
      </c>
      <c r="H46" s="12">
        <v>302</v>
      </c>
      <c r="I46" s="588">
        <v>302</v>
      </c>
    </row>
    <row r="47" spans="1:9" x14ac:dyDescent="0.25">
      <c r="A47" s="10" t="s">
        <v>18</v>
      </c>
      <c r="B47" s="12"/>
      <c r="C47" s="12">
        <v>265</v>
      </c>
      <c r="D47" s="12">
        <v>265</v>
      </c>
      <c r="E47" s="12">
        <f>E46+0.25*C46</f>
        <v>295.75</v>
      </c>
      <c r="F47" s="12">
        <f>F46+0.25*D46</f>
        <v>295.75</v>
      </c>
      <c r="G47" s="12">
        <f>G46+0.25*E46</f>
        <v>302.5</v>
      </c>
      <c r="H47" s="12">
        <f>H46+0.25*F46</f>
        <v>362.5</v>
      </c>
      <c r="I47" s="588">
        <f>I46+0.25*G46</f>
        <v>362.5</v>
      </c>
    </row>
    <row r="48" spans="1:9" x14ac:dyDescent="0.25">
      <c r="A48" s="10" t="s">
        <v>19</v>
      </c>
      <c r="B48" s="13"/>
      <c r="C48" s="14">
        <v>1</v>
      </c>
      <c r="D48" s="14">
        <v>2</v>
      </c>
      <c r="E48" s="14">
        <v>3</v>
      </c>
      <c r="F48" s="14">
        <v>4</v>
      </c>
      <c r="G48" s="14">
        <v>5</v>
      </c>
      <c r="H48" s="14">
        <v>6</v>
      </c>
      <c r="I48" s="590">
        <v>7</v>
      </c>
    </row>
    <row r="49" spans="1:9" x14ac:dyDescent="0.25">
      <c r="A49" s="10" t="s">
        <v>20</v>
      </c>
      <c r="B49" s="12"/>
      <c r="C49" s="12">
        <v>7.12</v>
      </c>
      <c r="D49" s="12">
        <v>10.18</v>
      </c>
      <c r="E49" s="12">
        <v>12.5</v>
      </c>
      <c r="F49" s="12">
        <v>11.74</v>
      </c>
      <c r="G49" s="12">
        <v>13.9</v>
      </c>
      <c r="H49" s="12">
        <v>4.1399999999999997</v>
      </c>
      <c r="I49" s="588"/>
    </row>
    <row r="50" spans="1:9" x14ac:dyDescent="0.25">
      <c r="A50" s="10" t="s">
        <v>21</v>
      </c>
      <c r="B50" s="12"/>
      <c r="C50" s="12">
        <f t="shared" ref="C50:H50" si="0">C47-C49</f>
        <v>257.88</v>
      </c>
      <c r="D50" s="12">
        <f t="shared" si="0"/>
        <v>254.82</v>
      </c>
      <c r="E50" s="12">
        <f t="shared" si="0"/>
        <v>283.25</v>
      </c>
      <c r="F50" s="12">
        <f t="shared" si="0"/>
        <v>284.01</v>
      </c>
      <c r="G50" s="12">
        <f t="shared" si="0"/>
        <v>288.60000000000002</v>
      </c>
      <c r="H50" s="12">
        <f t="shared" si="0"/>
        <v>358.36</v>
      </c>
      <c r="I50" s="588"/>
    </row>
    <row r="51" spans="1:9" x14ac:dyDescent="0.25">
      <c r="A51" s="16" t="s">
        <v>22</v>
      </c>
      <c r="B51" s="17"/>
      <c r="C51" s="17">
        <v>2021</v>
      </c>
      <c r="D51" s="17">
        <v>2022</v>
      </c>
      <c r="E51" s="17">
        <v>2023</v>
      </c>
      <c r="F51" s="17">
        <v>2024</v>
      </c>
      <c r="G51" s="17">
        <v>2025</v>
      </c>
      <c r="H51" s="17">
        <v>2026</v>
      </c>
      <c r="I51" s="589">
        <v>2027</v>
      </c>
    </row>
    <row r="52" spans="1:9" x14ac:dyDescent="0.25">
      <c r="A52" s="10" t="s">
        <v>23</v>
      </c>
      <c r="B52" s="36"/>
      <c r="C52" s="36"/>
      <c r="D52" s="36"/>
      <c r="E52" s="36"/>
      <c r="F52" s="36"/>
      <c r="G52" s="37"/>
      <c r="H52" s="38"/>
      <c r="I52" s="38"/>
    </row>
    <row r="53" spans="1:9" x14ac:dyDescent="0.25">
      <c r="A53" s="18" t="s">
        <v>984</v>
      </c>
      <c r="B53" s="19"/>
      <c r="C53" s="19"/>
      <c r="D53" s="19"/>
      <c r="E53" s="19"/>
      <c r="F53" s="19"/>
      <c r="G53" s="63"/>
      <c r="H53" s="591"/>
      <c r="I53" s="591"/>
    </row>
    <row r="54" spans="1:9" x14ac:dyDescent="0.25">
      <c r="A54" s="18">
        <v>1</v>
      </c>
      <c r="B54" s="19" t="s">
        <v>759</v>
      </c>
      <c r="C54" s="19"/>
      <c r="D54" s="19"/>
      <c r="E54" s="19"/>
      <c r="F54" s="19"/>
      <c r="G54" s="19"/>
      <c r="H54" s="592"/>
      <c r="I54" s="591"/>
    </row>
    <row r="55" spans="1:9" x14ac:dyDescent="0.25">
      <c r="A55" s="39">
        <v>2</v>
      </c>
      <c r="B55" s="3" t="s">
        <v>760</v>
      </c>
      <c r="H55" s="45"/>
      <c r="I55" s="40"/>
    </row>
    <row r="56" spans="1:9" x14ac:dyDescent="0.25">
      <c r="A56" s="39">
        <v>3</v>
      </c>
      <c r="B56" s="3" t="s">
        <v>761</v>
      </c>
      <c r="H56" s="45"/>
      <c r="I56" s="40"/>
    </row>
    <row r="57" spans="1:9" x14ac:dyDescent="0.25">
      <c r="A57" s="39">
        <v>4</v>
      </c>
      <c r="B57" s="3" t="s">
        <v>762</v>
      </c>
      <c r="H57" s="45"/>
      <c r="I57" s="40"/>
    </row>
    <row r="58" spans="1:9" x14ac:dyDescent="0.25">
      <c r="A58" s="39">
        <v>5</v>
      </c>
      <c r="B58" s="3" t="s">
        <v>763</v>
      </c>
      <c r="H58" s="45"/>
      <c r="I58" s="40"/>
    </row>
    <row r="59" spans="1:9" x14ac:dyDescent="0.25">
      <c r="A59" s="39">
        <v>6</v>
      </c>
      <c r="B59" s="3" t="s">
        <v>983</v>
      </c>
      <c r="H59" s="45"/>
      <c r="I59" s="40"/>
    </row>
    <row r="60" spans="1:9" s="45" customFormat="1" x14ac:dyDescent="0.25">
      <c r="A60" s="42">
        <v>7</v>
      </c>
      <c r="B60" s="43" t="s">
        <v>1114</v>
      </c>
      <c r="C60" s="43"/>
      <c r="D60" s="43"/>
      <c r="E60" s="43"/>
      <c r="F60" s="43"/>
      <c r="G60" s="43"/>
      <c r="H60" s="43"/>
      <c r="I60" s="44"/>
    </row>
    <row r="62" spans="1:9" x14ac:dyDescent="0.25">
      <c r="A62" s="6" t="s">
        <v>14</v>
      </c>
      <c r="B62" s="7" t="s">
        <v>623</v>
      </c>
      <c r="C62" s="9" t="s">
        <v>15</v>
      </c>
    </row>
    <row r="63" spans="1:9" x14ac:dyDescent="0.25">
      <c r="A63" s="10" t="s">
        <v>16</v>
      </c>
      <c r="B63" s="11">
        <v>2018</v>
      </c>
      <c r="C63" s="11">
        <v>2019</v>
      </c>
      <c r="D63" s="11">
        <v>2020</v>
      </c>
      <c r="E63" s="11">
        <v>2021</v>
      </c>
      <c r="F63" s="11">
        <v>2022</v>
      </c>
      <c r="G63" s="11">
        <v>2023</v>
      </c>
      <c r="H63" s="11">
        <v>2024</v>
      </c>
      <c r="I63" s="11">
        <v>2025</v>
      </c>
    </row>
    <row r="64" spans="1:9" x14ac:dyDescent="0.25">
      <c r="A64" s="10" t="s">
        <v>17</v>
      </c>
      <c r="B64" s="12">
        <v>45</v>
      </c>
      <c r="C64" s="12">
        <v>45</v>
      </c>
      <c r="D64" s="12">
        <v>45</v>
      </c>
      <c r="E64" s="12">
        <v>45</v>
      </c>
      <c r="F64" s="12">
        <v>45</v>
      </c>
      <c r="G64" s="12">
        <v>45</v>
      </c>
      <c r="H64" s="12">
        <v>45</v>
      </c>
      <c r="I64" s="12">
        <v>45</v>
      </c>
    </row>
    <row r="65" spans="1:15" x14ac:dyDescent="0.25">
      <c r="A65" s="10" t="s">
        <v>18</v>
      </c>
      <c r="B65" s="12">
        <v>63</v>
      </c>
      <c r="C65" s="12">
        <v>63</v>
      </c>
      <c r="D65" s="12">
        <v>63</v>
      </c>
      <c r="E65" s="12">
        <v>63</v>
      </c>
      <c r="F65" s="12">
        <v>63</v>
      </c>
      <c r="G65" s="12">
        <v>63</v>
      </c>
      <c r="H65" s="12">
        <v>63</v>
      </c>
      <c r="I65" s="12">
        <v>63</v>
      </c>
    </row>
    <row r="66" spans="1:15" x14ac:dyDescent="0.25">
      <c r="A66" s="10" t="s">
        <v>19</v>
      </c>
      <c r="B66" s="11" t="s">
        <v>300</v>
      </c>
      <c r="C66" s="11" t="s">
        <v>300</v>
      </c>
      <c r="D66" s="11" t="s">
        <v>300</v>
      </c>
      <c r="E66" s="11" t="s">
        <v>300</v>
      </c>
      <c r="F66" s="11" t="s">
        <v>300</v>
      </c>
      <c r="G66" s="11" t="s">
        <v>300</v>
      </c>
      <c r="H66" s="11" t="s">
        <v>300</v>
      </c>
      <c r="I66" s="11" t="s">
        <v>300</v>
      </c>
    </row>
    <row r="67" spans="1:15" x14ac:dyDescent="0.25">
      <c r="A67" s="10" t="s">
        <v>20</v>
      </c>
      <c r="B67" s="12">
        <v>18.100000000000001</v>
      </c>
      <c r="C67" s="12">
        <v>9.9499999999999993</v>
      </c>
      <c r="D67" s="12">
        <v>11.79</v>
      </c>
      <c r="E67" s="12">
        <v>13.29</v>
      </c>
      <c r="F67" s="12">
        <v>8.1999999999999993</v>
      </c>
      <c r="G67" s="12">
        <v>9.4700000000000006</v>
      </c>
      <c r="H67" s="12">
        <v>8.7100000000000009</v>
      </c>
      <c r="I67" s="12"/>
    </row>
    <row r="68" spans="1:15" x14ac:dyDescent="0.25">
      <c r="A68" s="10" t="s">
        <v>21</v>
      </c>
      <c r="B68" s="12">
        <f t="shared" ref="B68:H68" si="1">B65-B67</f>
        <v>44.9</v>
      </c>
      <c r="C68" s="12">
        <f t="shared" si="1"/>
        <v>53.05</v>
      </c>
      <c r="D68" s="12">
        <f t="shared" si="1"/>
        <v>51.21</v>
      </c>
      <c r="E68" s="12">
        <f t="shared" si="1"/>
        <v>49.71</v>
      </c>
      <c r="F68" s="12">
        <f t="shared" si="1"/>
        <v>54.8</v>
      </c>
      <c r="G68" s="12">
        <f t="shared" si="1"/>
        <v>53.53</v>
      </c>
      <c r="H68" s="12">
        <f t="shared" si="1"/>
        <v>54.29</v>
      </c>
      <c r="I68" s="12"/>
    </row>
    <row r="69" spans="1:15" x14ac:dyDescent="0.25">
      <c r="A69" s="16" t="s">
        <v>22</v>
      </c>
      <c r="B69" s="17">
        <v>2020</v>
      </c>
      <c r="C69" s="17">
        <v>2021</v>
      </c>
      <c r="D69" s="17">
        <v>2022</v>
      </c>
      <c r="E69" s="17">
        <v>2023</v>
      </c>
      <c r="F69" s="17">
        <v>2024</v>
      </c>
      <c r="G69" s="17">
        <v>2025</v>
      </c>
      <c r="H69" s="17">
        <v>2026</v>
      </c>
      <c r="I69" s="17">
        <v>2027</v>
      </c>
    </row>
    <row r="70" spans="1:15" x14ac:dyDescent="0.25">
      <c r="A70" s="18" t="s">
        <v>154</v>
      </c>
      <c r="B70" s="19"/>
      <c r="C70" s="19"/>
      <c r="D70" s="19"/>
      <c r="E70" s="19"/>
      <c r="F70" s="19"/>
      <c r="G70" s="19"/>
      <c r="H70" s="19"/>
      <c r="I70" s="63"/>
    </row>
    <row r="71" spans="1:15" x14ac:dyDescent="0.25">
      <c r="A71" s="41" t="s">
        <v>985</v>
      </c>
      <c r="B71" s="34"/>
      <c r="C71" s="34"/>
      <c r="D71" s="34"/>
      <c r="E71" s="34"/>
      <c r="F71" s="34"/>
      <c r="G71" s="34"/>
      <c r="H71" s="34"/>
      <c r="I71" s="48"/>
    </row>
    <row r="73" spans="1:15" s="50" customFormat="1" ht="14.4" x14ac:dyDescent="0.3">
      <c r="A73" s="9" t="s">
        <v>14</v>
      </c>
      <c r="B73" s="9" t="s">
        <v>74</v>
      </c>
      <c r="C73" s="9" t="s">
        <v>15</v>
      </c>
      <c r="D73" s="49"/>
      <c r="E73" s="49"/>
      <c r="F73" s="49"/>
      <c r="G73" s="49"/>
      <c r="H73" s="49"/>
      <c r="I73" s="49"/>
      <c r="J73" s="49"/>
      <c r="K73" s="49"/>
      <c r="L73" s="49"/>
      <c r="M73" s="3"/>
    </row>
    <row r="74" spans="1:15" s="50" customFormat="1" ht="14.4" x14ac:dyDescent="0.3">
      <c r="A74" s="11" t="s">
        <v>16</v>
      </c>
      <c r="B74" s="11">
        <v>2013</v>
      </c>
      <c r="C74" s="11">
        <v>2014</v>
      </c>
      <c r="D74" s="51">
        <v>2015</v>
      </c>
      <c r="E74" s="11">
        <v>2016</v>
      </c>
      <c r="F74" s="51">
        <v>2017</v>
      </c>
      <c r="G74" s="11">
        <v>2018</v>
      </c>
      <c r="H74" s="51">
        <v>2019</v>
      </c>
      <c r="I74" s="11">
        <v>2020</v>
      </c>
      <c r="J74" s="51">
        <v>2021</v>
      </c>
      <c r="K74" s="51">
        <v>2022</v>
      </c>
      <c r="L74" s="51">
        <v>2023</v>
      </c>
      <c r="M74" s="51">
        <v>2024</v>
      </c>
      <c r="N74" s="51">
        <v>2025</v>
      </c>
      <c r="O74" s="51">
        <v>2026</v>
      </c>
    </row>
    <row r="75" spans="1:15" s="50" customFormat="1" ht="14.4" x14ac:dyDescent="0.3">
      <c r="A75" s="11" t="s">
        <v>17</v>
      </c>
      <c r="B75" s="11">
        <v>10</v>
      </c>
      <c r="C75" s="11">
        <v>10</v>
      </c>
      <c r="D75" s="11">
        <v>10</v>
      </c>
      <c r="E75" s="11">
        <v>10</v>
      </c>
      <c r="F75" s="11">
        <v>10</v>
      </c>
      <c r="G75" s="11">
        <v>10</v>
      </c>
      <c r="H75" s="11">
        <v>10</v>
      </c>
      <c r="I75" s="11">
        <v>10</v>
      </c>
      <c r="J75" s="11">
        <v>10</v>
      </c>
      <c r="K75" s="11">
        <v>10</v>
      </c>
      <c r="L75" s="11">
        <v>10</v>
      </c>
      <c r="M75" s="11">
        <v>10</v>
      </c>
      <c r="N75" s="11">
        <v>10</v>
      </c>
      <c r="O75" s="11">
        <v>10</v>
      </c>
    </row>
    <row r="76" spans="1:15" s="50" customFormat="1" ht="14.4" x14ac:dyDescent="0.3">
      <c r="A76" s="11" t="s">
        <v>18</v>
      </c>
      <c r="B76" s="11"/>
      <c r="C76" s="11"/>
      <c r="D76" s="11">
        <f t="shared" ref="D76:J76" si="2">D75+B79</f>
        <v>8.98</v>
      </c>
      <c r="E76" s="12">
        <f t="shared" si="2"/>
        <v>8.41</v>
      </c>
      <c r="F76" s="12">
        <f t="shared" si="2"/>
        <v>-14.739999999999998</v>
      </c>
      <c r="G76" s="12">
        <f t="shared" si="2"/>
        <v>7.2100000000000009</v>
      </c>
      <c r="H76" s="12">
        <f t="shared" si="2"/>
        <v>-28.769999999999996</v>
      </c>
      <c r="I76" s="12">
        <f t="shared" si="2"/>
        <v>3.66</v>
      </c>
      <c r="J76" s="12">
        <f t="shared" si="2"/>
        <v>-32.25</v>
      </c>
      <c r="K76" s="12">
        <f>K75+(1.25*I79)</f>
        <v>-12.337500000000002</v>
      </c>
      <c r="L76" s="12">
        <f>L75+(1.25*J79)</f>
        <v>-45.600000000000009</v>
      </c>
      <c r="M76" s="12">
        <f>M75+(1.25*K79)</f>
        <v>-17.296875000000004</v>
      </c>
      <c r="N76" s="12">
        <f>N75+(1.25*L79)</f>
        <v>-58.275000000000006</v>
      </c>
      <c r="O76" s="12">
        <f>O75+(1.25*M79)</f>
        <v>-21.158593750000001</v>
      </c>
    </row>
    <row r="77" spans="1:15" s="50" customFormat="1" ht="14.4" x14ac:dyDescent="0.3">
      <c r="A77" s="11" t="s">
        <v>19</v>
      </c>
      <c r="B77" s="11"/>
      <c r="C77" s="11"/>
      <c r="D77" s="11">
        <v>1</v>
      </c>
      <c r="E77" s="11">
        <v>2</v>
      </c>
      <c r="F77" s="11">
        <v>3</v>
      </c>
      <c r="G77" s="11">
        <v>4</v>
      </c>
      <c r="H77" s="11">
        <v>5</v>
      </c>
      <c r="I77" s="11">
        <v>6</v>
      </c>
      <c r="J77" s="11">
        <v>7</v>
      </c>
      <c r="K77" s="11">
        <v>8</v>
      </c>
      <c r="L77" s="11">
        <v>9</v>
      </c>
      <c r="M77" s="11">
        <v>10</v>
      </c>
      <c r="N77" s="11">
        <v>11</v>
      </c>
      <c r="O77" s="11">
        <v>12</v>
      </c>
    </row>
    <row r="78" spans="1:15" s="50" customFormat="1" ht="14.4" x14ac:dyDescent="0.3">
      <c r="A78" s="11" t="s">
        <v>20</v>
      </c>
      <c r="B78" s="11">
        <v>11.02</v>
      </c>
      <c r="C78" s="11">
        <v>11.59</v>
      </c>
      <c r="D78" s="52">
        <v>33.72</v>
      </c>
      <c r="E78" s="52">
        <v>11.2</v>
      </c>
      <c r="F78" s="52">
        <v>24.03</v>
      </c>
      <c r="G78" s="52">
        <v>13.55</v>
      </c>
      <c r="H78" s="52">
        <v>13.48</v>
      </c>
      <c r="I78" s="52">
        <v>21.53</v>
      </c>
      <c r="J78" s="52">
        <v>12.23</v>
      </c>
      <c r="K78" s="52">
        <v>9.5</v>
      </c>
      <c r="L78" s="51">
        <v>9.02</v>
      </c>
      <c r="M78" s="51">
        <v>7.63</v>
      </c>
      <c r="N78" s="51"/>
      <c r="O78" s="51"/>
    </row>
    <row r="79" spans="1:15" s="50" customFormat="1" ht="14.4" x14ac:dyDescent="0.3">
      <c r="A79" s="11" t="s">
        <v>21</v>
      </c>
      <c r="B79" s="11">
        <f>B75-B78</f>
        <v>-1.0199999999999996</v>
      </c>
      <c r="C79" s="11">
        <f>C75-C78</f>
        <v>-1.5899999999999999</v>
      </c>
      <c r="D79" s="11">
        <f>D76-D78</f>
        <v>-24.74</v>
      </c>
      <c r="E79" s="12">
        <f>E76-E78</f>
        <v>-2.7899999999999991</v>
      </c>
      <c r="F79" s="12">
        <f t="shared" ref="F79:K79" si="3">F76-F78</f>
        <v>-38.769999999999996</v>
      </c>
      <c r="G79" s="12">
        <f t="shared" si="3"/>
        <v>-6.34</v>
      </c>
      <c r="H79" s="12">
        <f t="shared" si="3"/>
        <v>-42.25</v>
      </c>
      <c r="I79" s="12">
        <f t="shared" si="3"/>
        <v>-17.87</v>
      </c>
      <c r="J79" s="12">
        <f t="shared" si="3"/>
        <v>-44.480000000000004</v>
      </c>
      <c r="K79" s="12">
        <f t="shared" si="3"/>
        <v>-21.837500000000002</v>
      </c>
      <c r="L79" s="12">
        <f>L76-L78</f>
        <v>-54.620000000000005</v>
      </c>
      <c r="M79" s="12">
        <f>M76-M78</f>
        <v>-24.926875000000003</v>
      </c>
      <c r="N79" s="11"/>
      <c r="O79" s="11"/>
    </row>
    <row r="80" spans="1:15" s="50" customFormat="1" ht="14.4" x14ac:dyDescent="0.3">
      <c r="A80" s="17" t="s">
        <v>22</v>
      </c>
      <c r="B80" s="17">
        <v>2015</v>
      </c>
      <c r="C80" s="17">
        <v>2016</v>
      </c>
      <c r="D80" s="17">
        <v>2017</v>
      </c>
      <c r="E80" s="17">
        <v>2018</v>
      </c>
      <c r="F80" s="17">
        <v>2019</v>
      </c>
      <c r="G80" s="17">
        <v>2020</v>
      </c>
      <c r="H80" s="17">
        <v>2021</v>
      </c>
      <c r="I80" s="17">
        <v>2022</v>
      </c>
      <c r="J80" s="17">
        <v>2023</v>
      </c>
      <c r="K80" s="17">
        <v>2024</v>
      </c>
      <c r="L80" s="17">
        <v>2025</v>
      </c>
      <c r="M80" s="17">
        <v>2026</v>
      </c>
      <c r="N80" s="17">
        <v>2027</v>
      </c>
      <c r="O80" s="17">
        <v>2028</v>
      </c>
    </row>
    <row r="81" spans="1:15" s="50" customFormat="1" ht="14.4" x14ac:dyDescent="0.3">
      <c r="A81" s="18">
        <v>1</v>
      </c>
      <c r="B81" s="53" t="s">
        <v>909</v>
      </c>
      <c r="C81" s="19"/>
      <c r="D81" s="19"/>
      <c r="E81" s="19"/>
      <c r="F81" s="19"/>
      <c r="G81" s="19"/>
      <c r="H81" s="19"/>
      <c r="I81" s="19"/>
      <c r="J81" s="19"/>
      <c r="K81" s="19"/>
      <c r="L81" s="19"/>
      <c r="M81" s="19"/>
      <c r="N81" s="54"/>
      <c r="O81" s="55"/>
    </row>
    <row r="82" spans="1:15" s="50" customFormat="1" ht="14.4" x14ac:dyDescent="0.3">
      <c r="A82" s="56">
        <v>2</v>
      </c>
      <c r="B82" s="49" t="s">
        <v>910</v>
      </c>
      <c r="C82" s="3"/>
      <c r="D82" s="3"/>
      <c r="E82" s="3"/>
      <c r="F82" s="3"/>
      <c r="G82" s="3"/>
      <c r="H82" s="3"/>
      <c r="I82" s="3"/>
      <c r="J82" s="3"/>
      <c r="K82" s="3"/>
      <c r="L82" s="3"/>
      <c r="M82" s="3"/>
      <c r="O82" s="57"/>
    </row>
    <row r="83" spans="1:15" s="50" customFormat="1" ht="14.4" x14ac:dyDescent="0.3">
      <c r="A83" s="39">
        <v>3</v>
      </c>
      <c r="B83" s="49" t="s">
        <v>911</v>
      </c>
      <c r="C83" s="3"/>
      <c r="D83" s="3"/>
      <c r="E83" s="3"/>
      <c r="F83" s="3"/>
      <c r="G83" s="3"/>
      <c r="H83" s="3"/>
      <c r="I83" s="3"/>
      <c r="J83" s="3"/>
      <c r="K83" s="3"/>
      <c r="L83" s="3"/>
      <c r="M83" s="3"/>
      <c r="O83" s="57"/>
    </row>
    <row r="84" spans="1:15" s="50" customFormat="1" ht="14.4" x14ac:dyDescent="0.3">
      <c r="A84" s="56">
        <v>4</v>
      </c>
      <c r="B84" s="49" t="s">
        <v>912</v>
      </c>
      <c r="C84" s="3"/>
      <c r="D84" s="3"/>
      <c r="E84" s="3"/>
      <c r="F84" s="3"/>
      <c r="G84" s="3"/>
      <c r="H84" s="3"/>
      <c r="I84" s="3"/>
      <c r="J84" s="3"/>
      <c r="K84" s="3"/>
      <c r="L84" s="3"/>
      <c r="M84" s="3"/>
      <c r="O84" s="57"/>
    </row>
    <row r="85" spans="1:15" s="50" customFormat="1" ht="14.4" x14ac:dyDescent="0.3">
      <c r="A85" s="39">
        <v>5</v>
      </c>
      <c r="B85" s="49" t="s">
        <v>913</v>
      </c>
      <c r="C85" s="3"/>
      <c r="D85" s="3"/>
      <c r="E85" s="3"/>
      <c r="F85" s="3"/>
      <c r="G85" s="3"/>
      <c r="H85" s="3"/>
      <c r="I85" s="3"/>
      <c r="J85" s="3"/>
      <c r="K85" s="3"/>
      <c r="L85" s="3"/>
      <c r="M85" s="3"/>
      <c r="O85" s="57"/>
    </row>
    <row r="86" spans="1:15" s="50" customFormat="1" ht="14.4" x14ac:dyDescent="0.3">
      <c r="A86" s="56">
        <v>6</v>
      </c>
      <c r="B86" s="49" t="s">
        <v>914</v>
      </c>
      <c r="C86" s="3"/>
      <c r="D86" s="3"/>
      <c r="E86" s="3"/>
      <c r="F86" s="3"/>
      <c r="G86" s="3"/>
      <c r="H86" s="3"/>
      <c r="I86" s="3"/>
      <c r="J86" s="3"/>
      <c r="K86" s="3"/>
      <c r="L86" s="3"/>
      <c r="M86" s="3"/>
      <c r="O86" s="57"/>
    </row>
    <row r="87" spans="1:15" s="50" customFormat="1" ht="14.4" x14ac:dyDescent="0.3">
      <c r="A87" s="39">
        <v>7</v>
      </c>
      <c r="B87" s="49" t="s">
        <v>915</v>
      </c>
      <c r="C87" s="3"/>
      <c r="D87" s="3"/>
      <c r="E87" s="3"/>
      <c r="F87" s="3"/>
      <c r="G87" s="3"/>
      <c r="H87" s="3"/>
      <c r="I87" s="3"/>
      <c r="J87" s="3"/>
      <c r="K87" s="3"/>
      <c r="L87" s="3"/>
      <c r="M87" s="3"/>
      <c r="O87" s="57"/>
    </row>
    <row r="88" spans="1:15" s="50" customFormat="1" ht="14.4" x14ac:dyDescent="0.3">
      <c r="A88" s="56">
        <v>8</v>
      </c>
      <c r="B88" s="49" t="s">
        <v>916</v>
      </c>
      <c r="C88" s="3"/>
      <c r="D88" s="3"/>
      <c r="E88" s="3"/>
      <c r="F88" s="3"/>
      <c r="G88" s="3"/>
      <c r="H88" s="3"/>
      <c r="I88" s="3"/>
      <c r="J88" s="3"/>
      <c r="K88" s="3"/>
      <c r="L88" s="3"/>
      <c r="M88" s="3"/>
      <c r="O88" s="57"/>
    </row>
    <row r="89" spans="1:15" s="50" customFormat="1" ht="14.4" x14ac:dyDescent="0.3">
      <c r="A89" s="56">
        <v>9</v>
      </c>
      <c r="B89" s="49" t="s">
        <v>917</v>
      </c>
      <c r="C89" s="3"/>
      <c r="D89" s="3"/>
      <c r="E89" s="3"/>
      <c r="F89" s="3"/>
      <c r="G89" s="3"/>
      <c r="H89" s="3"/>
      <c r="I89" s="3"/>
      <c r="J89" s="3"/>
      <c r="K89" s="3"/>
      <c r="L89" s="3"/>
      <c r="M89" s="3"/>
      <c r="O89" s="57"/>
    </row>
    <row r="90" spans="1:15" s="50" customFormat="1" ht="14.4" x14ac:dyDescent="0.3">
      <c r="A90" s="39">
        <v>10</v>
      </c>
      <c r="B90" s="49" t="s">
        <v>986</v>
      </c>
      <c r="C90" s="3"/>
      <c r="D90" s="3"/>
      <c r="E90" s="3"/>
      <c r="F90" s="3"/>
      <c r="G90" s="3"/>
      <c r="H90" s="3"/>
      <c r="I90" s="3"/>
      <c r="J90" s="3"/>
      <c r="K90" s="3"/>
      <c r="L90" s="3"/>
      <c r="M90" s="3"/>
      <c r="O90" s="57"/>
    </row>
    <row r="91" spans="1:15" s="50" customFormat="1" ht="14.4" x14ac:dyDescent="0.3">
      <c r="A91" s="39">
        <v>11</v>
      </c>
      <c r="B91" s="49" t="s">
        <v>1129</v>
      </c>
      <c r="C91" s="3"/>
      <c r="D91" s="3"/>
      <c r="E91" s="3"/>
      <c r="F91" s="3"/>
      <c r="G91" s="3"/>
      <c r="H91" s="3"/>
      <c r="I91" s="3"/>
      <c r="J91" s="3"/>
      <c r="K91" s="3"/>
      <c r="L91" s="3"/>
      <c r="M91" s="3"/>
      <c r="O91" s="57"/>
    </row>
    <row r="92" spans="1:15" s="59" customFormat="1" ht="14.4" x14ac:dyDescent="0.3">
      <c r="A92" s="41">
        <v>12</v>
      </c>
      <c r="B92" s="58" t="s">
        <v>1147</v>
      </c>
      <c r="C92" s="34"/>
      <c r="D92" s="34"/>
      <c r="E92" s="34"/>
      <c r="F92" s="34"/>
      <c r="G92" s="34"/>
      <c r="H92" s="34"/>
      <c r="I92" s="34"/>
      <c r="J92" s="34"/>
      <c r="K92" s="34"/>
      <c r="L92" s="34"/>
      <c r="M92" s="34"/>
      <c r="O92" s="60"/>
    </row>
    <row r="94" spans="1:15" x14ac:dyDescent="0.25">
      <c r="A94" s="9" t="s">
        <v>14</v>
      </c>
      <c r="B94" s="9" t="s">
        <v>79</v>
      </c>
      <c r="C94" s="9" t="s">
        <v>15</v>
      </c>
    </row>
    <row r="95" spans="1:15" x14ac:dyDescent="0.25">
      <c r="A95" s="11" t="s">
        <v>16</v>
      </c>
      <c r="B95" s="11">
        <v>2013</v>
      </c>
      <c r="C95" s="11">
        <v>2014</v>
      </c>
      <c r="D95" s="11">
        <v>2015</v>
      </c>
      <c r="E95" s="11">
        <v>2016</v>
      </c>
      <c r="F95" s="11">
        <v>2017</v>
      </c>
      <c r="G95" s="11">
        <v>2018</v>
      </c>
      <c r="H95" s="11">
        <v>2019</v>
      </c>
      <c r="I95" s="11">
        <v>2020</v>
      </c>
      <c r="J95" s="11">
        <v>2021</v>
      </c>
      <c r="K95" s="11">
        <v>2022</v>
      </c>
      <c r="L95" s="11">
        <v>2023</v>
      </c>
      <c r="M95" s="11">
        <v>2024</v>
      </c>
      <c r="N95" s="11">
        <v>2025</v>
      </c>
    </row>
    <row r="96" spans="1:15" x14ac:dyDescent="0.25">
      <c r="A96" s="11" t="s">
        <v>17</v>
      </c>
      <c r="B96" s="11">
        <v>10</v>
      </c>
      <c r="C96" s="11">
        <v>10</v>
      </c>
      <c r="D96" s="11">
        <v>10</v>
      </c>
      <c r="E96" s="11">
        <v>10</v>
      </c>
      <c r="F96" s="11">
        <v>10</v>
      </c>
      <c r="G96" s="11">
        <v>10</v>
      </c>
      <c r="H96" s="11">
        <v>10</v>
      </c>
      <c r="I96" s="11">
        <v>10</v>
      </c>
      <c r="J96" s="11">
        <v>10</v>
      </c>
      <c r="K96" s="11">
        <v>10</v>
      </c>
      <c r="L96" s="11">
        <v>10</v>
      </c>
      <c r="M96" s="11">
        <v>10</v>
      </c>
      <c r="N96" s="11">
        <v>10</v>
      </c>
    </row>
    <row r="97" spans="1:14" x14ac:dyDescent="0.25">
      <c r="A97" s="11" t="s">
        <v>18</v>
      </c>
      <c r="B97" s="11"/>
      <c r="C97" s="11"/>
      <c r="D97" s="11">
        <f>D96+0.2*B96</f>
        <v>12</v>
      </c>
      <c r="E97" s="12">
        <f>E96+0.2*C96</f>
        <v>12</v>
      </c>
      <c r="F97" s="12">
        <f>F96+0.2*D96</f>
        <v>12</v>
      </c>
      <c r="G97" s="12">
        <f>G96+E100</f>
        <v>7.77</v>
      </c>
      <c r="H97" s="12">
        <f>H96+F100</f>
        <v>4.6000000000000014</v>
      </c>
      <c r="I97" s="12">
        <f>I96+G100</f>
        <v>0.26999999999999957</v>
      </c>
      <c r="J97" s="12">
        <f>J96+H100</f>
        <v>3.0400000000000009</v>
      </c>
      <c r="K97" s="12">
        <f>K96+(1.25*I100)</f>
        <v>-7.6125000000000007</v>
      </c>
      <c r="L97" s="12">
        <f>L96+(1.25*J100)</f>
        <v>1.3000000000000007</v>
      </c>
      <c r="M97" s="12">
        <f>M96+(1.25*K100)</f>
        <v>-11.640625</v>
      </c>
      <c r="N97" s="12">
        <f>N96+(1.25*L100)</f>
        <v>2.4000000000000012</v>
      </c>
    </row>
    <row r="98" spans="1:14" x14ac:dyDescent="0.25">
      <c r="A98" s="11" t="s">
        <v>19</v>
      </c>
      <c r="B98" s="11"/>
      <c r="C98" s="11"/>
      <c r="D98" s="11">
        <v>1</v>
      </c>
      <c r="E98" s="11">
        <v>2</v>
      </c>
      <c r="F98" s="11">
        <v>3</v>
      </c>
      <c r="G98" s="11">
        <v>4</v>
      </c>
      <c r="H98" s="11">
        <v>5</v>
      </c>
      <c r="I98" s="11">
        <v>6</v>
      </c>
      <c r="J98" s="11">
        <v>7</v>
      </c>
      <c r="K98" s="11">
        <v>8</v>
      </c>
      <c r="L98" s="11">
        <v>9</v>
      </c>
      <c r="M98" s="11">
        <v>10</v>
      </c>
      <c r="N98" s="11">
        <v>11</v>
      </c>
    </row>
    <row r="99" spans="1:14" x14ac:dyDescent="0.25">
      <c r="A99" s="11" t="s">
        <v>20</v>
      </c>
      <c r="B99" s="11">
        <v>5.51</v>
      </c>
      <c r="C99" s="11">
        <v>6.24</v>
      </c>
      <c r="D99" s="11">
        <v>9.6999999999999993</v>
      </c>
      <c r="E99" s="11">
        <v>14.23</v>
      </c>
      <c r="F99" s="11">
        <v>17.399999999999999</v>
      </c>
      <c r="G99" s="12">
        <v>17.5</v>
      </c>
      <c r="H99" s="12">
        <v>11.56</v>
      </c>
      <c r="I99" s="12">
        <v>14.36</v>
      </c>
      <c r="J99" s="12">
        <v>10</v>
      </c>
      <c r="K99" s="12">
        <v>9.6999999999999993</v>
      </c>
      <c r="L99" s="11">
        <v>7.38</v>
      </c>
      <c r="M99" s="11">
        <v>6.24</v>
      </c>
      <c r="N99" s="11"/>
    </row>
    <row r="100" spans="1:14" x14ac:dyDescent="0.25">
      <c r="A100" s="11" t="s">
        <v>21</v>
      </c>
      <c r="B100" s="11">
        <f>B96-B99</f>
        <v>4.49</v>
      </c>
      <c r="C100" s="11">
        <f>C96-C99</f>
        <v>3.76</v>
      </c>
      <c r="D100" s="11">
        <f>D97-D99</f>
        <v>2.3000000000000007</v>
      </c>
      <c r="E100" s="11">
        <f t="shared" ref="E100:J100" si="4">E97-E99</f>
        <v>-2.2300000000000004</v>
      </c>
      <c r="F100" s="11">
        <f t="shared" si="4"/>
        <v>-5.3999999999999986</v>
      </c>
      <c r="G100" s="11">
        <f t="shared" si="4"/>
        <v>-9.73</v>
      </c>
      <c r="H100" s="11">
        <f t="shared" si="4"/>
        <v>-6.9599999999999991</v>
      </c>
      <c r="I100" s="11">
        <f t="shared" si="4"/>
        <v>-14.09</v>
      </c>
      <c r="J100" s="11">
        <f t="shared" si="4"/>
        <v>-6.9599999999999991</v>
      </c>
      <c r="K100" s="12">
        <f>K97-K99</f>
        <v>-17.3125</v>
      </c>
      <c r="L100" s="12">
        <f>L97-L99</f>
        <v>-6.0799999999999992</v>
      </c>
      <c r="M100" s="12">
        <f>M97-M99</f>
        <v>-17.880625000000002</v>
      </c>
      <c r="N100" s="11"/>
    </row>
    <row r="101" spans="1:14" x14ac:dyDescent="0.25">
      <c r="A101" s="11" t="s">
        <v>22</v>
      </c>
      <c r="B101" s="11">
        <v>2015</v>
      </c>
      <c r="C101" s="11">
        <v>2016</v>
      </c>
      <c r="D101" s="11">
        <v>2017</v>
      </c>
      <c r="E101" s="11">
        <v>2018</v>
      </c>
      <c r="F101" s="11">
        <v>2019</v>
      </c>
      <c r="G101" s="11">
        <v>2020</v>
      </c>
      <c r="H101" s="11">
        <v>2021</v>
      </c>
      <c r="I101" s="11">
        <v>2022</v>
      </c>
      <c r="J101" s="11">
        <v>2023</v>
      </c>
      <c r="K101" s="11">
        <v>2024</v>
      </c>
      <c r="L101" s="11">
        <v>2025</v>
      </c>
      <c r="M101" s="11">
        <v>2026</v>
      </c>
      <c r="N101" s="11">
        <v>2027</v>
      </c>
    </row>
    <row r="102" spans="1:14" x14ac:dyDescent="0.25">
      <c r="A102" s="16">
        <v>1</v>
      </c>
      <c r="B102" s="61" t="s">
        <v>918</v>
      </c>
      <c r="C102" s="46"/>
      <c r="D102" s="46"/>
      <c r="E102" s="46"/>
      <c r="F102" s="46"/>
      <c r="G102" s="46"/>
      <c r="H102" s="46"/>
      <c r="I102" s="46"/>
      <c r="J102" s="46"/>
      <c r="K102" s="46"/>
      <c r="L102" s="47"/>
      <c r="M102" s="47"/>
      <c r="N102" s="62"/>
    </row>
    <row r="103" spans="1:14" x14ac:dyDescent="0.25">
      <c r="A103" s="18">
        <v>2</v>
      </c>
      <c r="B103" s="53" t="s">
        <v>919</v>
      </c>
      <c r="C103" s="19"/>
      <c r="D103" s="19"/>
      <c r="E103" s="19"/>
      <c r="F103" s="19"/>
      <c r="G103" s="19"/>
      <c r="H103" s="19"/>
      <c r="I103" s="19"/>
      <c r="J103" s="19"/>
      <c r="K103" s="19"/>
      <c r="L103" s="19"/>
      <c r="M103" s="19"/>
      <c r="N103" s="63"/>
    </row>
    <row r="104" spans="1:14" x14ac:dyDescent="0.25">
      <c r="A104" s="39">
        <v>3</v>
      </c>
      <c r="B104" s="49" t="s">
        <v>920</v>
      </c>
      <c r="N104" s="64"/>
    </row>
    <row r="105" spans="1:14" x14ac:dyDescent="0.25">
      <c r="A105" s="39">
        <v>4</v>
      </c>
      <c r="B105" s="49" t="s">
        <v>912</v>
      </c>
      <c r="N105" s="64"/>
    </row>
    <row r="106" spans="1:14" x14ac:dyDescent="0.25">
      <c r="A106" s="39">
        <v>5</v>
      </c>
      <c r="B106" s="49" t="s">
        <v>913</v>
      </c>
      <c r="N106" s="64"/>
    </row>
    <row r="107" spans="1:14" x14ac:dyDescent="0.25">
      <c r="A107" s="39">
        <v>6</v>
      </c>
      <c r="B107" s="49" t="s">
        <v>914</v>
      </c>
      <c r="N107" s="64"/>
    </row>
    <row r="108" spans="1:14" x14ac:dyDescent="0.25">
      <c r="A108" s="39">
        <v>7</v>
      </c>
      <c r="B108" s="49" t="s">
        <v>915</v>
      </c>
      <c r="N108" s="64"/>
    </row>
    <row r="109" spans="1:14" x14ac:dyDescent="0.25">
      <c r="A109" s="39">
        <v>8</v>
      </c>
      <c r="B109" s="49" t="s">
        <v>916</v>
      </c>
      <c r="N109" s="64"/>
    </row>
    <row r="110" spans="1:14" x14ac:dyDescent="0.25">
      <c r="A110" s="39">
        <v>9</v>
      </c>
      <c r="B110" s="49" t="s">
        <v>917</v>
      </c>
      <c r="N110" s="64"/>
    </row>
    <row r="111" spans="1:14" x14ac:dyDescent="0.25">
      <c r="A111" s="39">
        <v>10</v>
      </c>
      <c r="B111" s="49" t="s">
        <v>986</v>
      </c>
      <c r="N111" s="64"/>
    </row>
    <row r="112" spans="1:14" x14ac:dyDescent="0.25">
      <c r="A112" s="39">
        <v>11</v>
      </c>
      <c r="B112" s="49" t="s">
        <v>1129</v>
      </c>
      <c r="N112" s="64"/>
    </row>
    <row r="113" spans="1:14" s="34" customFormat="1" x14ac:dyDescent="0.25">
      <c r="A113" s="41">
        <v>12</v>
      </c>
      <c r="B113" s="58" t="s">
        <v>1147</v>
      </c>
      <c r="N113" s="48"/>
    </row>
    <row r="116" spans="1:14" x14ac:dyDescent="0.25">
      <c r="A116" s="65" t="s">
        <v>12</v>
      </c>
      <c r="B116" s="66" t="s">
        <v>166</v>
      </c>
      <c r="C116" s="8"/>
      <c r="D116" s="8"/>
      <c r="E116" s="8"/>
      <c r="F116" s="8"/>
    </row>
    <row r="117" spans="1:14" x14ac:dyDescent="0.25">
      <c r="A117" s="65" t="s">
        <v>14</v>
      </c>
      <c r="B117" s="66" t="s">
        <v>624</v>
      </c>
      <c r="C117" s="67" t="s">
        <v>15</v>
      </c>
      <c r="D117" s="8"/>
      <c r="E117" s="8"/>
      <c r="F117" s="8"/>
    </row>
    <row r="118" spans="1:14" x14ac:dyDescent="0.25">
      <c r="A118" s="68" t="s">
        <v>16</v>
      </c>
      <c r="B118" s="69"/>
      <c r="C118" s="70">
        <v>2017</v>
      </c>
      <c r="D118" s="67">
        <v>2018</v>
      </c>
      <c r="E118" s="67">
        <v>2019</v>
      </c>
      <c r="F118" s="67">
        <v>2020</v>
      </c>
      <c r="G118" s="67">
        <v>2021</v>
      </c>
      <c r="H118" s="67">
        <v>2022</v>
      </c>
      <c r="I118" s="67">
        <v>2023</v>
      </c>
      <c r="J118" s="67">
        <v>2024</v>
      </c>
      <c r="K118" s="67">
        <v>2025</v>
      </c>
    </row>
    <row r="119" spans="1:14" x14ac:dyDescent="0.25">
      <c r="A119" s="68" t="s">
        <v>17</v>
      </c>
      <c r="B119" s="69"/>
      <c r="C119" s="71">
        <v>200</v>
      </c>
      <c r="D119" s="72">
        <v>200</v>
      </c>
      <c r="E119" s="72">
        <v>215</v>
      </c>
      <c r="F119" s="72">
        <v>215</v>
      </c>
      <c r="G119" s="72">
        <v>242</v>
      </c>
      <c r="H119" s="72">
        <v>242</v>
      </c>
      <c r="I119" s="72">
        <v>242</v>
      </c>
      <c r="J119" s="72">
        <v>302</v>
      </c>
      <c r="K119" s="72">
        <v>302</v>
      </c>
    </row>
    <row r="120" spans="1:14" x14ac:dyDescent="0.25">
      <c r="A120" s="68" t="s">
        <v>18</v>
      </c>
      <c r="B120" s="69"/>
      <c r="C120" s="71">
        <v>450</v>
      </c>
      <c r="D120" s="72">
        <v>450</v>
      </c>
      <c r="E120" s="72">
        <f>E119+C123+200</f>
        <v>416.56</v>
      </c>
      <c r="F120" s="72">
        <v>465</v>
      </c>
      <c r="G120" s="72">
        <f>G119+0.25*E119+200</f>
        <v>495.75</v>
      </c>
      <c r="H120" s="72">
        <f>H119+0.25*F119+200</f>
        <v>495.75</v>
      </c>
      <c r="I120" s="72">
        <f>I119+0.25*G119+200</f>
        <v>502.5</v>
      </c>
      <c r="J120" s="72">
        <f>J119+0.25*H119+200</f>
        <v>562.5</v>
      </c>
      <c r="K120" s="72">
        <v>502.5</v>
      </c>
    </row>
    <row r="121" spans="1:14" x14ac:dyDescent="0.25">
      <c r="A121" s="68" t="s">
        <v>19</v>
      </c>
      <c r="B121" s="69"/>
      <c r="C121" s="71"/>
      <c r="D121" s="72"/>
      <c r="E121" s="707" t="s">
        <v>167</v>
      </c>
      <c r="F121" s="708"/>
      <c r="G121" s="708"/>
      <c r="H121" s="708"/>
      <c r="I121" s="708"/>
      <c r="J121" s="708"/>
      <c r="K121" s="709"/>
    </row>
    <row r="122" spans="1:14" x14ac:dyDescent="0.25">
      <c r="A122" s="68" t="s">
        <v>20</v>
      </c>
      <c r="B122" s="69"/>
      <c r="C122" s="72">
        <v>448.44</v>
      </c>
      <c r="D122" s="72">
        <v>385.14</v>
      </c>
      <c r="E122" s="72">
        <v>216.09</v>
      </c>
      <c r="F122" s="72">
        <v>326.05</v>
      </c>
      <c r="G122" s="72">
        <v>200.65</v>
      </c>
      <c r="H122" s="72">
        <v>214.33</v>
      </c>
      <c r="I122" s="72">
        <v>380.65</v>
      </c>
      <c r="J122" s="72">
        <v>324.64999999999998</v>
      </c>
      <c r="K122" s="72"/>
    </row>
    <row r="123" spans="1:14" x14ac:dyDescent="0.25">
      <c r="A123" s="68" t="s">
        <v>21</v>
      </c>
      <c r="B123" s="69"/>
      <c r="C123" s="72">
        <f t="shared" ref="C123:G123" si="5">C120-C122</f>
        <v>1.5600000000000023</v>
      </c>
      <c r="D123" s="72">
        <f t="shared" si="5"/>
        <v>64.860000000000014</v>
      </c>
      <c r="E123" s="72">
        <f t="shared" si="5"/>
        <v>200.47</v>
      </c>
      <c r="F123" s="72">
        <f t="shared" si="5"/>
        <v>138.94999999999999</v>
      </c>
      <c r="G123" s="72">
        <f t="shared" si="5"/>
        <v>295.10000000000002</v>
      </c>
      <c r="H123" s="72">
        <f>H120-H122</f>
        <v>281.41999999999996</v>
      </c>
      <c r="I123" s="72">
        <f>I120-I122</f>
        <v>121.85000000000002</v>
      </c>
      <c r="J123" s="72">
        <f>J120-J122</f>
        <v>237.85000000000002</v>
      </c>
      <c r="K123" s="72"/>
    </row>
    <row r="124" spans="1:14" x14ac:dyDescent="0.25">
      <c r="A124" s="73" t="s">
        <v>22</v>
      </c>
      <c r="B124" s="74"/>
      <c r="C124" s="75">
        <v>2019</v>
      </c>
      <c r="D124" s="74">
        <v>2020</v>
      </c>
      <c r="E124" s="74">
        <v>2021</v>
      </c>
      <c r="F124" s="74">
        <v>2022</v>
      </c>
      <c r="G124" s="74">
        <v>2023</v>
      </c>
      <c r="H124" s="74">
        <v>2024</v>
      </c>
      <c r="I124" s="74">
        <v>2025</v>
      </c>
      <c r="J124" s="74">
        <v>2026</v>
      </c>
      <c r="K124" s="74"/>
    </row>
    <row r="125" spans="1:14" x14ac:dyDescent="0.25">
      <c r="A125" s="705" t="s">
        <v>206</v>
      </c>
      <c r="B125" s="706"/>
      <c r="C125" s="706"/>
      <c r="D125" s="706"/>
      <c r="E125" s="706"/>
      <c r="F125" s="706"/>
      <c r="G125" s="46"/>
      <c r="H125" s="46"/>
      <c r="I125" s="47"/>
      <c r="J125" s="47"/>
      <c r="K125" s="47"/>
    </row>
    <row r="126" spans="1:14" x14ac:dyDescent="0.25">
      <c r="A126" s="713" t="s">
        <v>370</v>
      </c>
      <c r="B126" s="714"/>
      <c r="C126" s="714"/>
      <c r="D126" s="714"/>
      <c r="E126" s="714"/>
      <c r="F126" s="714"/>
      <c r="G126" s="19"/>
      <c r="H126" s="19"/>
      <c r="I126" s="19"/>
      <c r="J126" s="19"/>
      <c r="K126" s="63"/>
    </row>
    <row r="127" spans="1:14" x14ac:dyDescent="0.25">
      <c r="A127" s="78" t="s">
        <v>250</v>
      </c>
      <c r="B127" s="79"/>
      <c r="C127" s="79"/>
      <c r="D127" s="80"/>
      <c r="E127" s="80"/>
      <c r="F127" s="80"/>
      <c r="K127" s="64"/>
    </row>
    <row r="128" spans="1:14" x14ac:dyDescent="0.25">
      <c r="A128" s="78" t="s">
        <v>568</v>
      </c>
      <c r="B128" s="79"/>
      <c r="C128" s="79"/>
      <c r="D128" s="80"/>
      <c r="E128" s="80"/>
      <c r="F128" s="80"/>
      <c r="K128" s="64"/>
    </row>
    <row r="129" spans="1:12" x14ac:dyDescent="0.25">
      <c r="A129" s="78" t="s">
        <v>412</v>
      </c>
      <c r="B129" s="79"/>
      <c r="C129" s="79"/>
      <c r="D129" s="80"/>
      <c r="E129" s="80"/>
      <c r="F129" s="80"/>
      <c r="K129" s="64"/>
    </row>
    <row r="130" spans="1:12" x14ac:dyDescent="0.25">
      <c r="A130" s="81" t="s">
        <v>573</v>
      </c>
      <c r="B130" s="79"/>
      <c r="C130" s="79"/>
      <c r="D130" s="80"/>
      <c r="E130" s="80"/>
      <c r="F130" s="80"/>
      <c r="K130" s="64"/>
    </row>
    <row r="131" spans="1:12" x14ac:dyDescent="0.25">
      <c r="A131" s="82" t="s">
        <v>1148</v>
      </c>
      <c r="B131" s="79"/>
      <c r="C131" s="79"/>
      <c r="D131" s="80"/>
      <c r="E131" s="80"/>
      <c r="F131" s="80"/>
      <c r="K131" s="64"/>
    </row>
    <row r="132" spans="1:12" x14ac:dyDescent="0.25">
      <c r="A132" s="81" t="s">
        <v>670</v>
      </c>
      <c r="B132" s="83"/>
      <c r="C132" s="83"/>
      <c r="D132" s="83"/>
      <c r="E132" s="83"/>
      <c r="F132" s="83"/>
      <c r="K132" s="64"/>
    </row>
    <row r="133" spans="1:12" x14ac:dyDescent="0.25">
      <c r="A133" s="81" t="s">
        <v>764</v>
      </c>
      <c r="B133" s="83"/>
      <c r="C133" s="83"/>
      <c r="D133" s="83"/>
      <c r="E133" s="83"/>
      <c r="F133" s="83"/>
      <c r="K133" s="64"/>
    </row>
    <row r="134" spans="1:12" x14ac:dyDescent="0.25">
      <c r="A134" s="84" t="s">
        <v>987</v>
      </c>
      <c r="B134" s="85"/>
      <c r="C134" s="85"/>
      <c r="D134" s="85"/>
      <c r="E134" s="85"/>
      <c r="F134" s="85"/>
      <c r="G134" s="34"/>
      <c r="H134" s="34"/>
      <c r="I134" s="34"/>
      <c r="J134" s="34"/>
      <c r="K134" s="48"/>
    </row>
    <row r="135" spans="1:12" x14ac:dyDescent="0.25">
      <c r="A135" s="86"/>
      <c r="B135" s="8"/>
      <c r="C135" s="8"/>
      <c r="D135" s="8"/>
      <c r="E135" s="8"/>
      <c r="F135" s="8"/>
    </row>
    <row r="136" spans="1:12" s="34" customFormat="1" x14ac:dyDescent="0.25">
      <c r="A136" s="84"/>
      <c r="B136" s="85"/>
      <c r="C136" s="85"/>
      <c r="D136" s="85"/>
      <c r="E136" s="85"/>
      <c r="F136" s="85"/>
    </row>
    <row r="138" spans="1:12" x14ac:dyDescent="0.25">
      <c r="A138" s="65" t="s">
        <v>14</v>
      </c>
      <c r="B138" s="66" t="s">
        <v>638</v>
      </c>
      <c r="C138" s="67" t="s">
        <v>15</v>
      </c>
      <c r="D138" s="8"/>
      <c r="E138" s="8"/>
      <c r="F138" s="8"/>
    </row>
    <row r="139" spans="1:12" x14ac:dyDescent="0.25">
      <c r="A139" s="87" t="s">
        <v>16</v>
      </c>
      <c r="B139" s="69"/>
      <c r="C139" s="67">
        <v>2017</v>
      </c>
      <c r="D139" s="67">
        <v>2018</v>
      </c>
      <c r="E139" s="67">
        <v>2019</v>
      </c>
      <c r="F139" s="67">
        <v>2020</v>
      </c>
      <c r="G139" s="67">
        <v>2021</v>
      </c>
      <c r="H139" s="67">
        <v>2022</v>
      </c>
      <c r="I139" s="67">
        <v>2023</v>
      </c>
      <c r="J139" s="67">
        <v>2024</v>
      </c>
      <c r="K139" s="67">
        <v>2025</v>
      </c>
      <c r="L139" s="67">
        <v>2026</v>
      </c>
    </row>
    <row r="140" spans="1:12" x14ac:dyDescent="0.25">
      <c r="A140" s="87" t="s">
        <v>17</v>
      </c>
      <c r="B140" s="69"/>
      <c r="C140" s="72">
        <v>250</v>
      </c>
      <c r="D140" s="72">
        <v>250</v>
      </c>
      <c r="E140" s="72">
        <v>250</v>
      </c>
      <c r="F140" s="72">
        <v>250</v>
      </c>
      <c r="G140" s="72">
        <v>250</v>
      </c>
      <c r="H140" s="72">
        <v>250</v>
      </c>
      <c r="I140" s="72">
        <v>300</v>
      </c>
      <c r="J140" s="72">
        <v>300</v>
      </c>
      <c r="K140" s="72">
        <v>300</v>
      </c>
      <c r="L140" s="72">
        <v>300</v>
      </c>
    </row>
    <row r="141" spans="1:12" x14ac:dyDescent="0.25">
      <c r="A141" s="87" t="s">
        <v>18</v>
      </c>
      <c r="B141" s="69"/>
      <c r="C141" s="72">
        <v>312.5</v>
      </c>
      <c r="D141" s="72">
        <v>312.5</v>
      </c>
      <c r="E141" s="72">
        <v>312.5</v>
      </c>
      <c r="F141" s="72">
        <f>F140+D144</f>
        <v>251.98000000000002</v>
      </c>
      <c r="G141" s="72">
        <f>G140+0.25*E140</f>
        <v>312.5</v>
      </c>
      <c r="H141" s="72">
        <f>H140+0.25*F140</f>
        <v>312.5</v>
      </c>
      <c r="I141" s="72">
        <f>I140+0.25*G140</f>
        <v>362.5</v>
      </c>
      <c r="J141" s="72">
        <f>J140+3.72</f>
        <v>303.72000000000003</v>
      </c>
      <c r="K141" s="72">
        <f>K140+0.25*I140</f>
        <v>375</v>
      </c>
      <c r="L141" s="72">
        <f>L140+0.25*J140</f>
        <v>375</v>
      </c>
    </row>
    <row r="142" spans="1:12" ht="15" customHeight="1" x14ac:dyDescent="0.25">
      <c r="A142" s="87" t="s">
        <v>19</v>
      </c>
      <c r="B142" s="69"/>
      <c r="C142" s="710" t="s">
        <v>671</v>
      </c>
      <c r="D142" s="711"/>
      <c r="E142" s="711"/>
      <c r="F142" s="711"/>
      <c r="G142" s="711"/>
      <c r="H142" s="711"/>
      <c r="I142" s="711"/>
      <c r="J142" s="711"/>
      <c r="K142" s="712"/>
      <c r="L142" s="88"/>
    </row>
    <row r="143" spans="1:12" x14ac:dyDescent="0.25">
      <c r="A143" s="87" t="s">
        <v>20</v>
      </c>
      <c r="B143" s="69"/>
      <c r="C143" s="89">
        <v>219.03</v>
      </c>
      <c r="D143" s="89">
        <v>310.52</v>
      </c>
      <c r="E143" s="89">
        <v>158.13999999999999</v>
      </c>
      <c r="F143" s="89">
        <v>162.13</v>
      </c>
      <c r="G143" s="89">
        <v>30.84</v>
      </c>
      <c r="H143" s="89">
        <v>12.74</v>
      </c>
      <c r="I143" s="89">
        <v>0</v>
      </c>
      <c r="J143" s="89">
        <v>1</v>
      </c>
      <c r="K143" s="89"/>
      <c r="L143" s="90"/>
    </row>
    <row r="144" spans="1:12" x14ac:dyDescent="0.25">
      <c r="A144" s="87" t="s">
        <v>21</v>
      </c>
      <c r="B144" s="69"/>
      <c r="C144" s="72">
        <f t="shared" ref="C144:J144" si="6">C141-C143</f>
        <v>93.47</v>
      </c>
      <c r="D144" s="72">
        <f t="shared" si="6"/>
        <v>1.9800000000000182</v>
      </c>
      <c r="E144" s="72">
        <f t="shared" si="6"/>
        <v>154.36000000000001</v>
      </c>
      <c r="F144" s="72">
        <f t="shared" si="6"/>
        <v>89.850000000000023</v>
      </c>
      <c r="G144" s="72">
        <f t="shared" si="6"/>
        <v>281.66000000000003</v>
      </c>
      <c r="H144" s="72">
        <f t="shared" si="6"/>
        <v>299.76</v>
      </c>
      <c r="I144" s="72">
        <f>I141-I143</f>
        <v>362.5</v>
      </c>
      <c r="J144" s="72">
        <f t="shared" si="6"/>
        <v>302.72000000000003</v>
      </c>
      <c r="K144" s="72"/>
      <c r="L144" s="90"/>
    </row>
    <row r="145" spans="1:12" x14ac:dyDescent="0.25">
      <c r="A145" s="91" t="s">
        <v>22</v>
      </c>
      <c r="B145" s="74"/>
      <c r="C145" s="74">
        <v>2019</v>
      </c>
      <c r="D145" s="74">
        <v>2020</v>
      </c>
      <c r="E145" s="74">
        <v>2021</v>
      </c>
      <c r="F145" s="74">
        <v>2022</v>
      </c>
      <c r="G145" s="74">
        <v>2023</v>
      </c>
      <c r="H145" s="74">
        <v>2024</v>
      </c>
      <c r="I145" s="74">
        <v>2025</v>
      </c>
      <c r="J145" s="74">
        <v>2026</v>
      </c>
      <c r="K145" s="74">
        <v>2027</v>
      </c>
      <c r="L145" s="90">
        <v>2028</v>
      </c>
    </row>
    <row r="146" spans="1:12" x14ac:dyDescent="0.25">
      <c r="A146" s="92" t="s">
        <v>207</v>
      </c>
      <c r="B146" s="93"/>
      <c r="C146" s="93"/>
      <c r="D146" s="93"/>
      <c r="E146" s="93"/>
      <c r="F146" s="93"/>
      <c r="G146" s="19"/>
      <c r="H146" s="19"/>
      <c r="I146" s="19"/>
      <c r="J146" s="19"/>
      <c r="K146" s="19"/>
      <c r="L146" s="63"/>
    </row>
    <row r="147" spans="1:12" x14ac:dyDescent="0.25">
      <c r="A147" s="94" t="s">
        <v>252</v>
      </c>
      <c r="B147" s="8"/>
      <c r="C147" s="8"/>
      <c r="D147" s="8"/>
      <c r="E147" s="8"/>
      <c r="F147" s="8"/>
      <c r="L147" s="64"/>
    </row>
    <row r="148" spans="1:12" x14ac:dyDescent="0.25">
      <c r="A148" s="94" t="s">
        <v>413</v>
      </c>
      <c r="B148" s="8"/>
      <c r="C148" s="8"/>
      <c r="D148" s="8"/>
      <c r="E148" s="8"/>
      <c r="F148" s="8"/>
      <c r="L148" s="64"/>
    </row>
    <row r="149" spans="1:12" x14ac:dyDescent="0.25">
      <c r="A149" s="39" t="s">
        <v>574</v>
      </c>
      <c r="B149" s="8"/>
      <c r="C149" s="8"/>
      <c r="D149" s="8"/>
      <c r="E149" s="8"/>
      <c r="F149" s="8"/>
      <c r="L149" s="64"/>
    </row>
    <row r="150" spans="1:12" x14ac:dyDescent="0.25">
      <c r="A150" s="39" t="s">
        <v>765</v>
      </c>
      <c r="B150" s="8"/>
      <c r="C150" s="8"/>
      <c r="D150" s="8"/>
      <c r="E150" s="8"/>
      <c r="F150" s="8"/>
      <c r="L150" s="64"/>
    </row>
    <row r="151" spans="1:12" x14ac:dyDescent="0.25">
      <c r="A151" s="39" t="s">
        <v>921</v>
      </c>
      <c r="B151" s="8"/>
      <c r="C151" s="8"/>
      <c r="D151" s="8"/>
      <c r="E151" s="8"/>
      <c r="F151" s="8"/>
      <c r="L151" s="64"/>
    </row>
    <row r="152" spans="1:12" x14ac:dyDescent="0.25">
      <c r="A152" s="39" t="s">
        <v>988</v>
      </c>
      <c r="B152" s="8"/>
      <c r="C152" s="8"/>
      <c r="D152" s="8"/>
      <c r="E152" s="8"/>
      <c r="F152" s="8"/>
      <c r="L152" s="64"/>
    </row>
    <row r="153" spans="1:12" s="45" customFormat="1" ht="12.75" customHeight="1" x14ac:dyDescent="0.25">
      <c r="A153" s="42" t="s">
        <v>1264</v>
      </c>
      <c r="B153" s="625"/>
      <c r="C153" s="625"/>
      <c r="D153" s="625"/>
      <c r="E153" s="625"/>
      <c r="F153" s="625"/>
      <c r="G153" s="43"/>
      <c r="H153" s="43"/>
      <c r="I153" s="43"/>
      <c r="J153" s="43"/>
      <c r="K153" s="43"/>
      <c r="L153" s="44"/>
    </row>
    <row r="155" spans="1:12" x14ac:dyDescent="0.25">
      <c r="A155" s="65" t="s">
        <v>14</v>
      </c>
      <c r="B155" s="66" t="s">
        <v>623</v>
      </c>
      <c r="C155" s="67" t="s">
        <v>15</v>
      </c>
      <c r="D155" s="8"/>
      <c r="E155" s="8"/>
      <c r="F155" s="8"/>
    </row>
    <row r="156" spans="1:12" x14ac:dyDescent="0.25">
      <c r="A156" s="87" t="s">
        <v>16</v>
      </c>
      <c r="B156" s="69"/>
      <c r="C156" s="67">
        <v>2017</v>
      </c>
      <c r="D156" s="67">
        <v>2018</v>
      </c>
      <c r="E156" s="67">
        <v>2019</v>
      </c>
      <c r="F156" s="67">
        <v>2020</v>
      </c>
      <c r="G156" s="67">
        <v>2021</v>
      </c>
      <c r="H156" s="67">
        <v>2022</v>
      </c>
      <c r="I156" s="67">
        <v>2023</v>
      </c>
      <c r="J156" s="67">
        <v>2024</v>
      </c>
      <c r="K156" s="67">
        <v>2025</v>
      </c>
    </row>
    <row r="157" spans="1:12" x14ac:dyDescent="0.25">
      <c r="A157" s="87" t="s">
        <v>17</v>
      </c>
      <c r="B157" s="69"/>
      <c r="C157" s="72">
        <v>130</v>
      </c>
      <c r="D157" s="72">
        <v>130</v>
      </c>
      <c r="E157" s="72">
        <v>130</v>
      </c>
      <c r="F157" s="72">
        <v>130</v>
      </c>
      <c r="G157" s="72">
        <v>130</v>
      </c>
      <c r="H157" s="72">
        <v>130</v>
      </c>
      <c r="I157" s="72">
        <v>130</v>
      </c>
      <c r="J157" s="72">
        <v>130</v>
      </c>
      <c r="K157" s="72">
        <v>130</v>
      </c>
    </row>
    <row r="158" spans="1:12" x14ac:dyDescent="0.25">
      <c r="A158" s="87" t="s">
        <v>18</v>
      </c>
      <c r="B158" s="69"/>
      <c r="C158" s="72">
        <v>257</v>
      </c>
      <c r="D158" s="72">
        <v>257</v>
      </c>
      <c r="E158" s="72">
        <f>E157*1.4+75</f>
        <v>257</v>
      </c>
      <c r="F158" s="72">
        <f>F157*1.4+75</f>
        <v>257</v>
      </c>
      <c r="G158" s="72">
        <f>G157+0.4*E157+75</f>
        <v>257</v>
      </c>
      <c r="H158" s="72">
        <f>H157+0.4*F157+75</f>
        <v>257</v>
      </c>
      <c r="I158" s="72">
        <f>I157+0.4*G157+75</f>
        <v>257</v>
      </c>
      <c r="J158" s="72">
        <f>J157+0.4*H157+75</f>
        <v>257</v>
      </c>
      <c r="K158" s="72">
        <f>K157+0.4*I157+75</f>
        <v>257</v>
      </c>
    </row>
    <row r="159" spans="1:12" ht="14.4" customHeight="1" x14ac:dyDescent="0.25">
      <c r="A159" s="87" t="s">
        <v>19</v>
      </c>
      <c r="B159" s="69"/>
      <c r="C159" s="707" t="s">
        <v>167</v>
      </c>
      <c r="D159" s="708"/>
      <c r="E159" s="708"/>
      <c r="F159" s="708"/>
      <c r="G159" s="708"/>
      <c r="H159" s="708"/>
      <c r="I159" s="708"/>
      <c r="J159" s="708"/>
      <c r="K159" s="709"/>
    </row>
    <row r="160" spans="1:12" x14ac:dyDescent="0.25">
      <c r="A160" s="87" t="s">
        <v>20</v>
      </c>
      <c r="B160" s="69"/>
      <c r="C160" s="72">
        <v>59.08</v>
      </c>
      <c r="D160" s="72">
        <v>145.32</v>
      </c>
      <c r="E160" s="72">
        <v>116.8</v>
      </c>
      <c r="F160" s="72">
        <v>110.73</v>
      </c>
      <c r="G160" s="72">
        <v>94</v>
      </c>
      <c r="H160" s="72">
        <v>69.739999999999995</v>
      </c>
      <c r="I160" s="72">
        <v>76.75</v>
      </c>
      <c r="J160" s="72">
        <v>75.09</v>
      </c>
      <c r="K160" s="72"/>
    </row>
    <row r="161" spans="1:11" x14ac:dyDescent="0.25">
      <c r="A161" s="87" t="s">
        <v>21</v>
      </c>
      <c r="B161" s="69"/>
      <c r="C161" s="72">
        <f t="shared" ref="C161:J161" si="7">C158-C160</f>
        <v>197.92000000000002</v>
      </c>
      <c r="D161" s="72">
        <f t="shared" si="7"/>
        <v>111.68</v>
      </c>
      <c r="E161" s="72">
        <f t="shared" si="7"/>
        <v>140.19999999999999</v>
      </c>
      <c r="F161" s="72">
        <f t="shared" si="7"/>
        <v>146.26999999999998</v>
      </c>
      <c r="G161" s="72">
        <f t="shared" si="7"/>
        <v>163</v>
      </c>
      <c r="H161" s="72">
        <f t="shared" si="7"/>
        <v>187.26</v>
      </c>
      <c r="I161" s="72">
        <f t="shared" si="7"/>
        <v>180.25</v>
      </c>
      <c r="J161" s="72">
        <f t="shared" si="7"/>
        <v>181.91</v>
      </c>
      <c r="K161" s="72"/>
    </row>
    <row r="162" spans="1:11" x14ac:dyDescent="0.25">
      <c r="A162" s="91" t="s">
        <v>22</v>
      </c>
      <c r="B162" s="74"/>
      <c r="C162" s="74">
        <v>2019</v>
      </c>
      <c r="D162" s="74">
        <v>2020</v>
      </c>
      <c r="E162" s="74">
        <v>2021</v>
      </c>
      <c r="F162" s="74">
        <v>2022</v>
      </c>
      <c r="G162" s="74">
        <v>2023</v>
      </c>
      <c r="H162" s="74">
        <v>2024</v>
      </c>
      <c r="I162" s="74">
        <v>2025</v>
      </c>
      <c r="J162" s="74">
        <v>2026</v>
      </c>
      <c r="K162" s="74">
        <v>2027</v>
      </c>
    </row>
    <row r="163" spans="1:11" x14ac:dyDescent="0.25">
      <c r="A163" s="73" t="s">
        <v>253</v>
      </c>
      <c r="B163" s="75"/>
      <c r="C163" s="75"/>
      <c r="D163" s="75"/>
      <c r="E163" s="75"/>
      <c r="F163" s="75"/>
      <c r="G163" s="75"/>
      <c r="H163" s="46"/>
      <c r="I163" s="46"/>
      <c r="J163" s="46"/>
      <c r="K163" s="47"/>
    </row>
    <row r="164" spans="1:11" x14ac:dyDescent="0.25">
      <c r="A164" s="94" t="s">
        <v>208</v>
      </c>
      <c r="B164" s="8"/>
      <c r="C164" s="8"/>
      <c r="D164" s="8"/>
      <c r="E164" s="8"/>
      <c r="F164" s="8"/>
      <c r="G164" s="8"/>
      <c r="K164" s="64"/>
    </row>
    <row r="165" spans="1:11" x14ac:dyDescent="0.25">
      <c r="A165" s="94" t="s">
        <v>254</v>
      </c>
      <c r="B165" s="8"/>
      <c r="C165" s="8"/>
      <c r="D165" s="8"/>
      <c r="E165" s="8"/>
      <c r="F165" s="8"/>
      <c r="G165" s="8"/>
      <c r="K165" s="64"/>
    </row>
    <row r="166" spans="1:11" x14ac:dyDescent="0.25">
      <c r="A166" s="94" t="s">
        <v>414</v>
      </c>
      <c r="B166" s="8"/>
      <c r="C166" s="8"/>
      <c r="D166" s="8"/>
      <c r="E166" s="8"/>
      <c r="F166" s="8"/>
      <c r="G166" s="8"/>
      <c r="K166" s="64"/>
    </row>
    <row r="167" spans="1:11" x14ac:dyDescent="0.25">
      <c r="A167" s="94" t="s">
        <v>575</v>
      </c>
      <c r="B167" s="8"/>
      <c r="C167" s="8"/>
      <c r="D167" s="8"/>
      <c r="E167" s="8"/>
      <c r="F167" s="8"/>
      <c r="G167" s="8"/>
      <c r="K167" s="64"/>
    </row>
    <row r="168" spans="1:11" x14ac:dyDescent="0.25">
      <c r="A168" s="94" t="s">
        <v>766</v>
      </c>
      <c r="B168" s="8"/>
      <c r="C168" s="8"/>
      <c r="D168" s="8"/>
      <c r="E168" s="8"/>
      <c r="F168" s="8"/>
      <c r="G168" s="8"/>
      <c r="K168" s="64"/>
    </row>
    <row r="169" spans="1:11" x14ac:dyDescent="0.25">
      <c r="A169" s="94" t="s">
        <v>767</v>
      </c>
      <c r="B169" s="8"/>
      <c r="C169" s="8"/>
      <c r="D169" s="8"/>
      <c r="E169" s="8"/>
      <c r="F169" s="8"/>
      <c r="G169" s="8"/>
      <c r="K169" s="64"/>
    </row>
    <row r="170" spans="1:11" x14ac:dyDescent="0.25">
      <c r="A170" s="95" t="s">
        <v>989</v>
      </c>
      <c r="B170" s="85"/>
      <c r="C170" s="85"/>
      <c r="D170" s="85"/>
      <c r="E170" s="85"/>
      <c r="F170" s="85"/>
      <c r="G170" s="85"/>
      <c r="H170" s="34"/>
      <c r="I170" s="34"/>
      <c r="J170" s="34"/>
      <c r="K170" s="48"/>
    </row>
    <row r="172" spans="1:11" x14ac:dyDescent="0.25">
      <c r="A172" s="65" t="s">
        <v>14</v>
      </c>
      <c r="B172" s="66" t="s">
        <v>641</v>
      </c>
      <c r="C172" s="67" t="s">
        <v>15</v>
      </c>
      <c r="D172" s="8"/>
      <c r="E172" s="8"/>
      <c r="F172" s="8"/>
    </row>
    <row r="173" spans="1:11" x14ac:dyDescent="0.25">
      <c r="A173" s="69" t="s">
        <v>16</v>
      </c>
      <c r="B173" s="69"/>
      <c r="C173" s="67">
        <v>2017</v>
      </c>
      <c r="D173" s="67">
        <v>2018</v>
      </c>
      <c r="E173" s="67">
        <v>2019</v>
      </c>
      <c r="F173" s="67">
        <v>2020</v>
      </c>
      <c r="G173" s="67">
        <v>2021</v>
      </c>
      <c r="H173" s="67">
        <v>2022</v>
      </c>
      <c r="I173" s="67">
        <v>2023</v>
      </c>
      <c r="J173" s="67">
        <v>2024</v>
      </c>
      <c r="K173" s="67">
        <v>2025</v>
      </c>
    </row>
    <row r="174" spans="1:11" x14ac:dyDescent="0.25">
      <c r="A174" s="69" t="s">
        <v>17</v>
      </c>
      <c r="B174" s="69"/>
      <c r="C174" s="72">
        <v>125</v>
      </c>
      <c r="D174" s="72">
        <v>125</v>
      </c>
      <c r="E174" s="72">
        <v>125</v>
      </c>
      <c r="F174" s="72">
        <v>125</v>
      </c>
      <c r="G174" s="72">
        <v>125</v>
      </c>
      <c r="H174" s="72">
        <v>125</v>
      </c>
      <c r="I174" s="72">
        <v>125</v>
      </c>
      <c r="J174" s="72">
        <v>125</v>
      </c>
      <c r="K174" s="72">
        <v>125</v>
      </c>
    </row>
    <row r="175" spans="1:11" x14ac:dyDescent="0.25">
      <c r="A175" s="69" t="s">
        <v>18</v>
      </c>
      <c r="B175" s="69"/>
      <c r="C175" s="72">
        <v>275</v>
      </c>
      <c r="D175" s="72">
        <v>287.5</v>
      </c>
      <c r="E175" s="72">
        <f>E174*1.2+25+50+50</f>
        <v>275</v>
      </c>
      <c r="F175" s="72">
        <f>F174*1.2+25+50+50</f>
        <v>275</v>
      </c>
      <c r="G175" s="72">
        <f>G174+0.2*E174+25+50+50</f>
        <v>275</v>
      </c>
      <c r="H175" s="72">
        <f>H174+0.2*F174+24.94+50+50</f>
        <v>274.94</v>
      </c>
      <c r="I175" s="72">
        <f>I174+0.1*G174+25+50+50</f>
        <v>262.5</v>
      </c>
      <c r="J175" s="72">
        <f>J174+0.1*H174+25+50+50</f>
        <v>262.5</v>
      </c>
      <c r="K175" s="72">
        <f>K174+0.1*I174+25+50+50</f>
        <v>262.5</v>
      </c>
    </row>
    <row r="176" spans="1:11" ht="14.4" customHeight="1" x14ac:dyDescent="0.25">
      <c r="A176" s="69" t="s">
        <v>19</v>
      </c>
      <c r="B176" s="69"/>
      <c r="C176" s="96" t="s">
        <v>167</v>
      </c>
      <c r="D176" s="71"/>
      <c r="E176" s="71"/>
      <c r="F176" s="71"/>
      <c r="G176" s="71"/>
      <c r="H176" s="71"/>
      <c r="I176" s="71"/>
      <c r="J176" s="97"/>
      <c r="K176" s="97"/>
    </row>
    <row r="177" spans="1:11" x14ac:dyDescent="0.25">
      <c r="A177" s="69" t="s">
        <v>20</v>
      </c>
      <c r="B177" s="69"/>
      <c r="C177" s="72">
        <v>166.01</v>
      </c>
      <c r="D177" s="72">
        <v>115.22</v>
      </c>
      <c r="E177" s="72">
        <v>55.33</v>
      </c>
      <c r="F177" s="72">
        <v>2.12</v>
      </c>
      <c r="G177" s="72">
        <v>29.08</v>
      </c>
      <c r="H177" s="72">
        <v>0</v>
      </c>
      <c r="I177" s="72">
        <v>0</v>
      </c>
      <c r="J177" s="72">
        <v>12.23</v>
      </c>
      <c r="K177" s="72"/>
    </row>
    <row r="178" spans="1:11" x14ac:dyDescent="0.25">
      <c r="A178" s="69" t="s">
        <v>21</v>
      </c>
      <c r="B178" s="69"/>
      <c r="C178" s="72">
        <f t="shared" ref="C178:J178" si="8">C175-C177</f>
        <v>108.99000000000001</v>
      </c>
      <c r="D178" s="72">
        <f t="shared" si="8"/>
        <v>172.28</v>
      </c>
      <c r="E178" s="72">
        <f t="shared" si="8"/>
        <v>219.67000000000002</v>
      </c>
      <c r="F178" s="72">
        <f t="shared" si="8"/>
        <v>272.88</v>
      </c>
      <c r="G178" s="72">
        <f t="shared" si="8"/>
        <v>245.92000000000002</v>
      </c>
      <c r="H178" s="72">
        <f t="shared" si="8"/>
        <v>274.94</v>
      </c>
      <c r="I178" s="72">
        <f t="shared" si="8"/>
        <v>262.5</v>
      </c>
      <c r="J178" s="72">
        <f t="shared" si="8"/>
        <v>250.27</v>
      </c>
      <c r="K178" s="72"/>
    </row>
    <row r="179" spans="1:11" x14ac:dyDescent="0.25">
      <c r="A179" s="74" t="s">
        <v>22</v>
      </c>
      <c r="B179" s="74"/>
      <c r="C179" s="74">
        <v>2019</v>
      </c>
      <c r="D179" s="74">
        <v>2020</v>
      </c>
      <c r="E179" s="74">
        <v>2021</v>
      </c>
      <c r="F179" s="74">
        <v>2022</v>
      </c>
      <c r="G179" s="74">
        <v>2023</v>
      </c>
      <c r="H179" s="74">
        <v>2024</v>
      </c>
      <c r="I179" s="74">
        <v>2025</v>
      </c>
      <c r="J179" s="74">
        <v>2026</v>
      </c>
      <c r="K179" s="74">
        <v>2027</v>
      </c>
    </row>
    <row r="180" spans="1:11" x14ac:dyDescent="0.25">
      <c r="A180" s="92" t="s">
        <v>256</v>
      </c>
      <c r="B180" s="93"/>
      <c r="C180" s="93"/>
      <c r="D180" s="93"/>
      <c r="E180" s="93"/>
      <c r="F180" s="93"/>
      <c r="G180" s="19"/>
      <c r="H180" s="19"/>
      <c r="I180" s="19"/>
      <c r="J180" s="19"/>
      <c r="K180" s="63"/>
    </row>
    <row r="181" spans="1:11" x14ac:dyDescent="0.25">
      <c r="A181" s="94" t="s">
        <v>257</v>
      </c>
      <c r="B181" s="8"/>
      <c r="C181" s="8"/>
      <c r="D181" s="8"/>
      <c r="E181" s="8"/>
      <c r="F181" s="8"/>
      <c r="K181" s="64"/>
    </row>
    <row r="182" spans="1:11" x14ac:dyDescent="0.25">
      <c r="A182" s="94" t="s">
        <v>258</v>
      </c>
      <c r="B182" s="8"/>
      <c r="C182" s="8"/>
      <c r="D182" s="8"/>
      <c r="E182" s="8"/>
      <c r="F182" s="8"/>
      <c r="K182" s="64"/>
    </row>
    <row r="183" spans="1:11" x14ac:dyDescent="0.25">
      <c r="A183" s="94" t="s">
        <v>209</v>
      </c>
      <c r="B183" s="8"/>
      <c r="C183" s="8"/>
      <c r="D183" s="8"/>
      <c r="E183" s="8"/>
      <c r="F183" s="8"/>
      <c r="K183" s="64"/>
    </row>
    <row r="184" spans="1:11" x14ac:dyDescent="0.25">
      <c r="A184" s="94" t="s">
        <v>255</v>
      </c>
      <c r="B184" s="8"/>
      <c r="C184" s="8"/>
      <c r="D184" s="8"/>
      <c r="E184" s="8"/>
      <c r="F184" s="8"/>
      <c r="K184" s="64"/>
    </row>
    <row r="185" spans="1:11" x14ac:dyDescent="0.25">
      <c r="A185" s="94" t="s">
        <v>415</v>
      </c>
      <c r="B185" s="8"/>
      <c r="C185" s="8"/>
      <c r="D185" s="8"/>
      <c r="E185" s="8"/>
      <c r="F185" s="8"/>
      <c r="K185" s="64"/>
    </row>
    <row r="186" spans="1:11" x14ac:dyDescent="0.25">
      <c r="A186" s="39" t="s">
        <v>576</v>
      </c>
      <c r="B186" s="8"/>
      <c r="C186" s="8"/>
      <c r="D186" s="8"/>
      <c r="E186" s="8"/>
      <c r="F186" s="8"/>
      <c r="K186" s="64"/>
    </row>
    <row r="187" spans="1:11" x14ac:dyDescent="0.25">
      <c r="A187" s="39" t="s">
        <v>991</v>
      </c>
      <c r="B187" s="8"/>
      <c r="C187" s="8"/>
      <c r="D187" s="8"/>
      <c r="E187" s="8"/>
      <c r="F187" s="8"/>
      <c r="K187" s="64"/>
    </row>
    <row r="188" spans="1:11" x14ac:dyDescent="0.25">
      <c r="A188" s="39" t="s">
        <v>990</v>
      </c>
      <c r="B188" s="8"/>
      <c r="C188" s="8"/>
      <c r="D188" s="8"/>
      <c r="E188" s="8"/>
      <c r="F188" s="8"/>
      <c r="K188" s="64"/>
    </row>
    <row r="189" spans="1:11" x14ac:dyDescent="0.25">
      <c r="A189" s="41" t="s">
        <v>992</v>
      </c>
      <c r="B189" s="34"/>
      <c r="C189" s="34"/>
      <c r="D189" s="34"/>
      <c r="E189" s="34"/>
      <c r="F189" s="34"/>
      <c r="G189" s="34"/>
      <c r="H189" s="34"/>
      <c r="I189" s="34"/>
      <c r="J189" s="34"/>
      <c r="K189" s="48"/>
    </row>
    <row r="192" spans="1:11" x14ac:dyDescent="0.25">
      <c r="A192" s="98" t="s">
        <v>12</v>
      </c>
      <c r="B192" s="66" t="s">
        <v>165</v>
      </c>
      <c r="C192" s="8"/>
      <c r="D192" s="8"/>
      <c r="E192" s="8"/>
      <c r="F192" s="8"/>
      <c r="G192" s="8"/>
    </row>
    <row r="193" spans="1:14" x14ac:dyDescent="0.25">
      <c r="A193" s="98" t="s">
        <v>14</v>
      </c>
      <c r="B193" s="66" t="s">
        <v>624</v>
      </c>
      <c r="C193" s="67" t="s">
        <v>15</v>
      </c>
      <c r="D193" s="8"/>
      <c r="E193" s="8"/>
      <c r="F193" s="8"/>
      <c r="G193" s="8"/>
    </row>
    <row r="194" spans="1:14" x14ac:dyDescent="0.25">
      <c r="A194" s="68" t="s">
        <v>16</v>
      </c>
      <c r="B194" s="67">
        <v>2014</v>
      </c>
      <c r="C194" s="67">
        <v>2015</v>
      </c>
      <c r="D194" s="70">
        <v>2016</v>
      </c>
      <c r="E194" s="67">
        <v>2017</v>
      </c>
      <c r="F194" s="66">
        <v>2018</v>
      </c>
      <c r="G194" s="66">
        <v>2019</v>
      </c>
      <c r="H194" s="66">
        <v>2020</v>
      </c>
      <c r="I194" s="66">
        <v>2021</v>
      </c>
      <c r="J194" s="66">
        <v>2022</v>
      </c>
      <c r="K194" s="66">
        <v>2023</v>
      </c>
      <c r="L194" s="66">
        <v>2024</v>
      </c>
      <c r="M194" s="66">
        <v>2025</v>
      </c>
    </row>
    <row r="195" spans="1:14" x14ac:dyDescent="0.25">
      <c r="A195" s="68" t="s">
        <v>17</v>
      </c>
      <c r="B195" s="99">
        <v>200</v>
      </c>
      <c r="C195" s="99">
        <v>200</v>
      </c>
      <c r="D195" s="99">
        <v>200</v>
      </c>
      <c r="E195" s="99">
        <v>200</v>
      </c>
      <c r="F195" s="100">
        <v>200</v>
      </c>
      <c r="G195" s="100">
        <v>215</v>
      </c>
      <c r="H195" s="100">
        <v>215</v>
      </c>
      <c r="I195" s="100">
        <v>242</v>
      </c>
      <c r="J195" s="100">
        <v>242</v>
      </c>
      <c r="K195" s="100">
        <v>242</v>
      </c>
      <c r="L195" s="100">
        <v>302</v>
      </c>
      <c r="M195" s="100">
        <v>302</v>
      </c>
    </row>
    <row r="196" spans="1:14" x14ac:dyDescent="0.25">
      <c r="A196" s="68" t="s">
        <v>18</v>
      </c>
      <c r="B196" s="99">
        <v>250</v>
      </c>
      <c r="C196" s="99">
        <v>250</v>
      </c>
      <c r="D196" s="99">
        <v>250</v>
      </c>
      <c r="E196" s="99">
        <v>250</v>
      </c>
      <c r="F196" s="100">
        <v>250</v>
      </c>
      <c r="G196" s="100">
        <f>E195*0.25+G195</f>
        <v>265</v>
      </c>
      <c r="H196" s="100">
        <f t="shared" ref="H196:L196" si="9">H195+0.25*G195</f>
        <v>268.75</v>
      </c>
      <c r="I196" s="100">
        <f t="shared" si="9"/>
        <v>295.75</v>
      </c>
      <c r="J196" s="100">
        <f>J195+0.25*I195</f>
        <v>302.5</v>
      </c>
      <c r="K196" s="100">
        <f t="shared" si="9"/>
        <v>302.5</v>
      </c>
      <c r="L196" s="100">
        <f t="shared" si="9"/>
        <v>362.5</v>
      </c>
      <c r="M196" s="100">
        <f>M195+0.25*L195</f>
        <v>377.5</v>
      </c>
    </row>
    <row r="197" spans="1:14" x14ac:dyDescent="0.25">
      <c r="A197" s="68" t="s">
        <v>19</v>
      </c>
      <c r="B197" s="101" t="s">
        <v>316</v>
      </c>
      <c r="C197" s="101" t="s">
        <v>316</v>
      </c>
      <c r="D197" s="101" t="s">
        <v>316</v>
      </c>
      <c r="E197" s="101" t="s">
        <v>316</v>
      </c>
      <c r="F197" s="101" t="s">
        <v>316</v>
      </c>
      <c r="G197" s="101" t="s">
        <v>371</v>
      </c>
      <c r="H197" s="101" t="s">
        <v>426</v>
      </c>
      <c r="I197" s="101" t="s">
        <v>652</v>
      </c>
      <c r="J197" s="101" t="s">
        <v>653</v>
      </c>
      <c r="K197" s="101" t="s">
        <v>653</v>
      </c>
      <c r="L197" s="101" t="s">
        <v>1033</v>
      </c>
      <c r="M197" s="101" t="s">
        <v>1263</v>
      </c>
    </row>
    <row r="198" spans="1:14" x14ac:dyDescent="0.25">
      <c r="A198" s="68" t="s">
        <v>20</v>
      </c>
      <c r="B198" s="99">
        <v>0</v>
      </c>
      <c r="C198" s="99">
        <v>0</v>
      </c>
      <c r="D198" s="99">
        <v>0</v>
      </c>
      <c r="E198" s="99">
        <v>0</v>
      </c>
      <c r="F198" s="100">
        <v>0</v>
      </c>
      <c r="G198" s="100">
        <v>0</v>
      </c>
      <c r="H198" s="100">
        <v>0</v>
      </c>
      <c r="I198" s="100">
        <v>0</v>
      </c>
      <c r="J198" s="100">
        <v>0</v>
      </c>
      <c r="K198" s="100">
        <v>41</v>
      </c>
      <c r="L198" s="100">
        <v>18.62</v>
      </c>
      <c r="M198" s="100"/>
    </row>
    <row r="199" spans="1:14" x14ac:dyDescent="0.25">
      <c r="A199" s="68" t="s">
        <v>21</v>
      </c>
      <c r="B199" s="99">
        <v>250</v>
      </c>
      <c r="C199" s="99">
        <v>250</v>
      </c>
      <c r="D199" s="99">
        <v>250</v>
      </c>
      <c r="E199" s="99">
        <v>250</v>
      </c>
      <c r="F199" s="100">
        <v>250</v>
      </c>
      <c r="G199" s="100">
        <f>G196</f>
        <v>265</v>
      </c>
      <c r="H199" s="100">
        <f>H196</f>
        <v>268.75</v>
      </c>
      <c r="I199" s="100">
        <f>I196</f>
        <v>295.75</v>
      </c>
      <c r="J199" s="100">
        <f>J196-J198</f>
        <v>302.5</v>
      </c>
      <c r="K199" s="100">
        <f>K196-K198</f>
        <v>261.5</v>
      </c>
      <c r="L199" s="100">
        <f>L196-L198</f>
        <v>343.88</v>
      </c>
      <c r="M199" s="100"/>
    </row>
    <row r="200" spans="1:14" x14ac:dyDescent="0.25">
      <c r="A200" s="73" t="s">
        <v>22</v>
      </c>
      <c r="B200" s="102">
        <v>2015</v>
      </c>
      <c r="C200" s="102">
        <v>2016</v>
      </c>
      <c r="D200" s="102">
        <v>2017</v>
      </c>
      <c r="E200" s="102">
        <v>2018</v>
      </c>
      <c r="F200" s="102">
        <v>2019</v>
      </c>
      <c r="G200" s="102">
        <v>2020</v>
      </c>
      <c r="H200" s="102">
        <v>2021</v>
      </c>
      <c r="I200" s="102">
        <v>2022</v>
      </c>
      <c r="J200" s="102">
        <v>2023</v>
      </c>
      <c r="K200" s="102">
        <v>2024</v>
      </c>
      <c r="L200" s="102">
        <v>2025</v>
      </c>
      <c r="M200" s="102">
        <v>2026</v>
      </c>
    </row>
    <row r="201" spans="1:14" x14ac:dyDescent="0.25">
      <c r="A201" s="92" t="s">
        <v>1106</v>
      </c>
      <c r="B201" s="93"/>
      <c r="C201" s="93"/>
      <c r="D201" s="93"/>
      <c r="E201" s="93"/>
      <c r="F201" s="93"/>
      <c r="G201" s="93"/>
      <c r="H201" s="93"/>
      <c r="I201" s="93"/>
      <c r="J201" s="19"/>
      <c r="K201" s="19"/>
      <c r="L201" s="19"/>
      <c r="M201" s="63"/>
    </row>
    <row r="202" spans="1:14" x14ac:dyDescent="0.25">
      <c r="A202" s="84" t="s">
        <v>1107</v>
      </c>
      <c r="B202" s="34"/>
      <c r="C202" s="34"/>
      <c r="D202" s="34"/>
      <c r="E202" s="34"/>
      <c r="F202" s="34"/>
      <c r="G202" s="34"/>
      <c r="H202" s="34"/>
      <c r="I202" s="34"/>
      <c r="J202" s="34"/>
      <c r="K202" s="34"/>
      <c r="L202" s="34"/>
      <c r="M202" s="48"/>
    </row>
    <row r="203" spans="1:14" x14ac:dyDescent="0.25">
      <c r="A203" s="84"/>
      <c r="B203" s="34"/>
      <c r="C203" s="34"/>
    </row>
    <row r="204" spans="1:14" x14ac:dyDescent="0.25">
      <c r="A204" s="103" t="s">
        <v>14</v>
      </c>
      <c r="B204" s="104" t="s">
        <v>638</v>
      </c>
      <c r="C204" s="105" t="s">
        <v>15</v>
      </c>
      <c r="D204" s="8"/>
      <c r="E204" s="8"/>
      <c r="F204" s="8"/>
      <c r="G204" s="8"/>
    </row>
    <row r="205" spans="1:14" x14ac:dyDescent="0.25">
      <c r="A205" s="68" t="s">
        <v>16</v>
      </c>
      <c r="B205" s="67">
        <v>2014</v>
      </c>
      <c r="C205" s="67">
        <v>2015</v>
      </c>
      <c r="D205" s="70">
        <v>2016</v>
      </c>
      <c r="E205" s="67">
        <v>2017</v>
      </c>
      <c r="F205" s="66">
        <v>2018</v>
      </c>
      <c r="G205" s="66">
        <v>2019</v>
      </c>
      <c r="H205" s="66">
        <v>2020</v>
      </c>
      <c r="I205" s="66">
        <v>2021</v>
      </c>
      <c r="J205" s="66">
        <v>2022</v>
      </c>
      <c r="K205" s="66">
        <v>2023</v>
      </c>
      <c r="L205" s="66">
        <v>2024</v>
      </c>
      <c r="M205" s="66">
        <v>2025</v>
      </c>
      <c r="N205" s="66">
        <v>2026</v>
      </c>
    </row>
    <row r="206" spans="1:14" x14ac:dyDescent="0.25">
      <c r="A206" s="68" t="s">
        <v>17</v>
      </c>
      <c r="B206" s="106">
        <v>2160</v>
      </c>
      <c r="C206" s="106">
        <v>2160</v>
      </c>
      <c r="D206" s="106">
        <v>2160</v>
      </c>
      <c r="E206" s="106">
        <v>2160</v>
      </c>
      <c r="F206" s="107">
        <v>2160</v>
      </c>
      <c r="G206" s="107">
        <v>2160</v>
      </c>
      <c r="H206" s="107">
        <v>2160</v>
      </c>
      <c r="I206" s="107">
        <v>2160</v>
      </c>
      <c r="J206" s="107">
        <v>2160</v>
      </c>
      <c r="K206" s="107">
        <v>2600</v>
      </c>
      <c r="L206" s="107">
        <v>2600</v>
      </c>
      <c r="M206" s="107">
        <v>2600</v>
      </c>
      <c r="N206" s="107">
        <v>2600</v>
      </c>
    </row>
    <row r="207" spans="1:14" x14ac:dyDescent="0.25">
      <c r="A207" s="68" t="s">
        <v>18</v>
      </c>
      <c r="B207" s="106">
        <v>2700</v>
      </c>
      <c r="C207" s="106">
        <v>2700</v>
      </c>
      <c r="D207" s="106">
        <v>2700</v>
      </c>
      <c r="E207" s="106">
        <v>2600</v>
      </c>
      <c r="F207" s="106">
        <v>2600</v>
      </c>
      <c r="G207" s="106">
        <v>2600</v>
      </c>
      <c r="H207" s="106">
        <f>H206+0.25*G206-200</f>
        <v>2500</v>
      </c>
      <c r="I207" s="106">
        <f>I206+0.25*H206</f>
        <v>2700</v>
      </c>
      <c r="J207" s="106">
        <f>J206*(1+0.25)-259.96</f>
        <v>2440.04</v>
      </c>
      <c r="K207" s="106">
        <f>K206+0.25*I206-100</f>
        <v>3040</v>
      </c>
      <c r="L207" s="106">
        <f>L206-100</f>
        <v>2500</v>
      </c>
      <c r="M207" s="106">
        <f>M206+0.25*J206-100</f>
        <v>3040</v>
      </c>
      <c r="N207" s="106">
        <f>N206+0.25*L206-100</f>
        <v>3150</v>
      </c>
    </row>
    <row r="208" spans="1:14" ht="27.6" customHeight="1" x14ac:dyDescent="0.25">
      <c r="A208" s="68" t="s">
        <v>19</v>
      </c>
      <c r="B208" s="108" t="s">
        <v>317</v>
      </c>
      <c r="C208" s="108" t="s">
        <v>317</v>
      </c>
      <c r="D208" s="108" t="s">
        <v>317</v>
      </c>
      <c r="E208" s="108" t="s">
        <v>318</v>
      </c>
      <c r="F208" s="108" t="s">
        <v>318</v>
      </c>
      <c r="G208" s="108" t="s">
        <v>318</v>
      </c>
      <c r="H208" s="108" t="s">
        <v>428</v>
      </c>
      <c r="I208" s="108" t="s">
        <v>317</v>
      </c>
      <c r="J208" s="108" t="s">
        <v>908</v>
      </c>
      <c r="K208" s="108" t="s">
        <v>821</v>
      </c>
      <c r="L208" s="108" t="s">
        <v>1030</v>
      </c>
      <c r="M208" s="108" t="s">
        <v>821</v>
      </c>
      <c r="N208" s="108" t="s">
        <v>821</v>
      </c>
    </row>
    <row r="209" spans="1:14" x14ac:dyDescent="0.25">
      <c r="A209" s="68" t="s">
        <v>20</v>
      </c>
      <c r="B209" s="106">
        <v>462.36</v>
      </c>
      <c r="C209" s="106">
        <v>490.22</v>
      </c>
      <c r="D209" s="106">
        <v>657.59</v>
      </c>
      <c r="E209" s="106">
        <v>496.85</v>
      </c>
      <c r="F209" s="107">
        <v>396</v>
      </c>
      <c r="G209" s="107">
        <v>1002.664409132517</v>
      </c>
      <c r="H209" s="107">
        <v>617</v>
      </c>
      <c r="I209" s="107">
        <v>516</v>
      </c>
      <c r="J209" s="107">
        <v>543</v>
      </c>
      <c r="K209" s="107">
        <v>524</v>
      </c>
      <c r="L209" s="107">
        <v>605.1</v>
      </c>
      <c r="M209" s="107"/>
      <c r="N209" s="107"/>
    </row>
    <row r="210" spans="1:14" x14ac:dyDescent="0.25">
      <c r="A210" s="68" t="s">
        <v>21</v>
      </c>
      <c r="B210" s="106">
        <f t="shared" ref="B210:G210" si="10">B207-B209</f>
        <v>2237.64</v>
      </c>
      <c r="C210" s="106">
        <f t="shared" si="10"/>
        <v>2209.7799999999997</v>
      </c>
      <c r="D210" s="106">
        <f t="shared" si="10"/>
        <v>2042.4099999999999</v>
      </c>
      <c r="E210" s="106">
        <f t="shared" si="10"/>
        <v>2103.15</v>
      </c>
      <c r="F210" s="106">
        <f t="shared" si="10"/>
        <v>2204</v>
      </c>
      <c r="G210" s="106">
        <f t="shared" si="10"/>
        <v>1597.335590867483</v>
      </c>
      <c r="H210" s="106">
        <f>H207-H209</f>
        <v>1883</v>
      </c>
      <c r="I210" s="106">
        <f>I207-I209</f>
        <v>2184</v>
      </c>
      <c r="J210" s="106">
        <f>J207-J209</f>
        <v>1897.04</v>
      </c>
      <c r="K210" s="106">
        <f>K207-K209</f>
        <v>2516</v>
      </c>
      <c r="L210" s="106">
        <f>L207-L209</f>
        <v>1894.9</v>
      </c>
      <c r="M210" s="106"/>
      <c r="N210" s="106"/>
    </row>
    <row r="211" spans="1:14" x14ac:dyDescent="0.25">
      <c r="A211" s="73" t="s">
        <v>22</v>
      </c>
      <c r="B211" s="102">
        <v>2016</v>
      </c>
      <c r="C211" s="102">
        <v>2017</v>
      </c>
      <c r="D211" s="102">
        <v>2018</v>
      </c>
      <c r="E211" s="102">
        <v>2019</v>
      </c>
      <c r="F211" s="102">
        <v>2020</v>
      </c>
      <c r="G211" s="102">
        <v>2021</v>
      </c>
      <c r="H211" s="102">
        <v>2022</v>
      </c>
      <c r="I211" s="102">
        <v>2023</v>
      </c>
      <c r="J211" s="102">
        <v>2024</v>
      </c>
      <c r="K211" s="102">
        <v>2025</v>
      </c>
      <c r="L211" s="102">
        <v>2026</v>
      </c>
      <c r="M211" s="102">
        <v>2027</v>
      </c>
      <c r="N211" s="102">
        <v>2028</v>
      </c>
    </row>
    <row r="212" spans="1:14" x14ac:dyDescent="0.25">
      <c r="A212" s="705" t="s">
        <v>791</v>
      </c>
      <c r="B212" s="706"/>
      <c r="C212" s="706"/>
      <c r="D212" s="706"/>
      <c r="E212" s="706"/>
      <c r="F212" s="706"/>
      <c r="G212" s="706"/>
      <c r="H212" s="46"/>
      <c r="I212" s="46"/>
      <c r="J212" s="46"/>
      <c r="K212" s="47"/>
      <c r="L212" s="47"/>
      <c r="M212" s="47"/>
      <c r="N212" s="47"/>
    </row>
    <row r="213" spans="1:14" x14ac:dyDescent="0.25">
      <c r="A213" s="76" t="s">
        <v>319</v>
      </c>
      <c r="B213" s="77"/>
      <c r="C213" s="77"/>
      <c r="D213" s="77"/>
      <c r="E213" s="77"/>
      <c r="F213" s="77"/>
      <c r="G213" s="77"/>
      <c r="H213" s="46"/>
      <c r="I213" s="46"/>
      <c r="J213" s="46"/>
      <c r="K213" s="46"/>
      <c r="L213" s="46"/>
      <c r="M213" s="46"/>
      <c r="N213" s="47"/>
    </row>
    <row r="214" spans="1:14" x14ac:dyDescent="0.25">
      <c r="A214" s="109" t="s">
        <v>1027</v>
      </c>
      <c r="B214" s="80"/>
      <c r="C214" s="80"/>
      <c r="D214" s="80"/>
      <c r="E214" s="80"/>
      <c r="F214" s="80"/>
      <c r="G214" s="80"/>
      <c r="N214" s="64"/>
    </row>
    <row r="215" spans="1:14" x14ac:dyDescent="0.25">
      <c r="A215" s="109" t="s">
        <v>427</v>
      </c>
      <c r="B215" s="80"/>
      <c r="C215" s="80"/>
      <c r="D215" s="80"/>
      <c r="E215" s="80"/>
      <c r="F215" s="80"/>
      <c r="G215" s="80"/>
      <c r="N215" s="64"/>
    </row>
    <row r="216" spans="1:14" x14ac:dyDescent="0.25">
      <c r="A216" s="109" t="s">
        <v>907</v>
      </c>
      <c r="B216" s="80"/>
      <c r="C216" s="80"/>
      <c r="D216" s="80"/>
      <c r="E216" s="80"/>
      <c r="F216" s="80"/>
      <c r="G216" s="80"/>
      <c r="N216" s="64"/>
    </row>
    <row r="217" spans="1:14" x14ac:dyDescent="0.25">
      <c r="A217" s="109" t="s">
        <v>820</v>
      </c>
      <c r="B217" s="80"/>
      <c r="C217" s="80"/>
      <c r="D217" s="80"/>
      <c r="E217" s="80"/>
      <c r="F217" s="80"/>
      <c r="G217" s="80"/>
      <c r="N217" s="64"/>
    </row>
    <row r="218" spans="1:14" x14ac:dyDescent="0.25">
      <c r="A218" s="109" t="s">
        <v>1029</v>
      </c>
      <c r="B218" s="80"/>
      <c r="C218" s="80"/>
      <c r="D218" s="80"/>
      <c r="E218" s="80"/>
      <c r="F218" s="80"/>
      <c r="G218" s="80"/>
      <c r="N218" s="64"/>
    </row>
    <row r="219" spans="1:14" x14ac:dyDescent="0.25">
      <c r="A219" s="109" t="s">
        <v>1100</v>
      </c>
      <c r="B219" s="80"/>
      <c r="C219" s="80"/>
      <c r="D219" s="80"/>
      <c r="E219" s="80"/>
      <c r="F219" s="80"/>
      <c r="G219" s="80"/>
      <c r="N219" s="64"/>
    </row>
    <row r="220" spans="1:14" x14ac:dyDescent="0.25">
      <c r="A220" s="440" t="s">
        <v>1265</v>
      </c>
      <c r="B220" s="111"/>
      <c r="C220" s="111"/>
      <c r="D220" s="111"/>
      <c r="E220" s="111"/>
      <c r="F220" s="111"/>
      <c r="G220" s="111"/>
      <c r="H220" s="34"/>
      <c r="I220" s="34"/>
      <c r="J220" s="34"/>
      <c r="K220" s="34"/>
      <c r="L220" s="34"/>
      <c r="M220" s="34"/>
      <c r="N220" s="48"/>
    </row>
    <row r="222" spans="1:14" x14ac:dyDescent="0.25">
      <c r="A222" s="98" t="s">
        <v>14</v>
      </c>
      <c r="B222" s="66" t="s">
        <v>623</v>
      </c>
      <c r="C222" s="67" t="s">
        <v>15</v>
      </c>
      <c r="D222" s="8"/>
      <c r="E222" s="8"/>
      <c r="F222" s="8"/>
    </row>
    <row r="223" spans="1:14" x14ac:dyDescent="0.25">
      <c r="A223" s="68" t="s">
        <v>16</v>
      </c>
      <c r="B223" s="67">
        <v>2014</v>
      </c>
      <c r="C223" s="67">
        <v>2015</v>
      </c>
      <c r="D223" s="70">
        <v>2016</v>
      </c>
      <c r="E223" s="67">
        <v>2017</v>
      </c>
      <c r="F223" s="66">
        <v>2018</v>
      </c>
      <c r="G223" s="66">
        <v>2019</v>
      </c>
      <c r="H223" s="66">
        <v>2020</v>
      </c>
      <c r="I223" s="66">
        <v>2021</v>
      </c>
      <c r="J223" s="66">
        <v>2022</v>
      </c>
      <c r="K223" s="66">
        <v>2023</v>
      </c>
      <c r="L223" s="66">
        <v>2024</v>
      </c>
      <c r="M223" s="112">
        <v>2025</v>
      </c>
      <c r="N223" s="112">
        <v>2026</v>
      </c>
    </row>
    <row r="224" spans="1:14" x14ac:dyDescent="0.25">
      <c r="A224" s="68" t="s">
        <v>17</v>
      </c>
      <c r="B224" s="99">
        <v>50</v>
      </c>
      <c r="C224" s="99">
        <v>50</v>
      </c>
      <c r="D224" s="99">
        <v>50</v>
      </c>
      <c r="E224" s="99">
        <v>50</v>
      </c>
      <c r="F224" s="99">
        <v>50</v>
      </c>
      <c r="G224" s="99">
        <v>50</v>
      </c>
      <c r="H224" s="99">
        <v>50</v>
      </c>
      <c r="I224" s="99">
        <v>50</v>
      </c>
      <c r="J224" s="99">
        <v>50</v>
      </c>
      <c r="K224" s="99">
        <v>50</v>
      </c>
      <c r="L224" s="99">
        <v>50</v>
      </c>
      <c r="M224" s="113">
        <v>50</v>
      </c>
      <c r="N224" s="113">
        <v>50</v>
      </c>
    </row>
    <row r="225" spans="1:14" x14ac:dyDescent="0.25">
      <c r="A225" s="68" t="s">
        <v>18</v>
      </c>
      <c r="B225" s="99">
        <v>75</v>
      </c>
      <c r="C225" s="99">
        <v>50</v>
      </c>
      <c r="D225" s="99">
        <v>50</v>
      </c>
      <c r="E225" s="99">
        <f>E224*1.5-25</f>
        <v>50</v>
      </c>
      <c r="F225" s="99">
        <f>F224*1.4-25</f>
        <v>45</v>
      </c>
      <c r="G225" s="99">
        <f>G224*1.4-25</f>
        <v>45</v>
      </c>
      <c r="H225" s="99">
        <f>H224*1.4-25</f>
        <v>45</v>
      </c>
      <c r="I225" s="99">
        <f>I224*1.4-25</f>
        <v>45</v>
      </c>
      <c r="J225" s="99">
        <f>J224*1.4-25</f>
        <v>45</v>
      </c>
      <c r="K225" s="99">
        <f>50+0.4*50-25</f>
        <v>45</v>
      </c>
      <c r="L225" s="99">
        <f>50+0.4*50-25</f>
        <v>45</v>
      </c>
      <c r="M225" s="113">
        <f>(M224)+(0.4*50)</f>
        <v>70</v>
      </c>
      <c r="N225" s="113">
        <f>(N224)+(0.4*50)</f>
        <v>70</v>
      </c>
    </row>
    <row r="226" spans="1:14" x14ac:dyDescent="0.25">
      <c r="A226" s="68" t="s">
        <v>19</v>
      </c>
      <c r="B226" s="99" t="s">
        <v>320</v>
      </c>
      <c r="C226" s="99" t="s">
        <v>321</v>
      </c>
      <c r="D226" s="99" t="s">
        <v>321</v>
      </c>
      <c r="E226" s="99" t="s">
        <v>321</v>
      </c>
      <c r="F226" s="99" t="s">
        <v>322</v>
      </c>
      <c r="G226" s="99" t="s">
        <v>322</v>
      </c>
      <c r="H226" s="99" t="s">
        <v>322</v>
      </c>
      <c r="I226" s="99" t="s">
        <v>322</v>
      </c>
      <c r="J226" s="99" t="s">
        <v>322</v>
      </c>
      <c r="K226" s="99" t="s">
        <v>1111</v>
      </c>
      <c r="L226" s="99" t="s">
        <v>1111</v>
      </c>
      <c r="M226" s="114" t="s">
        <v>1149</v>
      </c>
      <c r="N226" s="114" t="s">
        <v>1149</v>
      </c>
    </row>
    <row r="227" spans="1:14" x14ac:dyDescent="0.25">
      <c r="A227" s="68" t="s">
        <v>20</v>
      </c>
      <c r="B227" s="99">
        <v>0</v>
      </c>
      <c r="C227" s="99">
        <v>0</v>
      </c>
      <c r="D227" s="99">
        <v>0</v>
      </c>
      <c r="E227" s="99">
        <v>0</v>
      </c>
      <c r="F227" s="99">
        <v>0</v>
      </c>
      <c r="G227" s="99">
        <v>0</v>
      </c>
      <c r="H227" s="99">
        <v>0</v>
      </c>
      <c r="I227" s="99">
        <v>0</v>
      </c>
      <c r="J227" s="99">
        <v>0</v>
      </c>
      <c r="K227" s="99">
        <v>0</v>
      </c>
      <c r="L227" s="99">
        <v>0</v>
      </c>
      <c r="M227" s="115"/>
      <c r="N227" s="113"/>
    </row>
    <row r="228" spans="1:14" x14ac:dyDescent="0.25">
      <c r="A228" s="68" t="s">
        <v>21</v>
      </c>
      <c r="B228" s="99">
        <f t="shared" ref="B228:I228" si="11">B225</f>
        <v>75</v>
      </c>
      <c r="C228" s="99">
        <f t="shared" si="11"/>
        <v>50</v>
      </c>
      <c r="D228" s="99">
        <f t="shared" si="11"/>
        <v>50</v>
      </c>
      <c r="E228" s="99">
        <f t="shared" si="11"/>
        <v>50</v>
      </c>
      <c r="F228" s="99">
        <f t="shared" si="11"/>
        <v>45</v>
      </c>
      <c r="G228" s="99">
        <f t="shared" si="11"/>
        <v>45</v>
      </c>
      <c r="H228" s="99">
        <f t="shared" si="11"/>
        <v>45</v>
      </c>
      <c r="I228" s="99">
        <f t="shared" si="11"/>
        <v>45</v>
      </c>
      <c r="J228" s="99">
        <f>J225-J227</f>
        <v>45</v>
      </c>
      <c r="K228" s="99">
        <f>K225-K227</f>
        <v>45</v>
      </c>
      <c r="L228" s="99">
        <f>L225-L227</f>
        <v>45</v>
      </c>
      <c r="M228" s="115"/>
      <c r="N228" s="113"/>
    </row>
    <row r="229" spans="1:14" x14ac:dyDescent="0.25">
      <c r="A229" s="92" t="s">
        <v>22</v>
      </c>
      <c r="B229" s="593">
        <v>2016</v>
      </c>
      <c r="C229" s="593">
        <v>2017</v>
      </c>
      <c r="D229" s="593">
        <v>2018</v>
      </c>
      <c r="E229" s="593">
        <v>2019</v>
      </c>
      <c r="F229" s="593">
        <v>2020</v>
      </c>
      <c r="G229" s="593">
        <v>2021</v>
      </c>
      <c r="H229" s="593">
        <v>2022</v>
      </c>
      <c r="I229" s="593">
        <v>2023</v>
      </c>
      <c r="J229" s="593">
        <v>2024</v>
      </c>
      <c r="K229" s="593">
        <v>2025</v>
      </c>
      <c r="L229" s="593">
        <v>2026</v>
      </c>
      <c r="M229" s="594"/>
      <c r="N229" s="594"/>
    </row>
    <row r="230" spans="1:14" x14ac:dyDescent="0.25">
      <c r="A230" s="698" t="s">
        <v>792</v>
      </c>
      <c r="B230" s="699"/>
      <c r="C230" s="699"/>
      <c r="D230" s="699"/>
      <c r="E230" s="699"/>
      <c r="F230" s="699"/>
      <c r="G230" s="699"/>
      <c r="H230" s="19"/>
      <c r="I230" s="19"/>
      <c r="J230" s="19"/>
      <c r="K230" s="19"/>
      <c r="L230" s="19"/>
      <c r="M230" s="19"/>
      <c r="N230" s="63"/>
    </row>
    <row r="231" spans="1:14" x14ac:dyDescent="0.25">
      <c r="A231" s="109" t="s">
        <v>1108</v>
      </c>
      <c r="B231" s="80"/>
      <c r="C231" s="80"/>
      <c r="D231" s="80"/>
      <c r="E231" s="80"/>
      <c r="F231" s="80"/>
      <c r="G231" s="80"/>
      <c r="N231" s="64"/>
    </row>
    <row r="232" spans="1:14" x14ac:dyDescent="0.25">
      <c r="A232" s="715" t="s">
        <v>1109</v>
      </c>
      <c r="B232" s="716"/>
      <c r="C232" s="716"/>
      <c r="D232" s="716"/>
      <c r="E232" s="716"/>
      <c r="F232" s="716"/>
      <c r="G232" s="716"/>
      <c r="N232" s="64"/>
    </row>
    <row r="233" spans="1:14" x14ac:dyDescent="0.25">
      <c r="A233" s="84" t="s">
        <v>1110</v>
      </c>
      <c r="B233" s="116"/>
      <c r="C233" s="116"/>
      <c r="D233" s="116"/>
      <c r="E233" s="116"/>
      <c r="F233" s="116"/>
      <c r="G233" s="116"/>
      <c r="H233" s="34"/>
      <c r="I233" s="34"/>
      <c r="J233" s="34"/>
      <c r="K233" s="34"/>
      <c r="L233" s="34"/>
      <c r="M233" s="34"/>
      <c r="N233" s="48"/>
    </row>
    <row r="234" spans="1:14" x14ac:dyDescent="0.25">
      <c r="A234" s="80"/>
      <c r="B234" s="80"/>
      <c r="C234" s="80"/>
      <c r="D234" s="80"/>
      <c r="E234" s="80"/>
      <c r="F234" s="80"/>
      <c r="G234" s="80"/>
    </row>
    <row r="236" spans="1:14" x14ac:dyDescent="0.25">
      <c r="A236" s="98" t="s">
        <v>14</v>
      </c>
      <c r="B236" s="66" t="s">
        <v>641</v>
      </c>
      <c r="C236" s="67" t="s">
        <v>15</v>
      </c>
      <c r="D236" s="8"/>
      <c r="E236" s="8"/>
      <c r="F236" s="8"/>
      <c r="G236" s="8"/>
    </row>
    <row r="237" spans="1:14" x14ac:dyDescent="0.25">
      <c r="A237" s="68" t="s">
        <v>16</v>
      </c>
      <c r="B237" s="67">
        <v>2014</v>
      </c>
      <c r="C237" s="67">
        <v>2015</v>
      </c>
      <c r="D237" s="70">
        <v>2016</v>
      </c>
      <c r="E237" s="67">
        <v>2017</v>
      </c>
      <c r="F237" s="66">
        <v>2018</v>
      </c>
      <c r="G237" s="66">
        <v>2019</v>
      </c>
      <c r="H237" s="66">
        <v>2020</v>
      </c>
      <c r="I237" s="66">
        <v>2021</v>
      </c>
      <c r="J237" s="66">
        <v>2022</v>
      </c>
      <c r="K237" s="66">
        <v>2023</v>
      </c>
      <c r="L237" s="66">
        <v>2024</v>
      </c>
      <c r="M237" s="66">
        <v>2025</v>
      </c>
      <c r="N237" s="66">
        <v>2026</v>
      </c>
    </row>
    <row r="238" spans="1:14" x14ac:dyDescent="0.25">
      <c r="A238" s="68" t="s">
        <v>17</v>
      </c>
      <c r="B238" s="106">
        <v>3940</v>
      </c>
      <c r="C238" s="106">
        <v>3940</v>
      </c>
      <c r="D238" s="106">
        <v>3940</v>
      </c>
      <c r="E238" s="106">
        <v>3940</v>
      </c>
      <c r="F238" s="106">
        <v>3940</v>
      </c>
      <c r="G238" s="106">
        <v>3940</v>
      </c>
      <c r="H238" s="106">
        <v>3940</v>
      </c>
      <c r="I238" s="106">
        <v>3940</v>
      </c>
      <c r="J238" s="106">
        <v>3940</v>
      </c>
      <c r="K238" s="106">
        <v>3940</v>
      </c>
      <c r="L238" s="106">
        <v>3940</v>
      </c>
      <c r="M238" s="106">
        <v>3940</v>
      </c>
      <c r="N238" s="106">
        <v>3940</v>
      </c>
    </row>
    <row r="239" spans="1:14" x14ac:dyDescent="0.25">
      <c r="A239" s="68" t="s">
        <v>18</v>
      </c>
      <c r="B239" s="106">
        <f>B238*1.3-50</f>
        <v>5072</v>
      </c>
      <c r="C239" s="106">
        <f>C238*1.3-50</f>
        <v>5072</v>
      </c>
      <c r="D239" s="106">
        <f>D238*1.3-50</f>
        <v>5072</v>
      </c>
      <c r="E239" s="106">
        <f>E238*1.3-50</f>
        <v>5072</v>
      </c>
      <c r="F239" s="106">
        <f>F238*1.2-50</f>
        <v>4678</v>
      </c>
      <c r="G239" s="106">
        <f>G238*1.2-50</f>
        <v>4678</v>
      </c>
      <c r="H239" s="106">
        <f>H238*1.2-50</f>
        <v>4678</v>
      </c>
      <c r="I239" s="106">
        <f>I238*1.2-50</f>
        <v>4678</v>
      </c>
      <c r="J239" s="106">
        <f>J238*1.2-50</f>
        <v>4678</v>
      </c>
      <c r="K239" s="106">
        <f>K238*1.1-50</f>
        <v>4284</v>
      </c>
      <c r="L239" s="106">
        <f>L238*1.1-50</f>
        <v>4284</v>
      </c>
      <c r="M239" s="106">
        <f>M238*1.1-50</f>
        <v>4284</v>
      </c>
      <c r="N239" s="106">
        <f>N238*1.1-50</f>
        <v>4284</v>
      </c>
    </row>
    <row r="240" spans="1:14" x14ac:dyDescent="0.25">
      <c r="A240" s="68" t="s">
        <v>19</v>
      </c>
      <c r="B240" s="106" t="s">
        <v>324</v>
      </c>
      <c r="C240" s="106" t="s">
        <v>324</v>
      </c>
      <c r="D240" s="106" t="s">
        <v>324</v>
      </c>
      <c r="E240" s="106" t="s">
        <v>324</v>
      </c>
      <c r="F240" s="106" t="s">
        <v>325</v>
      </c>
      <c r="G240" s="106" t="s">
        <v>325</v>
      </c>
      <c r="H240" s="106" t="s">
        <v>325</v>
      </c>
      <c r="I240" s="106" t="s">
        <v>325</v>
      </c>
      <c r="J240" s="106" t="s">
        <v>325</v>
      </c>
      <c r="K240" s="106" t="s">
        <v>1112</v>
      </c>
      <c r="L240" s="106" t="s">
        <v>1112</v>
      </c>
      <c r="M240" s="106" t="s">
        <v>1112</v>
      </c>
      <c r="N240" s="106" t="s">
        <v>1112</v>
      </c>
    </row>
    <row r="241" spans="1:14" x14ac:dyDescent="0.25">
      <c r="A241" s="68" t="s">
        <v>20</v>
      </c>
      <c r="B241" s="106">
        <v>2892.02</v>
      </c>
      <c r="C241" s="106">
        <v>2599.0703200000003</v>
      </c>
      <c r="D241" s="106">
        <v>2934.78017</v>
      </c>
      <c r="E241" s="106">
        <v>2406.0276984999996</v>
      </c>
      <c r="F241" s="106">
        <v>2798</v>
      </c>
      <c r="G241" s="106">
        <v>2858.8298242939013</v>
      </c>
      <c r="H241" s="106">
        <v>2105</v>
      </c>
      <c r="I241" s="106">
        <v>2823</v>
      </c>
      <c r="J241" s="106">
        <v>2197</v>
      </c>
      <c r="K241" s="106">
        <v>1984</v>
      </c>
      <c r="L241" s="106">
        <v>2377.3000000000002</v>
      </c>
      <c r="M241" s="106"/>
      <c r="N241" s="106"/>
    </row>
    <row r="242" spans="1:14" x14ac:dyDescent="0.25">
      <c r="A242" s="68" t="s">
        <v>21</v>
      </c>
      <c r="B242" s="106">
        <f t="shared" ref="B242:L242" si="12">B239-B241</f>
        <v>2179.98</v>
      </c>
      <c r="C242" s="106">
        <f t="shared" si="12"/>
        <v>2472.9296799999997</v>
      </c>
      <c r="D242" s="106">
        <f t="shared" si="12"/>
        <v>2137.21983</v>
      </c>
      <c r="E242" s="106">
        <f t="shared" si="12"/>
        <v>2665.9723015000004</v>
      </c>
      <c r="F242" s="106">
        <f t="shared" si="12"/>
        <v>1880</v>
      </c>
      <c r="G242" s="106">
        <f t="shared" si="12"/>
        <v>1819.1701757060987</v>
      </c>
      <c r="H242" s="106">
        <f t="shared" si="12"/>
        <v>2573</v>
      </c>
      <c r="I242" s="106">
        <f t="shared" si="12"/>
        <v>1855</v>
      </c>
      <c r="J242" s="106">
        <f t="shared" si="12"/>
        <v>2481</v>
      </c>
      <c r="K242" s="106">
        <f t="shared" si="12"/>
        <v>2300</v>
      </c>
      <c r="L242" s="106">
        <f t="shared" si="12"/>
        <v>1906.6999999999998</v>
      </c>
      <c r="M242" s="106"/>
      <c r="N242" s="106"/>
    </row>
    <row r="243" spans="1:14" x14ac:dyDescent="0.25">
      <c r="A243" s="73" t="s">
        <v>22</v>
      </c>
      <c r="B243" s="74">
        <v>2015</v>
      </c>
      <c r="C243" s="74">
        <v>2016</v>
      </c>
      <c r="D243" s="75">
        <v>2017</v>
      </c>
      <c r="E243" s="74">
        <v>2018</v>
      </c>
      <c r="F243" s="117">
        <v>2019</v>
      </c>
      <c r="G243" s="117">
        <v>2020</v>
      </c>
      <c r="H243" s="117">
        <v>2021</v>
      </c>
      <c r="I243" s="117">
        <v>2022</v>
      </c>
      <c r="J243" s="117">
        <v>2023</v>
      </c>
      <c r="K243" s="117">
        <v>2024</v>
      </c>
      <c r="L243" s="117">
        <v>2025</v>
      </c>
      <c r="M243" s="117">
        <v>2026</v>
      </c>
      <c r="N243" s="117">
        <v>2027</v>
      </c>
    </row>
    <row r="244" spans="1:14" x14ac:dyDescent="0.25">
      <c r="A244" s="705" t="s">
        <v>1031</v>
      </c>
      <c r="B244" s="706"/>
      <c r="C244" s="706"/>
      <c r="D244" s="706"/>
      <c r="E244" s="706"/>
      <c r="F244" s="706"/>
      <c r="G244" s="706"/>
      <c r="H244" s="46"/>
      <c r="I244" s="46"/>
      <c r="J244" s="46"/>
      <c r="K244" s="46"/>
      <c r="L244" s="46"/>
      <c r="M244" s="46"/>
      <c r="N244" s="47"/>
    </row>
    <row r="245" spans="1:14" x14ac:dyDescent="0.25">
      <c r="A245" s="110" t="s">
        <v>1032</v>
      </c>
      <c r="B245" s="111"/>
      <c r="C245" s="111"/>
      <c r="D245" s="111"/>
      <c r="E245" s="111"/>
      <c r="F245" s="111"/>
      <c r="G245" s="111"/>
      <c r="H245" s="34"/>
      <c r="I245" s="34"/>
      <c r="J245" s="34"/>
      <c r="K245" s="34"/>
      <c r="L245" s="34"/>
      <c r="M245" s="34"/>
      <c r="N245" s="48"/>
    </row>
    <row r="247" spans="1:14" x14ac:dyDescent="0.25">
      <c r="A247" s="98" t="s">
        <v>14</v>
      </c>
      <c r="B247" s="66" t="s">
        <v>66</v>
      </c>
      <c r="C247" s="67" t="s">
        <v>15</v>
      </c>
      <c r="D247" s="8"/>
      <c r="E247" s="8"/>
      <c r="F247" s="8"/>
    </row>
    <row r="248" spans="1:14" x14ac:dyDescent="0.25">
      <c r="A248" s="68" t="s">
        <v>16</v>
      </c>
      <c r="B248" s="69"/>
      <c r="C248" s="9">
        <v>2020</v>
      </c>
      <c r="D248" s="9">
        <v>2021</v>
      </c>
      <c r="E248" s="9">
        <v>2022</v>
      </c>
      <c r="F248" s="9">
        <v>2023</v>
      </c>
      <c r="G248" s="9">
        <v>2024</v>
      </c>
      <c r="H248" s="9">
        <v>2025</v>
      </c>
      <c r="I248" s="9">
        <v>2026</v>
      </c>
      <c r="J248" s="9">
        <v>2027</v>
      </c>
      <c r="K248" s="9">
        <v>2028</v>
      </c>
      <c r="L248" s="9"/>
    </row>
    <row r="249" spans="1:14" x14ac:dyDescent="0.25">
      <c r="A249" s="68" t="s">
        <v>17</v>
      </c>
      <c r="B249" s="72"/>
      <c r="C249" s="12">
        <v>6043</v>
      </c>
      <c r="D249" s="12">
        <v>5946.3120000000008</v>
      </c>
      <c r="E249" s="12">
        <v>5994.6559999999999</v>
      </c>
      <c r="F249" s="12">
        <v>5994.6559999999999</v>
      </c>
      <c r="G249" s="12">
        <v>5994.6559999999999</v>
      </c>
      <c r="H249" s="12">
        <v>5994.6559999999999</v>
      </c>
      <c r="I249" s="12">
        <v>5994.6559999999999</v>
      </c>
      <c r="J249" s="12">
        <v>5994.6559999999999</v>
      </c>
      <c r="K249" s="12">
        <v>5994.6559999999999</v>
      </c>
      <c r="L249" s="12"/>
    </row>
    <row r="250" spans="1:14" x14ac:dyDescent="0.25">
      <c r="A250" s="68" t="s">
        <v>18</v>
      </c>
      <c r="B250" s="72"/>
      <c r="C250" s="12"/>
      <c r="D250" s="12"/>
      <c r="E250" s="12">
        <f>E249+C253</f>
        <v>5753.6559999999999</v>
      </c>
      <c r="F250" s="12">
        <f>F249+D253</f>
        <v>5441.9680000000008</v>
      </c>
      <c r="G250" s="12">
        <f>G249-355.34</f>
        <v>5639.3159999999998</v>
      </c>
      <c r="H250" s="12">
        <f>H249-308+F253</f>
        <v>4764.6240000000007</v>
      </c>
      <c r="I250" s="12">
        <f>I249-308-G253</f>
        <v>3694.8900000000003</v>
      </c>
      <c r="J250" s="12">
        <f>J249-308+H253</f>
        <v>5686.6559999999999</v>
      </c>
      <c r="K250" s="12">
        <f>K249-308+I253</f>
        <v>5686.6559999999999</v>
      </c>
      <c r="L250" s="12"/>
    </row>
    <row r="251" spans="1:14" x14ac:dyDescent="0.25">
      <c r="A251" s="68" t="s">
        <v>19</v>
      </c>
      <c r="B251" s="72"/>
      <c r="C251" s="12"/>
      <c r="D251" s="12"/>
      <c r="E251" s="12" t="s">
        <v>714</v>
      </c>
      <c r="F251" s="12" t="s">
        <v>715</v>
      </c>
      <c r="G251" s="12" t="s">
        <v>935</v>
      </c>
      <c r="H251" s="12" t="s">
        <v>1034</v>
      </c>
      <c r="I251" s="12" t="s">
        <v>1150</v>
      </c>
      <c r="J251" s="12" t="s">
        <v>936</v>
      </c>
      <c r="K251" s="12" t="s">
        <v>937</v>
      </c>
      <c r="L251" s="12"/>
      <c r="M251" s="269"/>
    </row>
    <row r="252" spans="1:14" x14ac:dyDescent="0.25">
      <c r="A252" s="68" t="s">
        <v>20</v>
      </c>
      <c r="B252" s="72"/>
      <c r="C252" s="12">
        <v>6284</v>
      </c>
      <c r="D252" s="12">
        <v>6499</v>
      </c>
      <c r="E252" s="12">
        <v>7341</v>
      </c>
      <c r="F252" s="12">
        <v>6364</v>
      </c>
      <c r="G252" s="12">
        <v>3647.55</v>
      </c>
      <c r="H252" s="12"/>
      <c r="I252" s="12"/>
      <c r="J252" s="12"/>
      <c r="K252" s="12"/>
      <c r="L252" s="12"/>
    </row>
    <row r="253" spans="1:14" x14ac:dyDescent="0.25">
      <c r="A253" s="68" t="s">
        <v>21</v>
      </c>
      <c r="B253" s="101"/>
      <c r="C253" s="12">
        <f>C249-C252</f>
        <v>-241</v>
      </c>
      <c r="D253" s="12">
        <f>D249-D252</f>
        <v>-552.68799999999919</v>
      </c>
      <c r="E253" s="12">
        <f>E250-E252</f>
        <v>-1587.3440000000001</v>
      </c>
      <c r="F253" s="12">
        <f>F250-F252</f>
        <v>-922.03199999999924</v>
      </c>
      <c r="G253" s="12">
        <f>G250-G252</f>
        <v>1991.7659999999996</v>
      </c>
      <c r="H253" s="12"/>
      <c r="I253" s="12"/>
      <c r="J253" s="12"/>
      <c r="K253" s="12"/>
      <c r="L253" s="12"/>
    </row>
    <row r="254" spans="1:14" x14ac:dyDescent="0.25">
      <c r="A254" s="73" t="s">
        <v>22</v>
      </c>
      <c r="B254" s="102"/>
      <c r="C254" s="17">
        <v>2022</v>
      </c>
      <c r="D254" s="17">
        <v>2023</v>
      </c>
      <c r="E254" s="17">
        <v>2024</v>
      </c>
      <c r="F254" s="17">
        <v>2025</v>
      </c>
      <c r="G254" s="17">
        <v>2026</v>
      </c>
      <c r="H254" s="17">
        <v>2027</v>
      </c>
      <c r="I254" s="17">
        <v>2028</v>
      </c>
      <c r="J254" s="17">
        <v>2029</v>
      </c>
      <c r="K254" s="17">
        <v>2030</v>
      </c>
      <c r="L254" s="17"/>
    </row>
    <row r="255" spans="1:14" ht="12.75" customHeight="1" x14ac:dyDescent="0.25">
      <c r="A255" s="595" t="s">
        <v>23</v>
      </c>
      <c r="B255" s="596"/>
      <c r="C255" s="596"/>
      <c r="D255" s="596"/>
      <c r="E255" s="596"/>
      <c r="F255" s="596"/>
      <c r="G255" s="596"/>
      <c r="H255" s="596"/>
      <c r="I255" s="596"/>
      <c r="J255" s="596"/>
      <c r="K255" s="597"/>
      <c r="L255" s="597"/>
    </row>
    <row r="256" spans="1:14" ht="12.75" customHeight="1" x14ac:dyDescent="0.25">
      <c r="A256" s="599" t="s">
        <v>654</v>
      </c>
      <c r="B256" s="596"/>
      <c r="C256" s="596"/>
      <c r="D256" s="596"/>
      <c r="E256" s="596"/>
      <c r="F256" s="596"/>
      <c r="G256" s="258"/>
      <c r="H256" s="258"/>
      <c r="I256" s="19"/>
      <c r="J256" s="19"/>
      <c r="K256" s="19"/>
      <c r="L256" s="63"/>
    </row>
    <row r="257" spans="1:12" ht="12.75" customHeight="1" x14ac:dyDescent="0.25">
      <c r="A257" s="118" t="s">
        <v>934</v>
      </c>
      <c r="B257" s="598"/>
      <c r="C257" s="598"/>
      <c r="D257" s="598"/>
      <c r="E257" s="598"/>
      <c r="F257" s="598"/>
      <c r="G257" s="119"/>
      <c r="H257" s="119"/>
      <c r="L257" s="64"/>
    </row>
    <row r="258" spans="1:12" ht="12.75" customHeight="1" x14ac:dyDescent="0.25">
      <c r="A258" s="118"/>
      <c r="B258" s="598"/>
      <c r="C258" s="598"/>
      <c r="D258" s="598"/>
      <c r="E258" s="598"/>
      <c r="F258" s="598"/>
      <c r="G258" s="119"/>
      <c r="H258" s="119"/>
      <c r="L258" s="64"/>
    </row>
    <row r="259" spans="1:12" ht="12.75" customHeight="1" x14ac:dyDescent="0.25">
      <c r="A259" s="118"/>
      <c r="B259" s="598"/>
      <c r="C259" s="598"/>
      <c r="D259" s="598"/>
      <c r="E259" s="598"/>
      <c r="F259" s="598"/>
      <c r="G259" s="119"/>
      <c r="H259" s="119"/>
      <c r="L259" s="64"/>
    </row>
    <row r="260" spans="1:12" ht="12.75" customHeight="1" x14ac:dyDescent="0.25">
      <c r="A260" s="120"/>
      <c r="B260" s="121"/>
      <c r="C260" s="121"/>
      <c r="D260" s="121"/>
      <c r="E260" s="121"/>
      <c r="F260" s="122"/>
      <c r="G260" s="122"/>
      <c r="H260" s="122"/>
      <c r="I260" s="34"/>
      <c r="J260" s="34"/>
      <c r="K260" s="34"/>
      <c r="L260" s="48"/>
    </row>
    <row r="261" spans="1:12" x14ac:dyDescent="0.25">
      <c r="C261" s="123"/>
    </row>
    <row r="262" spans="1:12" x14ac:dyDescent="0.25">
      <c r="A262" s="98" t="s">
        <v>14</v>
      </c>
      <c r="B262" s="66" t="s">
        <v>74</v>
      </c>
      <c r="C262" s="67" t="s">
        <v>15</v>
      </c>
      <c r="D262" s="8"/>
      <c r="E262" s="8"/>
      <c r="F262" s="8"/>
    </row>
    <row r="263" spans="1:12" x14ac:dyDescent="0.25">
      <c r="A263" s="92" t="s">
        <v>16</v>
      </c>
      <c r="B263" s="124">
        <v>2014</v>
      </c>
      <c r="C263" s="124">
        <v>2015</v>
      </c>
      <c r="D263" s="125">
        <v>2016</v>
      </c>
      <c r="E263" s="124">
        <v>2017</v>
      </c>
      <c r="F263" s="126">
        <v>2018</v>
      </c>
      <c r="G263" s="127">
        <v>2019</v>
      </c>
      <c r="H263" s="127">
        <v>2020</v>
      </c>
      <c r="I263" s="127">
        <v>2021</v>
      </c>
      <c r="J263" s="127">
        <v>2022</v>
      </c>
      <c r="K263" s="128">
        <v>2023</v>
      </c>
      <c r="L263" s="128">
        <v>2024</v>
      </c>
    </row>
    <row r="264" spans="1:12" x14ac:dyDescent="0.25">
      <c r="A264" s="129" t="s">
        <v>17</v>
      </c>
      <c r="B264" s="130">
        <v>190</v>
      </c>
      <c r="C264" s="130">
        <v>190</v>
      </c>
      <c r="D264" s="130">
        <v>190</v>
      </c>
      <c r="E264" s="130">
        <v>190</v>
      </c>
      <c r="F264" s="130">
        <v>190</v>
      </c>
      <c r="G264" s="131">
        <v>190</v>
      </c>
      <c r="H264" s="131">
        <v>159.80000000000001</v>
      </c>
      <c r="I264" s="131">
        <v>159.80000000000001</v>
      </c>
      <c r="J264" s="131">
        <v>159.80000000000001</v>
      </c>
      <c r="K264" s="90">
        <v>159.80000000000001</v>
      </c>
      <c r="L264" s="90">
        <v>159.80000000000001</v>
      </c>
    </row>
    <row r="265" spans="1:12" x14ac:dyDescent="0.25">
      <c r="A265" s="129" t="s">
        <v>18</v>
      </c>
      <c r="B265" s="130"/>
      <c r="C265" s="130"/>
      <c r="D265" s="130"/>
      <c r="E265" s="130"/>
      <c r="F265" s="130"/>
      <c r="G265" s="131"/>
      <c r="H265" s="131"/>
      <c r="I265" s="131"/>
      <c r="J265" s="131">
        <v>159.80000000000001</v>
      </c>
      <c r="K265" s="90">
        <v>159.80000000000001</v>
      </c>
      <c r="L265" s="90">
        <v>159.80000000000001</v>
      </c>
    </row>
    <row r="266" spans="1:12" x14ac:dyDescent="0.25">
      <c r="A266" s="129" t="s">
        <v>19</v>
      </c>
      <c r="B266" s="130"/>
      <c r="C266" s="130"/>
      <c r="D266" s="130"/>
      <c r="E266" s="130"/>
      <c r="F266" s="130"/>
      <c r="G266" s="131"/>
      <c r="H266" s="131"/>
      <c r="I266" s="131"/>
      <c r="J266" s="131"/>
      <c r="K266" s="90"/>
      <c r="L266" s="90"/>
    </row>
    <row r="267" spans="1:12" x14ac:dyDescent="0.25">
      <c r="A267" s="129" t="s">
        <v>20</v>
      </c>
      <c r="B267" s="130">
        <v>104.95522</v>
      </c>
      <c r="C267" s="130">
        <v>89.182190000000006</v>
      </c>
      <c r="D267" s="130">
        <v>79.192750000000004</v>
      </c>
      <c r="E267" s="132">
        <v>64.003107999999997</v>
      </c>
      <c r="F267" s="130">
        <v>37</v>
      </c>
      <c r="G267" s="131">
        <v>19.91</v>
      </c>
      <c r="H267" s="131">
        <v>13</v>
      </c>
      <c r="I267" s="131">
        <v>2</v>
      </c>
      <c r="J267" s="131">
        <v>3</v>
      </c>
      <c r="K267" s="90">
        <v>5</v>
      </c>
      <c r="L267" s="90">
        <v>3.04</v>
      </c>
    </row>
    <row r="268" spans="1:12" x14ac:dyDescent="0.25">
      <c r="A268" s="129" t="s">
        <v>21</v>
      </c>
      <c r="B268" s="133"/>
      <c r="C268" s="133"/>
      <c r="D268" s="133"/>
      <c r="E268" s="133"/>
      <c r="F268" s="133"/>
      <c r="G268" s="90"/>
      <c r="H268" s="90"/>
      <c r="I268" s="90"/>
      <c r="J268" s="131">
        <f>J265-J267</f>
        <v>156.80000000000001</v>
      </c>
      <c r="K268" s="131">
        <f t="shared" ref="K268:L268" si="13">K265-K267</f>
        <v>154.80000000000001</v>
      </c>
      <c r="L268" s="131">
        <f t="shared" si="13"/>
        <v>156.76000000000002</v>
      </c>
    </row>
    <row r="269" spans="1:12" x14ac:dyDescent="0.25">
      <c r="A269" s="129" t="s">
        <v>22</v>
      </c>
      <c r="B269" s="134"/>
      <c r="C269" s="134"/>
      <c r="D269" s="134"/>
      <c r="E269" s="134"/>
      <c r="F269" s="134"/>
      <c r="G269" s="90"/>
      <c r="H269" s="90"/>
      <c r="I269" s="90"/>
      <c r="J269" s="90"/>
      <c r="K269" s="90"/>
      <c r="L269" s="90"/>
    </row>
    <row r="270" spans="1:12" ht="36" customHeight="1" x14ac:dyDescent="0.25">
      <c r="A270" s="677" t="s">
        <v>323</v>
      </c>
      <c r="B270" s="678"/>
      <c r="C270" s="678"/>
      <c r="D270" s="678"/>
      <c r="E270" s="678"/>
      <c r="F270" s="678"/>
      <c r="G270" s="678"/>
      <c r="H270" s="678"/>
      <c r="I270" s="678"/>
      <c r="J270" s="678"/>
      <c r="K270" s="678"/>
      <c r="L270" s="679"/>
    </row>
    <row r="271" spans="1:12" x14ac:dyDescent="0.25">
      <c r="C271" s="123"/>
    </row>
    <row r="272" spans="1:12" x14ac:dyDescent="0.25">
      <c r="A272" s="98" t="s">
        <v>14</v>
      </c>
      <c r="B272" s="66" t="s">
        <v>79</v>
      </c>
      <c r="C272" s="67" t="s">
        <v>15</v>
      </c>
      <c r="D272" s="8"/>
      <c r="E272" s="8"/>
      <c r="F272" s="8"/>
    </row>
    <row r="273" spans="1:12" x14ac:dyDescent="0.25">
      <c r="A273" s="68" t="s">
        <v>16</v>
      </c>
      <c r="B273" s="67">
        <v>2014</v>
      </c>
      <c r="C273" s="67">
        <v>2015</v>
      </c>
      <c r="D273" s="70">
        <v>2016</v>
      </c>
      <c r="E273" s="67">
        <v>2017</v>
      </c>
      <c r="F273" s="66">
        <v>2018</v>
      </c>
      <c r="G273" s="9">
        <v>2019</v>
      </c>
      <c r="H273" s="9">
        <v>2020</v>
      </c>
      <c r="I273" s="9">
        <v>2021</v>
      </c>
      <c r="J273" s="9">
        <v>2022</v>
      </c>
      <c r="K273" s="128">
        <v>2023</v>
      </c>
      <c r="L273" s="128">
        <v>2024</v>
      </c>
    </row>
    <row r="274" spans="1:12" x14ac:dyDescent="0.25">
      <c r="A274" s="68" t="s">
        <v>17</v>
      </c>
      <c r="B274" s="101">
        <v>50</v>
      </c>
      <c r="C274" s="101">
        <v>50</v>
      </c>
      <c r="D274" s="101">
        <v>50</v>
      </c>
      <c r="E274" s="101">
        <v>50</v>
      </c>
      <c r="F274" s="135">
        <v>50</v>
      </c>
      <c r="G274" s="12">
        <v>50</v>
      </c>
      <c r="H274" s="12">
        <v>50</v>
      </c>
      <c r="I274" s="12">
        <v>50</v>
      </c>
      <c r="J274" s="12">
        <v>50</v>
      </c>
      <c r="K274" s="90">
        <v>50</v>
      </c>
      <c r="L274" s="90">
        <v>50</v>
      </c>
    </row>
    <row r="275" spans="1:12" x14ac:dyDescent="0.25">
      <c r="A275" s="68" t="s">
        <v>18</v>
      </c>
      <c r="B275" s="101"/>
      <c r="C275" s="101"/>
      <c r="D275" s="101"/>
      <c r="E275" s="101"/>
      <c r="F275" s="135"/>
      <c r="G275" s="11"/>
      <c r="H275" s="12"/>
      <c r="I275" s="12"/>
      <c r="J275" s="12"/>
      <c r="K275" s="90"/>
      <c r="L275" s="90"/>
    </row>
    <row r="276" spans="1:12" x14ac:dyDescent="0.25">
      <c r="A276" s="68" t="s">
        <v>19</v>
      </c>
      <c r="B276" s="101"/>
      <c r="C276" s="101"/>
      <c r="D276" s="101"/>
      <c r="E276" s="101"/>
      <c r="F276" s="135"/>
      <c r="G276" s="11"/>
      <c r="H276" s="12"/>
      <c r="I276" s="12"/>
      <c r="J276" s="12"/>
      <c r="K276" s="90"/>
      <c r="L276" s="90"/>
    </row>
    <row r="277" spans="1:12" x14ac:dyDescent="0.25">
      <c r="A277" s="68" t="s">
        <v>20</v>
      </c>
      <c r="B277" s="101">
        <v>102.32362999999999</v>
      </c>
      <c r="C277" s="101">
        <v>121.20529999999999</v>
      </c>
      <c r="D277" s="101">
        <v>66.934179999999998</v>
      </c>
      <c r="E277" s="101">
        <v>46.581100000000006</v>
      </c>
      <c r="F277" s="101">
        <v>62</v>
      </c>
      <c r="G277" s="11">
        <v>76.31</v>
      </c>
      <c r="H277" s="12">
        <v>46</v>
      </c>
      <c r="I277" s="12">
        <v>0</v>
      </c>
      <c r="J277" s="12">
        <v>0</v>
      </c>
      <c r="K277" s="90">
        <v>17</v>
      </c>
      <c r="L277" s="90">
        <v>1.36</v>
      </c>
    </row>
    <row r="278" spans="1:12" x14ac:dyDescent="0.25">
      <c r="A278" s="68" t="s">
        <v>21</v>
      </c>
      <c r="B278" s="101"/>
      <c r="C278" s="101"/>
      <c r="D278" s="101"/>
      <c r="E278" s="101"/>
      <c r="F278" s="135"/>
      <c r="G278" s="11"/>
      <c r="H278" s="12"/>
      <c r="I278" s="12"/>
      <c r="J278" s="12"/>
      <c r="K278" s="90">
        <v>33</v>
      </c>
      <c r="L278" s="90">
        <v>48.64</v>
      </c>
    </row>
    <row r="279" spans="1:12" x14ac:dyDescent="0.25">
      <c r="A279" s="68" t="s">
        <v>22</v>
      </c>
      <c r="B279" s="69"/>
      <c r="C279" s="69"/>
      <c r="D279" s="136"/>
      <c r="E279" s="69"/>
      <c r="F279" s="137"/>
      <c r="G279" s="11"/>
      <c r="H279" s="12"/>
      <c r="I279" s="12"/>
      <c r="J279" s="12"/>
      <c r="K279" s="90"/>
      <c r="L279" s="90"/>
    </row>
    <row r="280" spans="1:12" x14ac:dyDescent="0.25">
      <c r="A280" s="704" t="s">
        <v>23</v>
      </c>
      <c r="B280" s="704"/>
      <c r="C280" s="704"/>
      <c r="D280" s="704"/>
      <c r="E280" s="704"/>
      <c r="F280" s="704"/>
      <c r="G280" s="11"/>
      <c r="H280" s="12"/>
      <c r="I280" s="12"/>
      <c r="J280" s="12"/>
      <c r="K280" s="90"/>
      <c r="L280" s="90"/>
    </row>
    <row r="281" spans="1:12" ht="38.25" customHeight="1" x14ac:dyDescent="0.25">
      <c r="A281" s="677" t="s">
        <v>323</v>
      </c>
      <c r="B281" s="678"/>
      <c r="C281" s="678"/>
      <c r="D281" s="678"/>
      <c r="E281" s="678"/>
      <c r="F281" s="678"/>
      <c r="G281" s="678"/>
      <c r="H281" s="678"/>
      <c r="I281" s="678"/>
      <c r="J281" s="678"/>
      <c r="K281" s="678"/>
      <c r="L281" s="679"/>
    </row>
    <row r="282" spans="1:12" ht="16.2" customHeight="1" x14ac:dyDescent="0.25">
      <c r="A282" s="138"/>
      <c r="B282" s="138"/>
      <c r="C282" s="138"/>
      <c r="D282" s="138"/>
      <c r="E282" s="138"/>
      <c r="F282" s="138"/>
      <c r="G282" s="138"/>
      <c r="H282" s="138"/>
      <c r="I282" s="138"/>
      <c r="J282" s="138"/>
      <c r="K282" s="138"/>
      <c r="L282" s="138"/>
    </row>
    <row r="283" spans="1:12" ht="16.2" customHeight="1" x14ac:dyDescent="0.25">
      <c r="A283" s="98" t="s">
        <v>14</v>
      </c>
      <c r="B283" s="66" t="s">
        <v>1151</v>
      </c>
      <c r="C283" s="67" t="s">
        <v>15</v>
      </c>
      <c r="D283" s="8"/>
      <c r="E283" s="8"/>
      <c r="F283" s="8"/>
      <c r="G283" s="138"/>
      <c r="H283" s="138"/>
      <c r="I283" s="138"/>
      <c r="J283" s="138"/>
      <c r="K283" s="138"/>
      <c r="L283" s="138"/>
    </row>
    <row r="284" spans="1:12" ht="16.2" customHeight="1" x14ac:dyDescent="0.25">
      <c r="A284" s="68" t="s">
        <v>16</v>
      </c>
      <c r="B284" s="67">
        <v>2023</v>
      </c>
      <c r="C284" s="67">
        <v>2024</v>
      </c>
      <c r="D284" s="600">
        <v>2025</v>
      </c>
      <c r="E284" s="138"/>
      <c r="F284" s="138"/>
      <c r="G284" s="138"/>
      <c r="H284" s="138"/>
      <c r="I284" s="138"/>
      <c r="J284" s="138"/>
    </row>
    <row r="285" spans="1:12" ht="16.2" customHeight="1" x14ac:dyDescent="0.25">
      <c r="A285" s="68" t="s">
        <v>17</v>
      </c>
      <c r="B285" s="101">
        <v>208</v>
      </c>
      <c r="C285" s="101">
        <v>208</v>
      </c>
      <c r="D285" s="101">
        <v>208</v>
      </c>
      <c r="E285" s="138"/>
      <c r="F285" s="138"/>
      <c r="G285" s="138"/>
      <c r="H285" s="138"/>
      <c r="I285" s="138"/>
      <c r="J285" s="138"/>
    </row>
    <row r="286" spans="1:12" ht="16.2" customHeight="1" x14ac:dyDescent="0.25">
      <c r="A286" s="68" t="s">
        <v>18</v>
      </c>
      <c r="B286" s="101"/>
      <c r="C286" s="101">
        <v>208</v>
      </c>
      <c r="D286" s="101">
        <v>208</v>
      </c>
      <c r="E286" s="138"/>
      <c r="F286" s="138"/>
      <c r="G286" s="138"/>
      <c r="H286" s="138"/>
      <c r="I286" s="138"/>
      <c r="J286" s="138"/>
    </row>
    <row r="287" spans="1:12" ht="16.2" customHeight="1" x14ac:dyDescent="0.25">
      <c r="A287" s="68" t="s">
        <v>19</v>
      </c>
      <c r="B287" s="101"/>
      <c r="C287" s="101"/>
      <c r="D287" s="101"/>
      <c r="E287" s="138"/>
      <c r="F287" s="138"/>
      <c r="G287" s="138"/>
      <c r="H287" s="138"/>
      <c r="I287" s="138"/>
      <c r="J287" s="138"/>
    </row>
    <row r="288" spans="1:12" ht="16.2" customHeight="1" x14ac:dyDescent="0.25">
      <c r="A288" s="68" t="s">
        <v>20</v>
      </c>
      <c r="B288" s="101">
        <v>121</v>
      </c>
      <c r="C288" s="101">
        <v>30.579499999999999</v>
      </c>
      <c r="D288" s="101"/>
      <c r="E288" s="138"/>
      <c r="F288" s="138"/>
      <c r="G288" s="138"/>
      <c r="H288" s="138"/>
      <c r="I288" s="138"/>
      <c r="J288" s="138"/>
    </row>
    <row r="289" spans="1:14" ht="16.2" customHeight="1" x14ac:dyDescent="0.25">
      <c r="A289" s="68" t="s">
        <v>21</v>
      </c>
      <c r="B289" s="101">
        <v>87</v>
      </c>
      <c r="C289" s="646">
        <f>C286-C288</f>
        <v>177.4205</v>
      </c>
      <c r="D289" s="101"/>
      <c r="E289" s="138"/>
      <c r="F289" s="138"/>
      <c r="G289" s="138"/>
      <c r="H289" s="138"/>
      <c r="I289" s="138"/>
      <c r="J289" s="138"/>
    </row>
    <row r="290" spans="1:14" ht="16.2" customHeight="1" x14ac:dyDescent="0.25">
      <c r="A290" s="92" t="s">
        <v>22</v>
      </c>
      <c r="B290" s="272">
        <v>2025</v>
      </c>
      <c r="C290" s="272">
        <v>2026</v>
      </c>
      <c r="D290" s="272">
        <v>2027</v>
      </c>
      <c r="E290" s="138"/>
      <c r="F290" s="138"/>
      <c r="G290" s="138"/>
      <c r="H290" s="138"/>
      <c r="I290" s="138"/>
      <c r="J290" s="138"/>
    </row>
    <row r="291" spans="1:14" x14ac:dyDescent="0.25">
      <c r="A291" s="601" t="s">
        <v>23</v>
      </c>
      <c r="B291" s="482"/>
      <c r="C291" s="482"/>
      <c r="D291" s="602"/>
      <c r="E291" s="8"/>
      <c r="F291" s="8"/>
    </row>
    <row r="292" spans="1:14" x14ac:dyDescent="0.25">
      <c r="A292" s="8"/>
      <c r="B292" s="8"/>
      <c r="C292" s="8"/>
      <c r="D292" s="8"/>
      <c r="E292" s="8"/>
      <c r="F292" s="8"/>
    </row>
    <row r="293" spans="1:14" x14ac:dyDescent="0.25">
      <c r="A293" s="10" t="s">
        <v>12</v>
      </c>
      <c r="B293" s="7" t="s">
        <v>171</v>
      </c>
    </row>
    <row r="294" spans="1:14" x14ac:dyDescent="0.25">
      <c r="A294" s="41" t="s">
        <v>14</v>
      </c>
      <c r="B294" s="24" t="s">
        <v>623</v>
      </c>
      <c r="C294" s="9" t="s">
        <v>15</v>
      </c>
    </row>
    <row r="295" spans="1:14" x14ac:dyDescent="0.25">
      <c r="A295" s="9" t="s">
        <v>16</v>
      </c>
      <c r="B295" s="9"/>
      <c r="C295" s="9">
        <v>2016</v>
      </c>
      <c r="D295" s="9">
        <v>2017</v>
      </c>
      <c r="E295" s="9">
        <v>2018</v>
      </c>
      <c r="F295" s="9">
        <v>2019</v>
      </c>
      <c r="G295" s="9">
        <v>2020</v>
      </c>
      <c r="H295" s="9">
        <v>2021</v>
      </c>
      <c r="I295" s="9">
        <v>2022</v>
      </c>
      <c r="J295" s="9">
        <v>2023</v>
      </c>
      <c r="K295" s="9">
        <v>2024</v>
      </c>
      <c r="L295" s="9">
        <v>2025</v>
      </c>
    </row>
    <row r="296" spans="1:14" x14ac:dyDescent="0.25">
      <c r="A296" s="11" t="s">
        <v>17</v>
      </c>
      <c r="B296" s="11"/>
      <c r="C296" s="12">
        <v>1348</v>
      </c>
      <c r="D296" s="12">
        <v>1348</v>
      </c>
      <c r="E296" s="12">
        <v>1348</v>
      </c>
      <c r="F296" s="12">
        <v>1348</v>
      </c>
      <c r="G296" s="12">
        <v>1348</v>
      </c>
      <c r="H296" s="12">
        <v>1348</v>
      </c>
      <c r="I296" s="12">
        <v>1348</v>
      </c>
      <c r="J296" s="12">
        <v>1348</v>
      </c>
      <c r="K296" s="12">
        <v>1348</v>
      </c>
      <c r="L296" s="90">
        <v>558.65</v>
      </c>
    </row>
    <row r="297" spans="1:14" x14ac:dyDescent="0.25">
      <c r="A297" s="11" t="s">
        <v>18</v>
      </c>
      <c r="B297" s="11"/>
      <c r="C297" s="12">
        <v>2040.2</v>
      </c>
      <c r="D297" s="12">
        <v>2070.1999999999998</v>
      </c>
      <c r="E297" s="12">
        <v>2070.1999999999998</v>
      </c>
      <c r="F297" s="12">
        <v>2045.1999999999998</v>
      </c>
      <c r="G297" s="12">
        <f>G296*1.15+125+35+35+100</f>
        <v>1845.1999999999998</v>
      </c>
      <c r="H297" s="12">
        <f>H296+0.15*F296+150+35+35+200</f>
        <v>1970.2</v>
      </c>
      <c r="I297" s="12">
        <f>I296+150+35+35+250+202.2</f>
        <v>2020.2</v>
      </c>
      <c r="J297" s="12">
        <f>J296+125+35+35+327+202.2</f>
        <v>2072.1999999999998</v>
      </c>
      <c r="K297" s="12">
        <f>K296+125+35+35+280+202.2</f>
        <v>2025.2</v>
      </c>
      <c r="L297" s="90">
        <v>608.46400499999982</v>
      </c>
    </row>
    <row r="298" spans="1:14" x14ac:dyDescent="0.25">
      <c r="A298" s="11" t="s">
        <v>19</v>
      </c>
      <c r="B298" s="11"/>
      <c r="C298" s="12"/>
      <c r="D298" s="12"/>
      <c r="E298" s="12"/>
      <c r="F298" s="12"/>
      <c r="G298" s="12"/>
      <c r="H298" s="12"/>
      <c r="I298" s="12"/>
      <c r="J298" s="12"/>
      <c r="K298" s="12"/>
      <c r="L298" s="90"/>
    </row>
    <row r="299" spans="1:14" x14ac:dyDescent="0.25">
      <c r="A299" s="11" t="s">
        <v>20</v>
      </c>
      <c r="B299" s="11"/>
      <c r="C299" s="12">
        <v>1558.88</v>
      </c>
      <c r="D299" s="12">
        <v>1209.21</v>
      </c>
      <c r="E299" s="12">
        <v>786.81</v>
      </c>
      <c r="F299" s="12">
        <v>997.23400000000004</v>
      </c>
      <c r="G299" s="12">
        <v>1335.83</v>
      </c>
      <c r="H299" s="12">
        <v>1380.2959000000001</v>
      </c>
      <c r="I299" s="12">
        <v>1343.9679999999998</v>
      </c>
      <c r="J299" s="12">
        <v>1925.9659999999999</v>
      </c>
      <c r="K299" s="12">
        <v>1687.3495874040746</v>
      </c>
      <c r="L299" s="90"/>
    </row>
    <row r="300" spans="1:14" x14ac:dyDescent="0.25">
      <c r="A300" s="11" t="s">
        <v>21</v>
      </c>
      <c r="B300" s="11"/>
      <c r="C300" s="12">
        <v>481.32</v>
      </c>
      <c r="D300" s="12">
        <v>860.99</v>
      </c>
      <c r="E300" s="12">
        <v>1283.3900000000001</v>
      </c>
      <c r="F300" s="12">
        <v>1047.9659999999999</v>
      </c>
      <c r="G300" s="12">
        <f>G297-G299</f>
        <v>509.36999999999989</v>
      </c>
      <c r="H300" s="12">
        <f>H297-H299</f>
        <v>589.90409999999997</v>
      </c>
      <c r="I300" s="12">
        <f>I297-I299</f>
        <v>676.2320000000002</v>
      </c>
      <c r="J300" s="12">
        <f>J297-J299</f>
        <v>146.23399999999992</v>
      </c>
      <c r="K300" s="12">
        <f>K297-K299</f>
        <v>337.85041259592549</v>
      </c>
      <c r="L300" s="90"/>
    </row>
    <row r="301" spans="1:14" x14ac:dyDescent="0.25">
      <c r="A301" s="17" t="s">
        <v>22</v>
      </c>
      <c r="B301" s="17"/>
      <c r="C301" s="17">
        <v>2018</v>
      </c>
      <c r="D301" s="17">
        <v>2019</v>
      </c>
      <c r="E301" s="17">
        <v>2020</v>
      </c>
      <c r="F301" s="17">
        <v>2021</v>
      </c>
      <c r="G301" s="17">
        <v>2022</v>
      </c>
      <c r="H301" s="17">
        <v>2023</v>
      </c>
      <c r="I301" s="17">
        <v>2024</v>
      </c>
      <c r="J301" s="17">
        <v>2025</v>
      </c>
      <c r="K301" s="17">
        <v>2026</v>
      </c>
      <c r="L301" s="90">
        <v>2027</v>
      </c>
    </row>
    <row r="302" spans="1:14" x14ac:dyDescent="0.25">
      <c r="A302" s="139" t="s">
        <v>168</v>
      </c>
      <c r="B302" s="61"/>
      <c r="C302" s="61"/>
      <c r="D302" s="61"/>
      <c r="E302" s="61"/>
      <c r="F302" s="61"/>
      <c r="G302" s="61"/>
      <c r="H302" s="61"/>
      <c r="I302" s="61"/>
      <c r="J302" s="61"/>
      <c r="K302" s="53"/>
      <c r="L302" s="140"/>
      <c r="M302" s="49"/>
      <c r="N302" s="49"/>
    </row>
    <row r="303" spans="1:14" x14ac:dyDescent="0.25">
      <c r="A303" s="56" t="s">
        <v>169</v>
      </c>
      <c r="B303" s="49"/>
      <c r="C303" s="49"/>
      <c r="D303" s="49"/>
      <c r="E303" s="49"/>
      <c r="F303" s="49"/>
      <c r="G303" s="49"/>
      <c r="H303" s="49"/>
      <c r="I303" s="49"/>
      <c r="J303" s="49"/>
      <c r="K303" s="49"/>
      <c r="L303" s="140"/>
      <c r="M303" s="49"/>
      <c r="N303" s="49"/>
    </row>
    <row r="304" spans="1:14" x14ac:dyDescent="0.25">
      <c r="A304" s="56" t="s">
        <v>170</v>
      </c>
      <c r="B304" s="49"/>
      <c r="C304" s="49"/>
      <c r="D304" s="49"/>
      <c r="E304" s="49"/>
      <c r="F304" s="49"/>
      <c r="G304" s="49"/>
      <c r="H304" s="49"/>
      <c r="I304" s="49"/>
      <c r="J304" s="49"/>
      <c r="K304" s="49"/>
      <c r="L304" s="140"/>
      <c r="M304" s="49"/>
      <c r="N304" s="49"/>
    </row>
    <row r="305" spans="1:13" x14ac:dyDescent="0.25">
      <c r="A305" s="56" t="s">
        <v>390</v>
      </c>
      <c r="L305" s="64"/>
    </row>
    <row r="306" spans="1:13" x14ac:dyDescent="0.25">
      <c r="A306" s="56" t="s">
        <v>511</v>
      </c>
      <c r="L306" s="64"/>
    </row>
    <row r="307" spans="1:13" x14ac:dyDescent="0.25">
      <c r="A307" s="56" t="s">
        <v>512</v>
      </c>
      <c r="L307" s="64"/>
    </row>
    <row r="308" spans="1:13" x14ac:dyDescent="0.25">
      <c r="A308" s="56" t="s">
        <v>606</v>
      </c>
      <c r="L308" s="64"/>
    </row>
    <row r="309" spans="1:13" x14ac:dyDescent="0.25">
      <c r="A309" s="56" t="s">
        <v>768</v>
      </c>
      <c r="L309" s="64"/>
    </row>
    <row r="310" spans="1:13" x14ac:dyDescent="0.25">
      <c r="A310" s="49" t="s">
        <v>978</v>
      </c>
      <c r="L310" s="64"/>
    </row>
    <row r="311" spans="1:13" s="34" customFormat="1" x14ac:dyDescent="0.25">
      <c r="A311" s="141"/>
      <c r="L311" s="48"/>
    </row>
    <row r="313" spans="1:13" x14ac:dyDescent="0.25">
      <c r="A313" s="6" t="s">
        <v>14</v>
      </c>
      <c r="B313" s="142" t="s">
        <v>645</v>
      </c>
      <c r="C313" s="9" t="s">
        <v>15</v>
      </c>
      <c r="E313" s="143"/>
    </row>
    <row r="314" spans="1:13" x14ac:dyDescent="0.25">
      <c r="A314" s="10" t="s">
        <v>16</v>
      </c>
      <c r="B314" s="10"/>
      <c r="C314" s="144">
        <v>2015</v>
      </c>
      <c r="D314" s="144">
        <v>2016</v>
      </c>
      <c r="E314" s="144">
        <v>2017</v>
      </c>
      <c r="F314" s="144">
        <v>2018</v>
      </c>
      <c r="G314" s="144">
        <v>2019</v>
      </c>
      <c r="H314" s="144">
        <v>2020</v>
      </c>
      <c r="I314" s="144">
        <v>2021</v>
      </c>
      <c r="J314" s="144">
        <v>2022</v>
      </c>
      <c r="K314" s="144">
        <v>2023</v>
      </c>
      <c r="L314" s="144">
        <v>2024</v>
      </c>
      <c r="M314" s="90">
        <v>2025</v>
      </c>
    </row>
    <row r="315" spans="1:13" x14ac:dyDescent="0.25">
      <c r="A315" s="10" t="s">
        <v>17</v>
      </c>
      <c r="B315" s="10"/>
      <c r="C315" s="145">
        <v>452.47</v>
      </c>
      <c r="D315" s="145">
        <v>452.47</v>
      </c>
      <c r="E315" s="145">
        <v>452.47</v>
      </c>
      <c r="F315" s="145">
        <v>530.59</v>
      </c>
      <c r="G315" s="145">
        <v>530.59</v>
      </c>
      <c r="H315" s="145">
        <v>530.59</v>
      </c>
      <c r="I315" s="145">
        <v>530.59</v>
      </c>
      <c r="J315" s="145">
        <v>558.65</v>
      </c>
      <c r="K315" s="145">
        <v>558.65</v>
      </c>
      <c r="L315" s="145">
        <v>558.65</v>
      </c>
      <c r="M315" s="90">
        <v>558.65</v>
      </c>
    </row>
    <row r="316" spans="1:13" x14ac:dyDescent="0.25">
      <c r="A316" s="10" t="s">
        <v>18</v>
      </c>
      <c r="B316" s="10"/>
      <c r="C316" s="145">
        <f>C315+24.4+86.5</f>
        <v>563.37</v>
      </c>
      <c r="D316" s="145">
        <f>D315+C319+51.98</f>
        <v>534.48</v>
      </c>
      <c r="E316" s="145">
        <f>E315+0.1*D315+55.98</f>
        <v>553.697</v>
      </c>
      <c r="F316" s="145">
        <f>F315+0.1*E315+73.98</f>
        <v>649.81700000000001</v>
      </c>
      <c r="G316" s="145">
        <f>G315+0.1*F315+9.62+60.44</f>
        <v>653.70900000000006</v>
      </c>
      <c r="H316" s="145">
        <f>H315+G319+79.44+4.78</f>
        <v>635.64900000000011</v>
      </c>
      <c r="I316" s="145">
        <f>I315+H319+100.44+4.78</f>
        <v>679.85600000000022</v>
      </c>
      <c r="J316" s="145">
        <f>J315+I319+60+4.78</f>
        <v>674.7560000000002</v>
      </c>
      <c r="K316" s="145">
        <f>K315+J319+5.18+60</f>
        <v>663.41600000000017</v>
      </c>
      <c r="L316" s="145">
        <f>L315+60+K319</f>
        <v>671.75200000000018</v>
      </c>
      <c r="M316" s="131">
        <f>M315+L319</f>
        <v>608.5050050000001</v>
      </c>
    </row>
    <row r="317" spans="1:13" x14ac:dyDescent="0.25">
      <c r="A317" s="10" t="s">
        <v>19</v>
      </c>
      <c r="B317" s="10"/>
      <c r="C317" s="146"/>
      <c r="D317" s="146"/>
      <c r="E317" s="146"/>
      <c r="F317" s="12"/>
      <c r="G317" s="12"/>
      <c r="H317" s="12"/>
      <c r="I317" s="12"/>
      <c r="J317" s="12"/>
      <c r="K317" s="12"/>
      <c r="L317" s="12"/>
      <c r="M317" s="90"/>
    </row>
    <row r="318" spans="1:13" x14ac:dyDescent="0.25">
      <c r="A318" s="10" t="s">
        <v>20</v>
      </c>
      <c r="B318" s="10"/>
      <c r="C318" s="145">
        <v>533.34</v>
      </c>
      <c r="D318" s="145">
        <v>473.69</v>
      </c>
      <c r="E318" s="146">
        <v>473.03</v>
      </c>
      <c r="F318" s="12">
        <v>553.98</v>
      </c>
      <c r="G318" s="12">
        <v>632.86999999999989</v>
      </c>
      <c r="H318" s="12">
        <v>591.60299999999995</v>
      </c>
      <c r="I318" s="12">
        <v>628.53</v>
      </c>
      <c r="J318" s="12">
        <v>635.16999999999996</v>
      </c>
      <c r="K318" s="12">
        <v>610.31399999999996</v>
      </c>
      <c r="L318" s="12">
        <v>621.89699500000006</v>
      </c>
      <c r="M318" s="90"/>
    </row>
    <row r="319" spans="1:13" x14ac:dyDescent="0.25">
      <c r="A319" s="10" t="s">
        <v>21</v>
      </c>
      <c r="B319" s="10"/>
      <c r="C319" s="12">
        <f>C316-C318</f>
        <v>30.029999999999973</v>
      </c>
      <c r="D319" s="12">
        <f t="shared" ref="D319:K319" si="14">D316-D318</f>
        <v>60.79000000000002</v>
      </c>
      <c r="E319" s="12">
        <f t="shared" si="14"/>
        <v>80.66700000000003</v>
      </c>
      <c r="F319" s="12">
        <f t="shared" si="14"/>
        <v>95.836999999999989</v>
      </c>
      <c r="G319" s="12">
        <f t="shared" si="14"/>
        <v>20.839000000000169</v>
      </c>
      <c r="H319" s="12">
        <f t="shared" si="14"/>
        <v>44.046000000000163</v>
      </c>
      <c r="I319" s="12">
        <f t="shared" si="14"/>
        <v>51.326000000000249</v>
      </c>
      <c r="J319" s="12">
        <f t="shared" si="14"/>
        <v>39.58600000000024</v>
      </c>
      <c r="K319" s="12">
        <f t="shared" si="14"/>
        <v>53.102000000000203</v>
      </c>
      <c r="L319" s="12">
        <f>L316-L318</f>
        <v>49.855005000000119</v>
      </c>
      <c r="M319" s="90"/>
    </row>
    <row r="320" spans="1:13" x14ac:dyDescent="0.25">
      <c r="A320" s="16" t="s">
        <v>22</v>
      </c>
      <c r="B320" s="16"/>
      <c r="C320" s="147">
        <v>2016</v>
      </c>
      <c r="D320" s="147">
        <v>2017</v>
      </c>
      <c r="E320" s="148">
        <v>2018</v>
      </c>
      <c r="F320" s="17">
        <v>2019</v>
      </c>
      <c r="G320" s="17">
        <v>2020</v>
      </c>
      <c r="H320" s="17">
        <v>2021</v>
      </c>
      <c r="I320" s="17">
        <v>2022</v>
      </c>
      <c r="J320" s="17">
        <v>2023</v>
      </c>
      <c r="K320" s="17">
        <v>2024</v>
      </c>
      <c r="L320" s="17">
        <v>2025</v>
      </c>
      <c r="M320" s="90">
        <v>2026</v>
      </c>
    </row>
    <row r="321" spans="1:14" x14ac:dyDescent="0.25">
      <c r="A321" s="16" t="s">
        <v>963</v>
      </c>
      <c r="B321" s="46"/>
      <c r="C321" s="149"/>
      <c r="D321" s="149"/>
      <c r="E321" s="61"/>
      <c r="F321" s="46"/>
      <c r="G321" s="46"/>
      <c r="H321" s="46"/>
      <c r="I321" s="46"/>
      <c r="J321" s="46"/>
      <c r="K321" s="46"/>
      <c r="L321" s="19"/>
      <c r="M321" s="64"/>
    </row>
    <row r="322" spans="1:14" x14ac:dyDescent="0.25">
      <c r="A322" s="56" t="s">
        <v>964</v>
      </c>
      <c r="B322" s="49"/>
      <c r="C322" s="49"/>
      <c r="D322" s="49"/>
      <c r="E322" s="49"/>
      <c r="F322" s="49"/>
      <c r="G322" s="49"/>
      <c r="M322" s="64"/>
    </row>
    <row r="323" spans="1:14" x14ac:dyDescent="0.25">
      <c r="A323" s="56" t="s">
        <v>965</v>
      </c>
      <c r="B323" s="49"/>
      <c r="C323" s="49"/>
      <c r="D323" s="49"/>
      <c r="E323" s="49"/>
      <c r="F323" s="49"/>
      <c r="G323" s="49"/>
      <c r="M323" s="64"/>
    </row>
    <row r="324" spans="1:14" x14ac:dyDescent="0.25">
      <c r="A324" s="56" t="s">
        <v>728</v>
      </c>
      <c r="B324" s="49"/>
      <c r="C324" s="49"/>
      <c r="D324" s="49"/>
      <c r="E324" s="49"/>
      <c r="F324" s="49"/>
      <c r="G324" s="49"/>
      <c r="M324" s="64"/>
    </row>
    <row r="325" spans="1:14" x14ac:dyDescent="0.25">
      <c r="A325" s="39" t="s">
        <v>729</v>
      </c>
      <c r="M325" s="64"/>
    </row>
    <row r="326" spans="1:14" x14ac:dyDescent="0.25">
      <c r="A326" s="39" t="s">
        <v>730</v>
      </c>
      <c r="M326" s="64"/>
    </row>
    <row r="327" spans="1:14" x14ac:dyDescent="0.25">
      <c r="A327" s="39" t="s">
        <v>731</v>
      </c>
      <c r="M327" s="64"/>
    </row>
    <row r="328" spans="1:14" x14ac:dyDescent="0.25">
      <c r="A328" s="39" t="s">
        <v>769</v>
      </c>
      <c r="M328" s="64"/>
    </row>
    <row r="329" spans="1:14" x14ac:dyDescent="0.25">
      <c r="A329" s="39" t="s">
        <v>884</v>
      </c>
      <c r="M329" s="64"/>
    </row>
    <row r="330" spans="1:14" x14ac:dyDescent="0.25">
      <c r="A330" s="39" t="s">
        <v>977</v>
      </c>
      <c r="M330" s="64"/>
    </row>
    <row r="331" spans="1:14" x14ac:dyDescent="0.25">
      <c r="A331" s="150" t="s">
        <v>1152</v>
      </c>
      <c r="M331" s="64"/>
    </row>
    <row r="332" spans="1:14" x14ac:dyDescent="0.25">
      <c r="A332" s="41" t="s">
        <v>607</v>
      </c>
      <c r="B332" s="34"/>
      <c r="C332" s="34"/>
      <c r="D332" s="34"/>
      <c r="E332" s="34"/>
      <c r="F332" s="34"/>
      <c r="G332" s="34"/>
      <c r="H332" s="34"/>
      <c r="I332" s="34"/>
      <c r="J332" s="34"/>
      <c r="K332" s="34"/>
      <c r="L332" s="34"/>
      <c r="M332" s="48"/>
    </row>
    <row r="335" spans="1:14" x14ac:dyDescent="0.25">
      <c r="A335" s="6" t="s">
        <v>12</v>
      </c>
      <c r="B335" s="7" t="s">
        <v>153</v>
      </c>
      <c r="N335" s="3">
        <f>242*0.25</f>
        <v>60.5</v>
      </c>
    </row>
    <row r="336" spans="1:14" x14ac:dyDescent="0.25">
      <c r="A336" s="151" t="s">
        <v>14</v>
      </c>
      <c r="B336" s="7" t="s">
        <v>624</v>
      </c>
      <c r="C336" s="9" t="s">
        <v>15</v>
      </c>
    </row>
    <row r="337" spans="1:17" x14ac:dyDescent="0.25">
      <c r="A337" s="152" t="s">
        <v>16</v>
      </c>
      <c r="B337" s="153">
        <v>2010</v>
      </c>
      <c r="C337" s="153">
        <v>2011</v>
      </c>
      <c r="D337" s="153">
        <v>2012</v>
      </c>
      <c r="E337" s="153">
        <v>2013</v>
      </c>
      <c r="F337" s="153">
        <v>2014</v>
      </c>
      <c r="G337" s="153">
        <v>2015</v>
      </c>
      <c r="H337" s="153">
        <v>2016</v>
      </c>
      <c r="I337" s="153">
        <v>2017</v>
      </c>
      <c r="J337" s="153">
        <v>2018</v>
      </c>
      <c r="K337" s="153">
        <v>2019</v>
      </c>
      <c r="L337" s="154">
        <v>2020</v>
      </c>
      <c r="M337" s="154">
        <v>2021</v>
      </c>
      <c r="N337" s="154">
        <v>2022</v>
      </c>
      <c r="O337" s="154">
        <v>2023</v>
      </c>
      <c r="P337" s="154">
        <v>2024</v>
      </c>
      <c r="Q337" s="154">
        <v>2025</v>
      </c>
    </row>
    <row r="338" spans="1:17" x14ac:dyDescent="0.25">
      <c r="A338" s="152" t="s">
        <v>17</v>
      </c>
      <c r="B338" s="155">
        <v>200</v>
      </c>
      <c r="C338" s="155">
        <v>200</v>
      </c>
      <c r="D338" s="155">
        <v>200</v>
      </c>
      <c r="E338" s="155">
        <v>200</v>
      </c>
      <c r="F338" s="155">
        <v>200</v>
      </c>
      <c r="G338" s="155">
        <v>200</v>
      </c>
      <c r="H338" s="156">
        <v>200</v>
      </c>
      <c r="I338" s="155">
        <v>200</v>
      </c>
      <c r="J338" s="155">
        <v>200</v>
      </c>
      <c r="K338" s="155">
        <v>215</v>
      </c>
      <c r="L338" s="12">
        <v>215</v>
      </c>
      <c r="M338" s="12">
        <v>242</v>
      </c>
      <c r="N338" s="12">
        <v>242</v>
      </c>
      <c r="O338" s="12">
        <v>242</v>
      </c>
      <c r="P338" s="12">
        <v>302</v>
      </c>
      <c r="Q338" s="12">
        <v>302</v>
      </c>
    </row>
    <row r="339" spans="1:17" x14ac:dyDescent="0.25">
      <c r="A339" s="152" t="s">
        <v>18</v>
      </c>
      <c r="B339" s="155">
        <v>250</v>
      </c>
      <c r="C339" s="155">
        <v>250</v>
      </c>
      <c r="D339" s="155">
        <v>250</v>
      </c>
      <c r="E339" s="155">
        <v>250</v>
      </c>
      <c r="F339" s="155">
        <v>200</v>
      </c>
      <c r="G339" s="155">
        <v>250</v>
      </c>
      <c r="H339" s="156">
        <v>250</v>
      </c>
      <c r="I339" s="155">
        <v>250</v>
      </c>
      <c r="J339" s="155">
        <v>250</v>
      </c>
      <c r="K339" s="155">
        <v>265</v>
      </c>
      <c r="L339" s="155">
        <v>265</v>
      </c>
      <c r="M339" s="155">
        <f>M338+0.25*K338</f>
        <v>295.75</v>
      </c>
      <c r="N339" s="155">
        <f>N338+0.25*L338</f>
        <v>295.75</v>
      </c>
      <c r="O339" s="155">
        <f>O338+M342</f>
        <v>246.43</v>
      </c>
      <c r="P339" s="155">
        <f>P338+N342</f>
        <v>357.88</v>
      </c>
      <c r="Q339" s="155">
        <f>Q338+O342</f>
        <v>357.93</v>
      </c>
    </row>
    <row r="340" spans="1:17" x14ac:dyDescent="0.25">
      <c r="A340" s="152" t="s">
        <v>19</v>
      </c>
      <c r="B340" s="155"/>
      <c r="C340" s="155"/>
      <c r="D340" s="155"/>
      <c r="E340" s="155"/>
      <c r="F340" s="155"/>
      <c r="G340" s="155"/>
      <c r="H340" s="156"/>
      <c r="I340" s="156"/>
      <c r="J340" s="156"/>
      <c r="K340" s="156"/>
      <c r="L340" s="156"/>
      <c r="M340" s="12"/>
      <c r="N340" s="12"/>
      <c r="O340" s="12"/>
      <c r="P340" s="12"/>
      <c r="Q340" s="12"/>
    </row>
    <row r="341" spans="1:17" x14ac:dyDescent="0.25">
      <c r="A341" s="152" t="s">
        <v>20</v>
      </c>
      <c r="B341" s="155">
        <v>150</v>
      </c>
      <c r="C341" s="155">
        <v>101</v>
      </c>
      <c r="D341" s="155">
        <v>21</v>
      </c>
      <c r="E341" s="155">
        <v>81.085999999999999</v>
      </c>
      <c r="F341" s="155">
        <v>34.866999999999997</v>
      </c>
      <c r="G341" s="155">
        <v>20.963999999999999</v>
      </c>
      <c r="H341" s="156">
        <v>103.196</v>
      </c>
      <c r="I341" s="156">
        <v>123.654</v>
      </c>
      <c r="J341" s="156">
        <v>123.839</v>
      </c>
      <c r="K341" s="156">
        <v>129.16</v>
      </c>
      <c r="L341" s="156">
        <v>207.66</v>
      </c>
      <c r="M341" s="12">
        <v>291.32</v>
      </c>
      <c r="N341" s="12">
        <v>239.87</v>
      </c>
      <c r="O341" s="12">
        <v>190.5</v>
      </c>
      <c r="P341" s="131">
        <v>279.01</v>
      </c>
      <c r="Q341" s="12"/>
    </row>
    <row r="342" spans="1:17" x14ac:dyDescent="0.25">
      <c r="A342" s="152" t="s">
        <v>21</v>
      </c>
      <c r="B342" s="155">
        <v>100</v>
      </c>
      <c r="C342" s="155">
        <v>149</v>
      </c>
      <c r="D342" s="155">
        <v>229</v>
      </c>
      <c r="E342" s="155">
        <v>168.91399999999999</v>
      </c>
      <c r="F342" s="155">
        <v>165.13300000000001</v>
      </c>
      <c r="G342" s="155">
        <v>229.036</v>
      </c>
      <c r="H342" s="156">
        <v>146.804</v>
      </c>
      <c r="I342" s="156">
        <v>126.364</v>
      </c>
      <c r="J342" s="156">
        <v>126.161</v>
      </c>
      <c r="K342" s="156">
        <v>135.84</v>
      </c>
      <c r="L342" s="156">
        <f>L339-L341</f>
        <v>57.34</v>
      </c>
      <c r="M342" s="156">
        <f>M339-M341</f>
        <v>4.4300000000000068</v>
      </c>
      <c r="N342" s="156">
        <f>N339-N341</f>
        <v>55.879999999999995</v>
      </c>
      <c r="O342" s="156">
        <f>O339-O341</f>
        <v>55.930000000000007</v>
      </c>
      <c r="P342" s="156">
        <f>P339-P341</f>
        <v>78.87</v>
      </c>
      <c r="Q342" s="12">
        <v>357.93</v>
      </c>
    </row>
    <row r="343" spans="1:17" x14ac:dyDescent="0.25">
      <c r="A343" s="157" t="s">
        <v>22</v>
      </c>
      <c r="B343" s="158">
        <v>2012</v>
      </c>
      <c r="C343" s="158">
        <v>2013</v>
      </c>
      <c r="D343" s="158">
        <v>2014</v>
      </c>
      <c r="E343" s="158">
        <v>2015</v>
      </c>
      <c r="F343" s="158">
        <v>2016</v>
      </c>
      <c r="G343" s="158">
        <v>2017</v>
      </c>
      <c r="H343" s="159">
        <v>2018</v>
      </c>
      <c r="I343" s="159">
        <v>2019</v>
      </c>
      <c r="J343" s="159">
        <v>2020</v>
      </c>
      <c r="K343" s="159">
        <v>2021</v>
      </c>
      <c r="L343" s="159">
        <v>2022</v>
      </c>
      <c r="M343" s="159">
        <v>2023</v>
      </c>
      <c r="N343" s="159">
        <v>2024</v>
      </c>
      <c r="O343" s="159">
        <v>2025</v>
      </c>
      <c r="P343" s="159">
        <v>2026</v>
      </c>
      <c r="Q343" s="159">
        <v>2027</v>
      </c>
    </row>
    <row r="344" spans="1:17" x14ac:dyDescent="0.25">
      <c r="A344" s="684" t="s">
        <v>154</v>
      </c>
      <c r="B344" s="685"/>
      <c r="C344" s="685"/>
      <c r="D344" s="685"/>
      <c r="E344" s="685"/>
      <c r="F344" s="685"/>
      <c r="G344" s="685"/>
      <c r="H344" s="685"/>
      <c r="I344" s="685"/>
      <c r="J344" s="685"/>
      <c r="K344" s="685"/>
      <c r="L344" s="685"/>
      <c r="M344" s="685"/>
      <c r="N344" s="685"/>
      <c r="O344" s="685"/>
      <c r="P344" s="88"/>
      <c r="Q344" s="88"/>
    </row>
    <row r="345" spans="1:17" x14ac:dyDescent="0.25">
      <c r="A345" s="160" t="s">
        <v>328</v>
      </c>
      <c r="B345" s="19"/>
      <c r="C345" s="19"/>
      <c r="D345" s="19"/>
      <c r="E345" s="19"/>
      <c r="F345" s="19"/>
      <c r="G345" s="19"/>
      <c r="H345" s="19"/>
      <c r="I345" s="19"/>
      <c r="J345" s="19"/>
      <c r="K345" s="19"/>
      <c r="L345" s="19"/>
      <c r="M345" s="19"/>
      <c r="N345" s="19"/>
      <c r="O345" s="19"/>
      <c r="P345" s="19"/>
      <c r="Q345" s="63"/>
    </row>
    <row r="346" spans="1:17" x14ac:dyDescent="0.25">
      <c r="A346" s="161" t="s">
        <v>372</v>
      </c>
      <c r="Q346" s="64"/>
    </row>
    <row r="347" spans="1:17" x14ac:dyDescent="0.25">
      <c r="A347" s="161" t="s">
        <v>373</v>
      </c>
      <c r="Q347" s="64"/>
    </row>
    <row r="348" spans="1:17" x14ac:dyDescent="0.25">
      <c r="A348" s="161" t="s">
        <v>431</v>
      </c>
      <c r="Q348" s="64"/>
    </row>
    <row r="349" spans="1:17" x14ac:dyDescent="0.25">
      <c r="A349" s="161" t="s">
        <v>608</v>
      </c>
      <c r="Q349" s="64"/>
    </row>
    <row r="350" spans="1:17" x14ac:dyDescent="0.25">
      <c r="A350" s="161" t="s">
        <v>770</v>
      </c>
      <c r="Q350" s="64"/>
    </row>
    <row r="351" spans="1:17" x14ac:dyDescent="0.25">
      <c r="A351" s="161" t="s">
        <v>994</v>
      </c>
      <c r="Q351" s="64"/>
    </row>
    <row r="352" spans="1:17" s="34" customFormat="1" x14ac:dyDescent="0.25">
      <c r="A352" s="162" t="s">
        <v>1119</v>
      </c>
      <c r="Q352" s="48"/>
    </row>
    <row r="354" spans="1:18" x14ac:dyDescent="0.25">
      <c r="A354" s="9" t="s">
        <v>14</v>
      </c>
      <c r="B354" s="9" t="s">
        <v>638</v>
      </c>
      <c r="C354" s="9" t="s">
        <v>15</v>
      </c>
    </row>
    <row r="355" spans="1:18" x14ac:dyDescent="0.25">
      <c r="A355" s="152" t="s">
        <v>16</v>
      </c>
      <c r="B355" s="153">
        <v>2010</v>
      </c>
      <c r="C355" s="153">
        <v>2011</v>
      </c>
      <c r="D355" s="153">
        <v>2012</v>
      </c>
      <c r="E355" s="153">
        <v>2013</v>
      </c>
      <c r="F355" s="153">
        <v>2014</v>
      </c>
      <c r="G355" s="153">
        <v>2015</v>
      </c>
      <c r="H355" s="153">
        <v>2016</v>
      </c>
      <c r="I355" s="153">
        <v>2017</v>
      </c>
      <c r="J355" s="153">
        <v>2018</v>
      </c>
      <c r="K355" s="153">
        <v>2019</v>
      </c>
      <c r="L355" s="153">
        <v>2020</v>
      </c>
      <c r="M355" s="154">
        <v>2021</v>
      </c>
      <c r="N355" s="154">
        <v>2022</v>
      </c>
      <c r="O355" s="154">
        <v>2023</v>
      </c>
      <c r="P355" s="154">
        <v>2024</v>
      </c>
      <c r="Q355" s="154">
        <v>2025</v>
      </c>
      <c r="R355" s="154">
        <v>2026</v>
      </c>
    </row>
    <row r="356" spans="1:18" x14ac:dyDescent="0.25">
      <c r="A356" s="152" t="s">
        <v>17</v>
      </c>
      <c r="B356" s="155">
        <v>100</v>
      </c>
      <c r="C356" s="155">
        <v>100</v>
      </c>
      <c r="D356" s="155">
        <v>100</v>
      </c>
      <c r="E356" s="155">
        <v>100</v>
      </c>
      <c r="F356" s="155">
        <v>100</v>
      </c>
      <c r="G356" s="155">
        <v>100</v>
      </c>
      <c r="H356" s="156">
        <v>100</v>
      </c>
      <c r="I356" s="155">
        <v>200</v>
      </c>
      <c r="J356" s="156">
        <v>200</v>
      </c>
      <c r="K356" s="155">
        <v>200</v>
      </c>
      <c r="L356" s="155">
        <v>200</v>
      </c>
      <c r="M356" s="156">
        <v>200</v>
      </c>
      <c r="N356" s="156">
        <v>200</v>
      </c>
      <c r="O356" s="156">
        <v>240</v>
      </c>
      <c r="P356" s="156">
        <v>240</v>
      </c>
      <c r="Q356" s="156">
        <v>240</v>
      </c>
      <c r="R356" s="156">
        <v>240</v>
      </c>
    </row>
    <row r="357" spans="1:18" x14ac:dyDescent="0.25">
      <c r="A357" s="152" t="s">
        <v>18</v>
      </c>
      <c r="B357" s="155">
        <v>100</v>
      </c>
      <c r="C357" s="155">
        <v>100</v>
      </c>
      <c r="D357" s="155">
        <v>100</v>
      </c>
      <c r="E357" s="155">
        <v>100</v>
      </c>
      <c r="F357" s="155">
        <v>100</v>
      </c>
      <c r="G357" s="155">
        <v>125</v>
      </c>
      <c r="H357" s="156">
        <v>125</v>
      </c>
      <c r="I357" s="155">
        <f>200+G360</f>
        <v>204.595</v>
      </c>
      <c r="J357" s="155">
        <v>250</v>
      </c>
      <c r="K357" s="155">
        <f>K356+I360</f>
        <v>220.04499999999999</v>
      </c>
      <c r="L357" s="155">
        <v>250</v>
      </c>
      <c r="M357" s="156">
        <f>M356*1.25</f>
        <v>250</v>
      </c>
      <c r="N357" s="156">
        <f>N356*1.25</f>
        <v>250</v>
      </c>
      <c r="O357" s="156">
        <f>O356+0.25*M356</f>
        <v>290</v>
      </c>
      <c r="P357" s="156">
        <f>P356+2.98</f>
        <v>242.98</v>
      </c>
      <c r="Q357" s="156">
        <f>Q356+O356*0.25</f>
        <v>300</v>
      </c>
      <c r="R357" s="156">
        <f>R356+P356*0.25</f>
        <v>300</v>
      </c>
    </row>
    <row r="358" spans="1:18" x14ac:dyDescent="0.25">
      <c r="A358" s="152" t="s">
        <v>19</v>
      </c>
      <c r="B358" s="163"/>
      <c r="C358" s="163"/>
      <c r="D358" s="163"/>
      <c r="E358" s="163"/>
      <c r="F358" s="163"/>
      <c r="G358" s="163"/>
      <c r="H358" s="12"/>
      <c r="I358" s="12"/>
      <c r="J358" s="12"/>
      <c r="K358" s="12"/>
      <c r="L358" s="12"/>
      <c r="M358" s="12"/>
      <c r="N358" s="12"/>
      <c r="O358" s="12"/>
      <c r="P358" s="12"/>
      <c r="Q358" s="12"/>
      <c r="R358" s="12"/>
    </row>
    <row r="359" spans="1:18" x14ac:dyDescent="0.25">
      <c r="A359" s="152" t="s">
        <v>20</v>
      </c>
      <c r="B359" s="155">
        <v>100</v>
      </c>
      <c r="C359" s="155">
        <v>80.05</v>
      </c>
      <c r="D359" s="155">
        <v>61.02</v>
      </c>
      <c r="E359" s="155">
        <v>65.126999999999995</v>
      </c>
      <c r="F359" s="155">
        <v>33.822000000000003</v>
      </c>
      <c r="G359" s="155">
        <v>120.405</v>
      </c>
      <c r="H359" s="156">
        <v>94.369</v>
      </c>
      <c r="I359" s="156">
        <v>184.55</v>
      </c>
      <c r="J359" s="156">
        <v>116.455</v>
      </c>
      <c r="K359" s="156">
        <v>132.07</v>
      </c>
      <c r="L359" s="156">
        <v>183.94</v>
      </c>
      <c r="M359" s="156">
        <v>9.66</v>
      </c>
      <c r="N359" s="156">
        <v>31.19</v>
      </c>
      <c r="O359" s="156">
        <v>91.44</v>
      </c>
      <c r="P359" s="156">
        <v>116.16</v>
      </c>
      <c r="Q359" s="156"/>
      <c r="R359" s="156"/>
    </row>
    <row r="360" spans="1:18" x14ac:dyDescent="0.25">
      <c r="A360" s="152" t="s">
        <v>21</v>
      </c>
      <c r="B360" s="155">
        <f>B357-B359</f>
        <v>0</v>
      </c>
      <c r="C360" s="155">
        <f t="shared" ref="C360:P360" si="15">C357-C359</f>
        <v>19.950000000000003</v>
      </c>
      <c r="D360" s="155">
        <f t="shared" si="15"/>
        <v>38.979999999999997</v>
      </c>
      <c r="E360" s="155">
        <f t="shared" si="15"/>
        <v>34.873000000000005</v>
      </c>
      <c r="F360" s="155">
        <f t="shared" si="15"/>
        <v>66.177999999999997</v>
      </c>
      <c r="G360" s="155">
        <f t="shared" si="15"/>
        <v>4.5949999999999989</v>
      </c>
      <c r="H360" s="155">
        <f t="shared" si="15"/>
        <v>30.631</v>
      </c>
      <c r="I360" s="155">
        <f t="shared" si="15"/>
        <v>20.044999999999987</v>
      </c>
      <c r="J360" s="155">
        <f t="shared" si="15"/>
        <v>133.54500000000002</v>
      </c>
      <c r="K360" s="155">
        <f t="shared" si="15"/>
        <v>87.974999999999994</v>
      </c>
      <c r="L360" s="155">
        <f t="shared" si="15"/>
        <v>66.06</v>
      </c>
      <c r="M360" s="155">
        <f t="shared" si="15"/>
        <v>240.34</v>
      </c>
      <c r="N360" s="155">
        <f t="shared" si="15"/>
        <v>218.81</v>
      </c>
      <c r="O360" s="155">
        <f t="shared" si="15"/>
        <v>198.56</v>
      </c>
      <c r="P360" s="155">
        <f t="shared" si="15"/>
        <v>126.82</v>
      </c>
      <c r="Q360" s="156"/>
      <c r="R360" s="156"/>
    </row>
    <row r="361" spans="1:18" x14ac:dyDescent="0.25">
      <c r="A361" s="157" t="s">
        <v>22</v>
      </c>
      <c r="B361" s="158">
        <v>2012</v>
      </c>
      <c r="C361" s="158">
        <v>2013</v>
      </c>
      <c r="D361" s="158">
        <v>2014</v>
      </c>
      <c r="E361" s="158">
        <v>2015</v>
      </c>
      <c r="F361" s="158">
        <v>2016</v>
      </c>
      <c r="G361" s="158">
        <v>2017</v>
      </c>
      <c r="H361" s="159">
        <v>2018</v>
      </c>
      <c r="I361" s="159">
        <v>2019</v>
      </c>
      <c r="J361" s="159">
        <v>2020</v>
      </c>
      <c r="K361" s="159">
        <v>2021</v>
      </c>
      <c r="L361" s="159">
        <v>2022</v>
      </c>
      <c r="M361" s="159">
        <v>2023</v>
      </c>
      <c r="N361" s="159">
        <v>2024</v>
      </c>
      <c r="O361" s="159">
        <v>2025</v>
      </c>
      <c r="P361" s="159">
        <v>2026</v>
      </c>
      <c r="Q361" s="159">
        <v>2027</v>
      </c>
      <c r="R361" s="159">
        <v>2028</v>
      </c>
    </row>
    <row r="362" spans="1:18" x14ac:dyDescent="0.25">
      <c r="A362" s="29" t="s">
        <v>154</v>
      </c>
      <c r="B362" s="30"/>
      <c r="C362" s="30"/>
      <c r="D362" s="30"/>
      <c r="E362" s="30"/>
      <c r="F362" s="30"/>
      <c r="G362" s="30"/>
      <c r="H362" s="30"/>
      <c r="I362" s="30"/>
      <c r="J362" s="30"/>
      <c r="K362" s="30"/>
      <c r="L362" s="30"/>
      <c r="M362" s="30"/>
      <c r="N362" s="30"/>
      <c r="O362" s="30"/>
      <c r="P362" s="88"/>
      <c r="Q362" s="88"/>
      <c r="R362" s="88"/>
    </row>
    <row r="363" spans="1:18" x14ac:dyDescent="0.25">
      <c r="A363" s="160" t="s">
        <v>155</v>
      </c>
      <c r="B363" s="19"/>
      <c r="C363" s="19"/>
      <c r="D363" s="19"/>
      <c r="E363" s="19"/>
      <c r="F363" s="19"/>
      <c r="G363" s="19"/>
      <c r="H363" s="19"/>
      <c r="I363" s="19"/>
      <c r="J363" s="19"/>
      <c r="K363" s="19"/>
      <c r="L363" s="19"/>
      <c r="M363" s="19"/>
      <c r="N363" s="19"/>
      <c r="O363" s="19"/>
      <c r="P363" s="19"/>
      <c r="Q363" s="19"/>
      <c r="R363" s="63"/>
    </row>
    <row r="364" spans="1:18" x14ac:dyDescent="0.25">
      <c r="A364" s="161" t="s">
        <v>336</v>
      </c>
      <c r="R364" s="64"/>
    </row>
    <row r="365" spans="1:18" x14ac:dyDescent="0.25">
      <c r="A365" s="161" t="s">
        <v>156</v>
      </c>
      <c r="R365" s="64"/>
    </row>
    <row r="366" spans="1:18" x14ac:dyDescent="0.25">
      <c r="A366" s="161" t="s">
        <v>337</v>
      </c>
      <c r="R366" s="64"/>
    </row>
    <row r="367" spans="1:18" x14ac:dyDescent="0.25">
      <c r="A367" s="161" t="s">
        <v>432</v>
      </c>
      <c r="R367" s="64"/>
    </row>
    <row r="368" spans="1:18" x14ac:dyDescent="0.25">
      <c r="A368" s="161" t="s">
        <v>578</v>
      </c>
      <c r="R368" s="64"/>
    </row>
    <row r="369" spans="1:18" x14ac:dyDescent="0.25">
      <c r="A369" s="161" t="s">
        <v>771</v>
      </c>
      <c r="R369" s="64"/>
    </row>
    <row r="370" spans="1:18" x14ac:dyDescent="0.25">
      <c r="A370" s="161" t="s">
        <v>922</v>
      </c>
      <c r="R370" s="64"/>
    </row>
    <row r="371" spans="1:18" x14ac:dyDescent="0.25">
      <c r="A371" s="196" t="s">
        <v>1113</v>
      </c>
      <c r="R371" s="64"/>
    </row>
    <row r="372" spans="1:18" x14ac:dyDescent="0.25">
      <c r="A372" s="162" t="s">
        <v>1267</v>
      </c>
      <c r="B372" s="34"/>
      <c r="C372" s="34"/>
      <c r="D372" s="34"/>
      <c r="E372" s="34"/>
      <c r="F372" s="34"/>
      <c r="G372" s="34"/>
      <c r="H372" s="34"/>
      <c r="I372" s="34"/>
      <c r="J372" s="34"/>
      <c r="K372" s="34"/>
      <c r="L372" s="34"/>
      <c r="M372" s="34"/>
      <c r="N372" s="34"/>
      <c r="O372" s="34"/>
      <c r="P372" s="34"/>
      <c r="Q372" s="34"/>
      <c r="R372" s="48"/>
    </row>
    <row r="374" spans="1:18" x14ac:dyDescent="0.25">
      <c r="A374" s="6" t="s">
        <v>14</v>
      </c>
      <c r="B374" s="7" t="s">
        <v>623</v>
      </c>
      <c r="C374" s="7" t="s">
        <v>15</v>
      </c>
    </row>
    <row r="375" spans="1:18" x14ac:dyDescent="0.25">
      <c r="A375" s="164" t="s">
        <v>16</v>
      </c>
      <c r="B375" s="165">
        <v>2010</v>
      </c>
      <c r="C375" s="153">
        <v>2011</v>
      </c>
      <c r="D375" s="153">
        <v>2012</v>
      </c>
      <c r="E375" s="153">
        <v>2013</v>
      </c>
      <c r="F375" s="153">
        <v>2014</v>
      </c>
      <c r="G375" s="153">
        <v>2015</v>
      </c>
      <c r="H375" s="153">
        <v>2016</v>
      </c>
      <c r="I375" s="153">
        <v>2017</v>
      </c>
      <c r="J375" s="153">
        <v>2018</v>
      </c>
      <c r="K375" s="153">
        <v>2019</v>
      </c>
      <c r="L375" s="153">
        <v>2020</v>
      </c>
      <c r="M375" s="154">
        <v>2021</v>
      </c>
      <c r="N375" s="154">
        <v>2022</v>
      </c>
      <c r="O375" s="154">
        <v>2023</v>
      </c>
      <c r="P375" s="154">
        <v>2024</v>
      </c>
      <c r="Q375" s="90">
        <v>2025</v>
      </c>
    </row>
    <row r="376" spans="1:18" x14ac:dyDescent="0.25">
      <c r="A376" s="152" t="s">
        <v>17</v>
      </c>
      <c r="B376" s="155">
        <v>75</v>
      </c>
      <c r="C376" s="155">
        <v>75</v>
      </c>
      <c r="D376" s="155">
        <v>75</v>
      </c>
      <c r="E376" s="155">
        <v>75</v>
      </c>
      <c r="F376" s="155">
        <v>75</v>
      </c>
      <c r="G376" s="155">
        <v>75</v>
      </c>
      <c r="H376" s="155">
        <v>75</v>
      </c>
      <c r="I376" s="155">
        <v>75</v>
      </c>
      <c r="J376" s="156">
        <v>100</v>
      </c>
      <c r="K376" s="155">
        <v>100</v>
      </c>
      <c r="L376" s="155">
        <v>100</v>
      </c>
      <c r="M376" s="156">
        <v>100</v>
      </c>
      <c r="N376" s="156">
        <v>100</v>
      </c>
      <c r="O376" s="156">
        <v>100</v>
      </c>
      <c r="P376" s="156">
        <v>100</v>
      </c>
      <c r="Q376" s="90">
        <v>111</v>
      </c>
    </row>
    <row r="377" spans="1:18" x14ac:dyDescent="0.25">
      <c r="A377" s="152" t="s">
        <v>18</v>
      </c>
      <c r="B377" s="155">
        <v>79</v>
      </c>
      <c r="C377" s="155">
        <v>80</v>
      </c>
      <c r="D377" s="155">
        <v>105.3</v>
      </c>
      <c r="E377" s="155">
        <v>100</v>
      </c>
      <c r="F377" s="155">
        <v>100</v>
      </c>
      <c r="G377" s="156">
        <v>104.054</v>
      </c>
      <c r="H377" s="155">
        <v>137.5</v>
      </c>
      <c r="I377" s="155">
        <v>88</v>
      </c>
      <c r="J377" s="156">
        <v>90.442999999999998</v>
      </c>
      <c r="K377" s="155">
        <f>K376-12.726+6.69</f>
        <v>93.963999999999999</v>
      </c>
      <c r="L377" s="155">
        <v>103.95</v>
      </c>
      <c r="M377" s="156">
        <f>M376+K380</f>
        <v>102.404</v>
      </c>
      <c r="N377" s="156">
        <f>N376+L380</f>
        <v>107.78</v>
      </c>
      <c r="O377" s="156">
        <f>O376+0.15*M376</f>
        <v>115</v>
      </c>
      <c r="P377" s="156">
        <f>P376+0.15*N376</f>
        <v>115</v>
      </c>
      <c r="Q377" s="90">
        <v>121</v>
      </c>
    </row>
    <row r="378" spans="1:18" x14ac:dyDescent="0.25">
      <c r="A378" s="152" t="s">
        <v>19</v>
      </c>
      <c r="B378" s="155"/>
      <c r="C378" s="155"/>
      <c r="D378" s="155"/>
      <c r="E378" s="155"/>
      <c r="F378" s="155"/>
      <c r="G378" s="156"/>
      <c r="H378" s="156"/>
      <c r="I378" s="156"/>
      <c r="J378" s="166"/>
      <c r="K378" s="156"/>
      <c r="L378" s="156"/>
      <c r="M378" s="156"/>
      <c r="N378" s="156"/>
      <c r="O378" s="156"/>
      <c r="P378" s="156"/>
      <c r="Q378" s="90"/>
    </row>
    <row r="379" spans="1:18" x14ac:dyDescent="0.25">
      <c r="A379" s="152" t="s">
        <v>20</v>
      </c>
      <c r="B379" s="155">
        <v>74</v>
      </c>
      <c r="C379" s="155">
        <v>74.7</v>
      </c>
      <c r="D379" s="155">
        <v>59</v>
      </c>
      <c r="E379" s="155">
        <v>95.945999999999998</v>
      </c>
      <c r="F379" s="155">
        <v>60.292999999999999</v>
      </c>
      <c r="G379" s="156">
        <v>140.78</v>
      </c>
      <c r="H379" s="156">
        <v>135.05699999999999</v>
      </c>
      <c r="I379" s="156">
        <v>81.31</v>
      </c>
      <c r="J379" s="156">
        <v>86.498000000000005</v>
      </c>
      <c r="K379" s="156">
        <v>91.56</v>
      </c>
      <c r="L379" s="156">
        <v>96.17</v>
      </c>
      <c r="M379" s="156">
        <v>58.583999999999996</v>
      </c>
      <c r="N379" s="156">
        <v>37.61</v>
      </c>
      <c r="O379" s="156">
        <v>105</v>
      </c>
      <c r="P379" s="156">
        <v>103.21</v>
      </c>
      <c r="Q379" s="90"/>
    </row>
    <row r="380" spans="1:18" x14ac:dyDescent="0.25">
      <c r="A380" s="152" t="s">
        <v>21</v>
      </c>
      <c r="B380" s="155">
        <v>5</v>
      </c>
      <c r="C380" s="155">
        <v>5.3</v>
      </c>
      <c r="D380" s="155">
        <v>46.3</v>
      </c>
      <c r="E380" s="155">
        <v>4.0540000000000003</v>
      </c>
      <c r="F380" s="155">
        <v>39.707000000000001</v>
      </c>
      <c r="G380" s="156">
        <v>-36.725999999999999</v>
      </c>
      <c r="H380" s="156">
        <v>2.4430000000000001</v>
      </c>
      <c r="I380" s="156">
        <v>6.6899999999999977</v>
      </c>
      <c r="J380" s="156">
        <v>3.9449999999999998</v>
      </c>
      <c r="K380" s="156">
        <f t="shared" ref="K380:P380" si="16">K377-K379</f>
        <v>2.4039999999999964</v>
      </c>
      <c r="L380" s="156">
        <f t="shared" si="16"/>
        <v>7.7800000000000011</v>
      </c>
      <c r="M380" s="156">
        <f t="shared" si="16"/>
        <v>43.82</v>
      </c>
      <c r="N380" s="156">
        <f t="shared" si="16"/>
        <v>70.17</v>
      </c>
      <c r="O380" s="156">
        <f t="shared" si="16"/>
        <v>10</v>
      </c>
      <c r="P380" s="156">
        <f t="shared" si="16"/>
        <v>11.790000000000006</v>
      </c>
      <c r="Q380" s="90"/>
    </row>
    <row r="381" spans="1:18" x14ac:dyDescent="0.25">
      <c r="A381" s="157" t="s">
        <v>22</v>
      </c>
      <c r="B381" s="158">
        <v>2011</v>
      </c>
      <c r="C381" s="158">
        <v>2012</v>
      </c>
      <c r="D381" s="158">
        <v>2014</v>
      </c>
      <c r="E381" s="158">
        <v>2015</v>
      </c>
      <c r="F381" s="158">
        <v>2016</v>
      </c>
      <c r="G381" s="159">
        <v>2017</v>
      </c>
      <c r="H381" s="159">
        <v>2018</v>
      </c>
      <c r="I381" s="159">
        <v>2019</v>
      </c>
      <c r="J381" s="159">
        <v>2020</v>
      </c>
      <c r="K381" s="159">
        <v>2021</v>
      </c>
      <c r="L381" s="159">
        <v>2022</v>
      </c>
      <c r="M381" s="17">
        <v>2023</v>
      </c>
      <c r="N381" s="17">
        <v>2024</v>
      </c>
      <c r="O381" s="17">
        <v>2025</v>
      </c>
      <c r="P381" s="17">
        <v>2026</v>
      </c>
      <c r="Q381" s="90">
        <v>2027</v>
      </c>
    </row>
    <row r="382" spans="1:18" x14ac:dyDescent="0.25">
      <c r="A382" s="16" t="s">
        <v>154</v>
      </c>
      <c r="B382" s="46"/>
      <c r="C382" s="46"/>
      <c r="D382" s="46"/>
      <c r="E382" s="46"/>
      <c r="F382" s="46"/>
      <c r="G382" s="46"/>
      <c r="H382" s="46"/>
      <c r="I382" s="46"/>
      <c r="J382" s="46"/>
      <c r="K382" s="46"/>
      <c r="L382" s="46"/>
      <c r="M382" s="46"/>
      <c r="N382" s="46"/>
      <c r="O382" s="47"/>
      <c r="P382" s="47"/>
      <c r="Q382" s="90"/>
    </row>
    <row r="383" spans="1:18" x14ac:dyDescent="0.25">
      <c r="A383" s="692" t="s">
        <v>433</v>
      </c>
      <c r="B383" s="693"/>
      <c r="C383" s="693"/>
      <c r="D383" s="693"/>
      <c r="E383" s="693"/>
      <c r="F383" s="693"/>
      <c r="G383" s="693"/>
      <c r="H383" s="693"/>
      <c r="I383" s="693"/>
      <c r="J383" s="693"/>
      <c r="K383" s="693"/>
      <c r="L383" s="693"/>
      <c r="M383" s="693"/>
      <c r="N383" s="36"/>
      <c r="O383" s="36"/>
      <c r="P383" s="30"/>
      <c r="Q383" s="88"/>
    </row>
    <row r="384" spans="1:18" x14ac:dyDescent="0.25">
      <c r="A384" s="160" t="s">
        <v>338</v>
      </c>
      <c r="B384" s="19"/>
      <c r="C384" s="19"/>
      <c r="D384" s="19"/>
      <c r="E384" s="19"/>
      <c r="F384" s="19"/>
      <c r="G384" s="19"/>
      <c r="H384" s="19"/>
      <c r="I384" s="19"/>
      <c r="J384" s="19"/>
      <c r="K384" s="19"/>
      <c r="L384" s="19"/>
      <c r="M384" s="19"/>
      <c r="N384" s="19"/>
      <c r="O384" s="19"/>
      <c r="P384" s="19"/>
      <c r="Q384" s="63"/>
    </row>
    <row r="385" spans="1:17" x14ac:dyDescent="0.25">
      <c r="A385" s="39" t="s">
        <v>157</v>
      </c>
      <c r="Q385" s="64"/>
    </row>
    <row r="386" spans="1:17" x14ac:dyDescent="0.25">
      <c r="A386" s="39" t="s">
        <v>434</v>
      </c>
      <c r="Q386" s="64"/>
    </row>
    <row r="387" spans="1:17" x14ac:dyDescent="0.25">
      <c r="A387" s="39" t="s">
        <v>435</v>
      </c>
      <c r="Q387" s="64"/>
    </row>
    <row r="388" spans="1:17" x14ac:dyDescent="0.25">
      <c r="A388" s="39" t="s">
        <v>609</v>
      </c>
      <c r="Q388" s="64"/>
    </row>
    <row r="389" spans="1:17" x14ac:dyDescent="0.25">
      <c r="A389" s="39" t="s">
        <v>772</v>
      </c>
      <c r="Q389" s="64"/>
    </row>
    <row r="390" spans="1:17" x14ac:dyDescent="0.25">
      <c r="A390" s="39" t="s">
        <v>995</v>
      </c>
      <c r="Q390" s="64"/>
    </row>
    <row r="391" spans="1:17" s="34" customFormat="1" x14ac:dyDescent="0.25">
      <c r="A391" s="42" t="s">
        <v>1153</v>
      </c>
      <c r="Q391" s="48"/>
    </row>
    <row r="393" spans="1:17" x14ac:dyDescent="0.25">
      <c r="A393" s="6" t="s">
        <v>14</v>
      </c>
      <c r="B393" s="7" t="s">
        <v>641</v>
      </c>
      <c r="C393" s="7" t="s">
        <v>15</v>
      </c>
    </row>
    <row r="394" spans="1:17" x14ac:dyDescent="0.25">
      <c r="A394" s="152" t="s">
        <v>16</v>
      </c>
      <c r="B394" s="153">
        <v>2010</v>
      </c>
      <c r="C394" s="153">
        <v>2011</v>
      </c>
      <c r="D394" s="153">
        <v>2012</v>
      </c>
      <c r="E394" s="153">
        <v>2013</v>
      </c>
      <c r="F394" s="153">
        <v>2014</v>
      </c>
      <c r="G394" s="153">
        <v>2015</v>
      </c>
      <c r="H394" s="153">
        <v>2016</v>
      </c>
      <c r="I394" s="153">
        <v>2017</v>
      </c>
      <c r="J394" s="154">
        <v>2018</v>
      </c>
      <c r="K394" s="153">
        <v>2019</v>
      </c>
      <c r="L394" s="153">
        <v>2020</v>
      </c>
      <c r="M394" s="154">
        <v>2021</v>
      </c>
      <c r="N394" s="154">
        <v>2022</v>
      </c>
      <c r="O394" s="154">
        <v>2023</v>
      </c>
      <c r="P394" s="154">
        <v>2024</v>
      </c>
      <c r="Q394" s="154">
        <v>2025</v>
      </c>
    </row>
    <row r="395" spans="1:17" x14ac:dyDescent="0.25">
      <c r="A395" s="152" t="s">
        <v>17</v>
      </c>
      <c r="B395" s="155">
        <v>263</v>
      </c>
      <c r="C395" s="155">
        <v>263</v>
      </c>
      <c r="D395" s="155">
        <v>263</v>
      </c>
      <c r="E395" s="155">
        <v>263</v>
      </c>
      <c r="F395" s="155">
        <v>263</v>
      </c>
      <c r="G395" s="155">
        <v>263</v>
      </c>
      <c r="H395" s="155">
        <v>263</v>
      </c>
      <c r="I395" s="155">
        <v>313</v>
      </c>
      <c r="J395" s="156">
        <v>313</v>
      </c>
      <c r="K395" s="155">
        <v>313</v>
      </c>
      <c r="L395" s="155">
        <v>313</v>
      </c>
      <c r="M395" s="155">
        <v>313</v>
      </c>
      <c r="N395" s="155">
        <v>313</v>
      </c>
      <c r="O395" s="155">
        <v>313</v>
      </c>
      <c r="P395" s="155">
        <v>313</v>
      </c>
      <c r="Q395" s="90">
        <v>313</v>
      </c>
    </row>
    <row r="396" spans="1:17" x14ac:dyDescent="0.25">
      <c r="A396" s="152" t="s">
        <v>18</v>
      </c>
      <c r="B396" s="155">
        <v>393</v>
      </c>
      <c r="C396" s="155">
        <v>362</v>
      </c>
      <c r="D396" s="155">
        <v>377.49</v>
      </c>
      <c r="E396" s="155">
        <v>263</v>
      </c>
      <c r="F396" s="155">
        <v>324.99</v>
      </c>
      <c r="G396" s="156">
        <v>330.03800000000001</v>
      </c>
      <c r="H396" s="155">
        <v>341.9</v>
      </c>
      <c r="I396" s="155">
        <v>315.34399999999999</v>
      </c>
      <c r="J396" s="156">
        <v>391.9</v>
      </c>
      <c r="K396" s="155">
        <v>326.76</v>
      </c>
      <c r="L396" s="155">
        <v>350.05</v>
      </c>
      <c r="M396" s="12">
        <f>M395+0.2*K395</f>
        <v>375.6</v>
      </c>
      <c r="N396" s="12">
        <f>N395+0.2*L395</f>
        <v>375.6</v>
      </c>
      <c r="O396" s="12">
        <f>O395+0.1*M395</f>
        <v>344.3</v>
      </c>
      <c r="P396" s="12">
        <f>P395+0.1*N395</f>
        <v>344.3</v>
      </c>
      <c r="Q396" s="131">
        <f>Q395+0.1*O395</f>
        <v>344.3</v>
      </c>
    </row>
    <row r="397" spans="1:17" x14ac:dyDescent="0.25">
      <c r="A397" s="152" t="s">
        <v>19</v>
      </c>
      <c r="B397" s="155"/>
      <c r="C397" s="155"/>
      <c r="D397" s="155"/>
      <c r="E397" s="155"/>
      <c r="F397" s="155"/>
      <c r="G397" s="156"/>
      <c r="H397" s="156"/>
      <c r="I397" s="156"/>
      <c r="J397" s="156"/>
      <c r="K397" s="156"/>
      <c r="L397" s="156"/>
      <c r="M397" s="11"/>
      <c r="N397" s="11"/>
      <c r="O397" s="11"/>
      <c r="P397" s="11"/>
      <c r="Q397" s="90"/>
    </row>
    <row r="398" spans="1:17" x14ac:dyDescent="0.25">
      <c r="A398" s="152" t="s">
        <v>20</v>
      </c>
      <c r="B398" s="155">
        <v>294</v>
      </c>
      <c r="C398" s="155">
        <v>247.51</v>
      </c>
      <c r="D398" s="155">
        <v>315.5</v>
      </c>
      <c r="E398" s="155">
        <v>195.96199999999999</v>
      </c>
      <c r="F398" s="155">
        <v>205.89400000000001</v>
      </c>
      <c r="G398" s="156">
        <v>327.69600000000003</v>
      </c>
      <c r="H398" s="156">
        <v>222.22</v>
      </c>
      <c r="I398" s="156">
        <v>301.58</v>
      </c>
      <c r="J398" s="156">
        <v>354.85</v>
      </c>
      <c r="K398" s="156">
        <v>210.91</v>
      </c>
      <c r="L398" s="156">
        <v>88.54</v>
      </c>
      <c r="M398" s="11">
        <v>36.729999999999997</v>
      </c>
      <c r="N398" s="11">
        <v>187.61</v>
      </c>
      <c r="O398" s="11">
        <v>109.44</v>
      </c>
      <c r="P398" s="11">
        <v>127.83</v>
      </c>
      <c r="Q398" s="90"/>
    </row>
    <row r="399" spans="1:17" x14ac:dyDescent="0.25">
      <c r="A399" s="152" t="s">
        <v>21</v>
      </c>
      <c r="B399" s="155">
        <v>99</v>
      </c>
      <c r="C399" s="155">
        <v>114.49</v>
      </c>
      <c r="D399" s="155">
        <v>61.99</v>
      </c>
      <c r="E399" s="155">
        <v>67.037999999999997</v>
      </c>
      <c r="F399" s="155">
        <v>119.096</v>
      </c>
      <c r="G399" s="156">
        <v>2.3439999999999999</v>
      </c>
      <c r="H399" s="156">
        <v>119.68</v>
      </c>
      <c r="I399" s="156">
        <v>13.759999999999991</v>
      </c>
      <c r="J399" s="156">
        <v>37.049999999999997</v>
      </c>
      <c r="K399" s="156">
        <f t="shared" ref="K399:P399" si="17">K396-K398</f>
        <v>115.85</v>
      </c>
      <c r="L399" s="156">
        <f t="shared" si="17"/>
        <v>261.51</v>
      </c>
      <c r="M399" s="156">
        <f t="shared" si="17"/>
        <v>338.87</v>
      </c>
      <c r="N399" s="156">
        <f t="shared" si="17"/>
        <v>187.99</v>
      </c>
      <c r="O399" s="156">
        <f t="shared" si="17"/>
        <v>234.86</v>
      </c>
      <c r="P399" s="156">
        <f t="shared" si="17"/>
        <v>216.47000000000003</v>
      </c>
      <c r="Q399" s="90"/>
    </row>
    <row r="400" spans="1:17" x14ac:dyDescent="0.25">
      <c r="A400" s="167" t="s">
        <v>22</v>
      </c>
      <c r="B400" s="168">
        <v>2011</v>
      </c>
      <c r="C400" s="168">
        <v>2012</v>
      </c>
      <c r="D400" s="168">
        <v>2014</v>
      </c>
      <c r="E400" s="168">
        <v>2015</v>
      </c>
      <c r="F400" s="168">
        <v>2016</v>
      </c>
      <c r="G400" s="169">
        <v>2017</v>
      </c>
      <c r="H400" s="169">
        <v>2018</v>
      </c>
      <c r="I400" s="169">
        <v>2019</v>
      </c>
      <c r="J400" s="169">
        <v>2020</v>
      </c>
      <c r="K400" s="169">
        <v>2021</v>
      </c>
      <c r="L400" s="169">
        <v>2022</v>
      </c>
      <c r="M400" s="127">
        <v>2023</v>
      </c>
      <c r="N400" s="127">
        <v>2024</v>
      </c>
      <c r="O400" s="127">
        <v>2025</v>
      </c>
      <c r="P400" s="127">
        <v>2026</v>
      </c>
      <c r="Q400" s="127">
        <v>2027</v>
      </c>
    </row>
    <row r="401" spans="1:17" x14ac:dyDescent="0.25">
      <c r="A401" s="29" t="s">
        <v>154</v>
      </c>
      <c r="B401" s="30"/>
      <c r="C401" s="30"/>
      <c r="D401" s="30"/>
      <c r="E401" s="30"/>
      <c r="F401" s="30"/>
      <c r="G401" s="30"/>
      <c r="H401" s="30"/>
      <c r="I401" s="30"/>
      <c r="J401" s="30"/>
      <c r="K401" s="30"/>
      <c r="L401" s="30"/>
      <c r="M401" s="30"/>
      <c r="N401" s="30"/>
      <c r="O401" s="30"/>
      <c r="P401" s="30"/>
      <c r="Q401" s="63"/>
    </row>
    <row r="402" spans="1:17" x14ac:dyDescent="0.25">
      <c r="A402" s="161" t="s">
        <v>158</v>
      </c>
      <c r="Q402" s="63"/>
    </row>
    <row r="403" spans="1:17" x14ac:dyDescent="0.25">
      <c r="A403" s="161" t="s">
        <v>339</v>
      </c>
      <c r="Q403" s="64"/>
    </row>
    <row r="404" spans="1:17" x14ac:dyDescent="0.25">
      <c r="A404" s="161" t="s">
        <v>340</v>
      </c>
      <c r="Q404" s="64"/>
    </row>
    <row r="405" spans="1:17" x14ac:dyDescent="0.25">
      <c r="A405" s="161" t="s">
        <v>436</v>
      </c>
      <c r="Q405" s="64"/>
    </row>
    <row r="406" spans="1:17" x14ac:dyDescent="0.25">
      <c r="A406" s="161" t="s">
        <v>610</v>
      </c>
      <c r="Q406" s="64"/>
    </row>
    <row r="407" spans="1:17" x14ac:dyDescent="0.25">
      <c r="A407" s="161" t="s">
        <v>773</v>
      </c>
      <c r="Q407" s="64"/>
    </row>
    <row r="408" spans="1:17" x14ac:dyDescent="0.25">
      <c r="A408" s="3" t="s">
        <v>996</v>
      </c>
      <c r="Q408" s="64"/>
    </row>
    <row r="409" spans="1:17" x14ac:dyDescent="0.25">
      <c r="A409" s="43" t="s">
        <v>1154</v>
      </c>
      <c r="B409" s="34"/>
      <c r="C409" s="34"/>
      <c r="D409" s="34"/>
      <c r="E409" s="34"/>
      <c r="F409" s="34"/>
      <c r="G409" s="34"/>
      <c r="H409" s="34"/>
      <c r="I409" s="34"/>
      <c r="J409" s="34"/>
      <c r="K409" s="34"/>
      <c r="L409" s="34"/>
      <c r="M409" s="34"/>
      <c r="N409" s="34"/>
      <c r="O409" s="34"/>
      <c r="P409" s="34"/>
      <c r="Q409" s="48"/>
    </row>
    <row r="411" spans="1:17" x14ac:dyDescent="0.25">
      <c r="A411" s="6" t="s">
        <v>14</v>
      </c>
      <c r="B411" s="7" t="s">
        <v>66</v>
      </c>
      <c r="C411" s="7" t="s">
        <v>15</v>
      </c>
    </row>
    <row r="412" spans="1:17" x14ac:dyDescent="0.25">
      <c r="A412" s="164" t="s">
        <v>16</v>
      </c>
      <c r="B412" s="165">
        <v>2010</v>
      </c>
      <c r="C412" s="153">
        <v>2011</v>
      </c>
      <c r="D412" s="153">
        <v>2012</v>
      </c>
      <c r="E412" s="153">
        <v>2013</v>
      </c>
      <c r="F412" s="153">
        <v>2014</v>
      </c>
      <c r="G412" s="153">
        <v>2015</v>
      </c>
      <c r="H412" s="153">
        <v>2016</v>
      </c>
      <c r="I412" s="153">
        <v>2017</v>
      </c>
      <c r="J412" s="153">
        <v>2018</v>
      </c>
      <c r="K412" s="154">
        <v>2019</v>
      </c>
      <c r="L412" s="154">
        <v>2020</v>
      </c>
      <c r="M412" s="154">
        <v>2021</v>
      </c>
      <c r="N412" s="154">
        <v>2022</v>
      </c>
      <c r="O412" s="154">
        <v>2023</v>
      </c>
      <c r="P412" s="154">
        <v>2024</v>
      </c>
      <c r="Q412" s="154">
        <v>2025</v>
      </c>
    </row>
    <row r="413" spans="1:17" x14ac:dyDescent="0.25">
      <c r="A413" s="152" t="s">
        <v>17</v>
      </c>
      <c r="B413" s="155">
        <v>5900</v>
      </c>
      <c r="C413" s="155">
        <v>5572</v>
      </c>
      <c r="D413" s="155">
        <v>5572</v>
      </c>
      <c r="E413" s="155">
        <v>5572</v>
      </c>
      <c r="F413" s="155">
        <v>5572</v>
      </c>
      <c r="G413" s="155">
        <v>5572</v>
      </c>
      <c r="H413" s="155">
        <v>5376</v>
      </c>
      <c r="I413" s="155">
        <v>5376</v>
      </c>
      <c r="J413" s="156">
        <v>5376</v>
      </c>
      <c r="K413" s="156">
        <v>5376</v>
      </c>
      <c r="L413" s="156">
        <v>4462.08</v>
      </c>
      <c r="M413" s="156">
        <v>4390.6867200000006</v>
      </c>
      <c r="N413" s="156">
        <v>4426.38</v>
      </c>
      <c r="O413" s="156">
        <v>4426.38</v>
      </c>
      <c r="P413" s="156">
        <v>4426.38</v>
      </c>
      <c r="Q413" s="90">
        <v>4624.07</v>
      </c>
    </row>
    <row r="414" spans="1:17" x14ac:dyDescent="0.25">
      <c r="A414" s="152" t="s">
        <v>18</v>
      </c>
      <c r="B414" s="155">
        <v>9670</v>
      </c>
      <c r="C414" s="155">
        <v>8572</v>
      </c>
      <c r="D414" s="155">
        <v>10173</v>
      </c>
      <c r="E414" s="155">
        <v>8502</v>
      </c>
      <c r="F414" s="155">
        <v>10173.6</v>
      </c>
      <c r="G414" s="155">
        <v>10173.6</v>
      </c>
      <c r="H414" s="155">
        <v>7182.4</v>
      </c>
      <c r="I414" s="155">
        <v>7182.4</v>
      </c>
      <c r="J414" s="155">
        <v>7182.4</v>
      </c>
      <c r="K414" s="156">
        <v>7182.4</v>
      </c>
      <c r="L414" s="156">
        <f>L413+0.15*J413+600</f>
        <v>5868.48</v>
      </c>
      <c r="M414" s="156">
        <f>M413+0.1*K413+600</f>
        <v>5528.286720000001</v>
      </c>
      <c r="N414" s="156">
        <f>N413+0.1*L413+600</f>
        <v>5472.5879999999997</v>
      </c>
      <c r="O414" s="156">
        <f>O413+0.1*M413+600</f>
        <v>5465.4486720000004</v>
      </c>
      <c r="P414" s="156">
        <f>P413+0.1*N413+600</f>
        <v>5469.018</v>
      </c>
      <c r="Q414" s="90">
        <v>5024.22</v>
      </c>
    </row>
    <row r="415" spans="1:17" x14ac:dyDescent="0.25">
      <c r="A415" s="152" t="s">
        <v>19</v>
      </c>
      <c r="B415" s="152"/>
      <c r="C415" s="152"/>
      <c r="D415" s="152"/>
      <c r="E415" s="152"/>
      <c r="F415" s="152"/>
      <c r="G415" s="11"/>
      <c r="H415" s="11"/>
      <c r="I415" s="11"/>
      <c r="J415" s="170"/>
      <c r="K415" s="11"/>
      <c r="L415" s="11"/>
      <c r="M415" s="11"/>
      <c r="N415" s="11"/>
      <c r="O415" s="11"/>
      <c r="P415" s="11"/>
      <c r="Q415" s="90"/>
    </row>
    <row r="416" spans="1:17" x14ac:dyDescent="0.25">
      <c r="A416" s="152" t="s">
        <v>20</v>
      </c>
      <c r="B416" s="155">
        <v>5489</v>
      </c>
      <c r="C416" s="155">
        <v>3720.78</v>
      </c>
      <c r="D416" s="155">
        <v>3231</v>
      </c>
      <c r="E416" s="155">
        <v>2371.0340000000001</v>
      </c>
      <c r="F416" s="155">
        <v>2231.75</v>
      </c>
      <c r="G416" s="156">
        <v>4941.848</v>
      </c>
      <c r="H416" s="156">
        <v>5852.39</v>
      </c>
      <c r="I416" s="156">
        <v>5514.3580000000002</v>
      </c>
      <c r="J416" s="156">
        <v>4823.0860000000002</v>
      </c>
      <c r="K416" s="156">
        <v>5718.49</v>
      </c>
      <c r="L416" s="156">
        <v>3613.58</v>
      </c>
      <c r="M416" s="156">
        <v>1638.49</v>
      </c>
      <c r="N416" s="156">
        <v>3248.94</v>
      </c>
      <c r="O416" s="156">
        <v>5415.3</v>
      </c>
      <c r="P416" s="156">
        <v>5132.71</v>
      </c>
      <c r="Q416" s="90"/>
    </row>
    <row r="417" spans="1:17" x14ac:dyDescent="0.25">
      <c r="A417" s="152" t="s">
        <v>21</v>
      </c>
      <c r="B417" s="155">
        <v>4181</v>
      </c>
      <c r="C417" s="155">
        <v>4581.22</v>
      </c>
      <c r="D417" s="155">
        <v>6942</v>
      </c>
      <c r="E417" s="155">
        <v>6130.6959999999999</v>
      </c>
      <c r="F417" s="155">
        <v>7941.85</v>
      </c>
      <c r="G417" s="156">
        <v>5232.116</v>
      </c>
      <c r="H417" s="156">
        <v>1330.01</v>
      </c>
      <c r="I417" s="156">
        <v>1449.932</v>
      </c>
      <c r="J417" s="156">
        <v>2359.3139999999999</v>
      </c>
      <c r="K417" s="156">
        <f t="shared" ref="K417:P417" si="18">K414-K416</f>
        <v>1463.9099999999999</v>
      </c>
      <c r="L417" s="156">
        <f t="shared" si="18"/>
        <v>2254.8999999999996</v>
      </c>
      <c r="M417" s="156">
        <f t="shared" si="18"/>
        <v>3889.7967200000012</v>
      </c>
      <c r="N417" s="156">
        <f t="shared" si="18"/>
        <v>2223.6479999999997</v>
      </c>
      <c r="O417" s="156">
        <f t="shared" si="18"/>
        <v>50.148672000000261</v>
      </c>
      <c r="P417" s="156">
        <f t="shared" si="18"/>
        <v>336.30799999999999</v>
      </c>
      <c r="Q417" s="90"/>
    </row>
    <row r="418" spans="1:17" x14ac:dyDescent="0.25">
      <c r="A418" s="157" t="s">
        <v>22</v>
      </c>
      <c r="B418" s="157">
        <v>2012</v>
      </c>
      <c r="C418" s="157">
        <v>2013</v>
      </c>
      <c r="D418" s="157">
        <v>2014</v>
      </c>
      <c r="E418" s="157">
        <v>2015</v>
      </c>
      <c r="F418" s="157">
        <v>2016</v>
      </c>
      <c r="G418" s="17">
        <v>2017</v>
      </c>
      <c r="H418" s="17">
        <v>2018</v>
      </c>
      <c r="I418" s="17">
        <v>2019</v>
      </c>
      <c r="J418" s="17">
        <v>2020</v>
      </c>
      <c r="K418" s="17">
        <v>2021</v>
      </c>
      <c r="L418" s="17">
        <v>2022</v>
      </c>
      <c r="M418" s="17">
        <v>2023</v>
      </c>
      <c r="N418" s="17">
        <v>2024</v>
      </c>
      <c r="O418" s="17">
        <v>2025</v>
      </c>
      <c r="P418" s="17">
        <v>2026</v>
      </c>
      <c r="Q418" s="62"/>
    </row>
    <row r="419" spans="1:17" x14ac:dyDescent="0.25">
      <c r="A419" s="10" t="s">
        <v>154</v>
      </c>
      <c r="B419" s="36"/>
      <c r="C419" s="36"/>
      <c r="D419" s="36"/>
      <c r="E419" s="36"/>
      <c r="F419" s="36"/>
      <c r="G419" s="36"/>
      <c r="H419" s="36"/>
      <c r="I419" s="36"/>
      <c r="J419" s="36"/>
      <c r="K419" s="36"/>
      <c r="L419" s="36"/>
      <c r="M419" s="36"/>
      <c r="N419" s="36"/>
      <c r="O419" s="36"/>
      <c r="P419" s="30"/>
      <c r="Q419" s="88"/>
    </row>
    <row r="420" spans="1:17" x14ac:dyDescent="0.25">
      <c r="A420" s="161" t="s">
        <v>159</v>
      </c>
      <c r="Q420" s="63"/>
    </row>
    <row r="421" spans="1:17" x14ac:dyDescent="0.25">
      <c r="A421" s="161" t="s">
        <v>160</v>
      </c>
      <c r="Q421" s="64"/>
    </row>
    <row r="422" spans="1:17" x14ac:dyDescent="0.25">
      <c r="A422" s="161" t="s">
        <v>437</v>
      </c>
      <c r="Q422" s="64"/>
    </row>
    <row r="423" spans="1:17" x14ac:dyDescent="0.25">
      <c r="A423" s="161" t="s">
        <v>590</v>
      </c>
      <c r="Q423" s="64"/>
    </row>
    <row r="424" spans="1:17" x14ac:dyDescent="0.25">
      <c r="A424" s="161" t="s">
        <v>611</v>
      </c>
      <c r="Q424" s="64"/>
    </row>
    <row r="425" spans="1:17" x14ac:dyDescent="0.25">
      <c r="A425" s="161" t="s">
        <v>774</v>
      </c>
      <c r="Q425" s="64"/>
    </row>
    <row r="426" spans="1:17" x14ac:dyDescent="0.25">
      <c r="A426" s="123" t="s">
        <v>997</v>
      </c>
      <c r="Q426" s="64"/>
    </row>
    <row r="427" spans="1:17" x14ac:dyDescent="0.25">
      <c r="A427" s="171" t="s">
        <v>1155</v>
      </c>
      <c r="B427" s="34"/>
      <c r="C427" s="34"/>
      <c r="D427" s="34"/>
      <c r="E427" s="34"/>
      <c r="F427" s="34"/>
      <c r="G427" s="34"/>
      <c r="H427" s="34"/>
      <c r="I427" s="34"/>
      <c r="J427" s="34"/>
      <c r="K427" s="34"/>
      <c r="L427" s="34"/>
      <c r="M427" s="34"/>
      <c r="N427" s="34"/>
      <c r="O427" s="34"/>
      <c r="P427" s="34"/>
      <c r="Q427" s="48"/>
    </row>
    <row r="429" spans="1:17" x14ac:dyDescent="0.25">
      <c r="A429" s="6" t="s">
        <v>14</v>
      </c>
      <c r="B429" s="7" t="s">
        <v>74</v>
      </c>
      <c r="C429" s="7" t="s">
        <v>15</v>
      </c>
    </row>
    <row r="430" spans="1:17" x14ac:dyDescent="0.25">
      <c r="A430" s="164" t="s">
        <v>16</v>
      </c>
      <c r="B430" s="165">
        <v>2010</v>
      </c>
      <c r="C430" s="153">
        <v>2011</v>
      </c>
      <c r="D430" s="153">
        <v>2012</v>
      </c>
      <c r="E430" s="153">
        <v>2013</v>
      </c>
      <c r="F430" s="153">
        <v>2014</v>
      </c>
      <c r="G430" s="153">
        <v>2015</v>
      </c>
      <c r="H430" s="153">
        <v>2016</v>
      </c>
      <c r="I430" s="153">
        <v>2017</v>
      </c>
      <c r="J430" s="153">
        <v>2018</v>
      </c>
      <c r="K430" s="154">
        <v>2019</v>
      </c>
      <c r="L430" s="154">
        <v>2020</v>
      </c>
      <c r="M430" s="154">
        <v>2021</v>
      </c>
      <c r="N430" s="154">
        <v>2022</v>
      </c>
      <c r="O430" s="154">
        <v>2023</v>
      </c>
      <c r="P430" s="154">
        <v>2024</v>
      </c>
      <c r="Q430" s="154">
        <v>2025</v>
      </c>
    </row>
    <row r="431" spans="1:17" x14ac:dyDescent="0.25">
      <c r="A431" s="152" t="s">
        <v>17</v>
      </c>
      <c r="B431" s="155">
        <v>100.5</v>
      </c>
      <c r="C431" s="155">
        <v>100.5</v>
      </c>
      <c r="D431" s="155">
        <v>100.5</v>
      </c>
      <c r="E431" s="155">
        <v>45</v>
      </c>
      <c r="F431" s="155">
        <v>45</v>
      </c>
      <c r="G431" s="155">
        <v>45</v>
      </c>
      <c r="H431" s="155">
        <v>45</v>
      </c>
      <c r="I431" s="155">
        <v>45</v>
      </c>
      <c r="J431" s="156">
        <v>45</v>
      </c>
      <c r="K431" s="156">
        <v>45</v>
      </c>
      <c r="L431" s="156">
        <v>37.9</v>
      </c>
      <c r="M431" s="156">
        <v>37.9</v>
      </c>
      <c r="N431" s="156">
        <v>37.9</v>
      </c>
      <c r="O431" s="156">
        <v>37.9</v>
      </c>
      <c r="P431" s="156">
        <v>37.9</v>
      </c>
      <c r="Q431" s="156">
        <v>37.9</v>
      </c>
    </row>
    <row r="432" spans="1:17" x14ac:dyDescent="0.25">
      <c r="A432" s="152" t="s">
        <v>18</v>
      </c>
      <c r="B432" s="155">
        <v>100.5</v>
      </c>
      <c r="C432" s="155">
        <v>100.5</v>
      </c>
      <c r="D432" s="155">
        <v>100.5</v>
      </c>
      <c r="E432" s="155">
        <v>45</v>
      </c>
      <c r="F432" s="155">
        <v>45</v>
      </c>
      <c r="G432" s="155">
        <v>45</v>
      </c>
      <c r="H432" s="155">
        <v>50.34</v>
      </c>
      <c r="I432" s="155">
        <v>45.585000000000001</v>
      </c>
      <c r="J432" s="155">
        <v>45.628999999999998</v>
      </c>
      <c r="K432" s="156">
        <v>50.27</v>
      </c>
      <c r="L432" s="156">
        <f>L431+J435</f>
        <v>41.338000000000001</v>
      </c>
      <c r="M432" s="156">
        <f>M431+K435</f>
        <v>41.77</v>
      </c>
      <c r="N432" s="156"/>
      <c r="O432" s="156"/>
      <c r="P432" s="156"/>
      <c r="Q432" s="156"/>
    </row>
    <row r="433" spans="1:17" x14ac:dyDescent="0.25">
      <c r="A433" s="152" t="s">
        <v>19</v>
      </c>
      <c r="B433" s="152"/>
      <c r="C433" s="152"/>
      <c r="D433" s="152"/>
      <c r="E433" s="152"/>
      <c r="F433" s="152"/>
      <c r="G433" s="11"/>
      <c r="H433" s="11"/>
      <c r="I433" s="11"/>
      <c r="J433" s="11"/>
      <c r="K433" s="11"/>
      <c r="L433" s="11"/>
      <c r="M433" s="11"/>
      <c r="N433" s="11"/>
      <c r="O433" s="11"/>
      <c r="P433" s="11"/>
      <c r="Q433" s="11"/>
    </row>
    <row r="434" spans="1:17" x14ac:dyDescent="0.25">
      <c r="A434" s="152" t="s">
        <v>20</v>
      </c>
      <c r="B434" s="155">
        <v>77</v>
      </c>
      <c r="C434" s="155">
        <v>99.5</v>
      </c>
      <c r="D434" s="155">
        <v>35</v>
      </c>
      <c r="E434" s="155">
        <v>44.86</v>
      </c>
      <c r="F434" s="155">
        <v>39.659999999999997</v>
      </c>
      <c r="G434" s="156">
        <v>44.414999999999999</v>
      </c>
      <c r="H434" s="156">
        <v>49.710999999999999</v>
      </c>
      <c r="I434" s="156">
        <v>40.31</v>
      </c>
      <c r="J434" s="156">
        <v>42.191000000000003</v>
      </c>
      <c r="K434" s="156">
        <v>46.4</v>
      </c>
      <c r="L434" s="156">
        <v>37.24</v>
      </c>
      <c r="M434" s="156">
        <v>4.03</v>
      </c>
      <c r="N434" s="156">
        <v>10.41</v>
      </c>
      <c r="O434" s="156">
        <v>35.4</v>
      </c>
      <c r="P434" s="156">
        <v>37.36</v>
      </c>
      <c r="Q434" s="156"/>
    </row>
    <row r="435" spans="1:17" x14ac:dyDescent="0.25">
      <c r="A435" s="152" t="s">
        <v>21</v>
      </c>
      <c r="B435" s="155">
        <v>23.5</v>
      </c>
      <c r="C435" s="155">
        <v>1</v>
      </c>
      <c r="D435" s="155">
        <v>65.5</v>
      </c>
      <c r="E435" s="155">
        <v>0.14199999999999999</v>
      </c>
      <c r="F435" s="155">
        <v>5.34</v>
      </c>
      <c r="G435" s="156">
        <v>0.58499999999999996</v>
      </c>
      <c r="H435" s="156">
        <v>0.629</v>
      </c>
      <c r="I435" s="156">
        <v>5.269999999999996</v>
      </c>
      <c r="J435" s="156">
        <v>3.4380000000000002</v>
      </c>
      <c r="K435" s="156">
        <f>K432-K434</f>
        <v>3.8700000000000045</v>
      </c>
      <c r="L435" s="156">
        <f>L432-L434</f>
        <v>4.097999999999999</v>
      </c>
      <c r="M435" s="156">
        <f>M432-M434</f>
        <v>37.74</v>
      </c>
      <c r="N435" s="156">
        <f>N431-N434</f>
        <v>27.49</v>
      </c>
      <c r="O435" s="156">
        <f>O431-O434</f>
        <v>2.5</v>
      </c>
      <c r="P435" s="156">
        <f>P431-P434</f>
        <v>0.53999999999999915</v>
      </c>
      <c r="Q435" s="156"/>
    </row>
    <row r="436" spans="1:17" x14ac:dyDescent="0.25">
      <c r="A436" s="157" t="s">
        <v>22</v>
      </c>
      <c r="B436" s="158" t="s">
        <v>161</v>
      </c>
      <c r="C436" s="158" t="s">
        <v>161</v>
      </c>
      <c r="D436" s="158" t="s">
        <v>161</v>
      </c>
      <c r="E436" s="158">
        <v>2015</v>
      </c>
      <c r="F436" s="158">
        <v>2016</v>
      </c>
      <c r="G436" s="159">
        <v>2017</v>
      </c>
      <c r="H436" s="159">
        <v>2018</v>
      </c>
      <c r="I436" s="159">
        <v>2019</v>
      </c>
      <c r="J436" s="159">
        <v>2020</v>
      </c>
      <c r="K436" s="159">
        <v>2021</v>
      </c>
      <c r="L436" s="158"/>
      <c r="M436" s="158"/>
      <c r="N436" s="158"/>
      <c r="O436" s="158"/>
      <c r="P436" s="158"/>
      <c r="Q436" s="158"/>
    </row>
    <row r="437" spans="1:17" x14ac:dyDescent="0.25">
      <c r="A437" s="90" t="s">
        <v>154</v>
      </c>
      <c r="B437" s="90"/>
      <c r="C437" s="90"/>
      <c r="D437" s="90"/>
      <c r="E437" s="90"/>
      <c r="F437" s="90"/>
      <c r="G437" s="90"/>
      <c r="H437" s="90"/>
      <c r="I437" s="90"/>
      <c r="J437" s="90"/>
      <c r="K437" s="90"/>
      <c r="L437" s="90"/>
      <c r="M437" s="90"/>
      <c r="N437" s="90"/>
      <c r="O437" s="90"/>
      <c r="P437" s="90"/>
      <c r="Q437" s="90"/>
    </row>
    <row r="438" spans="1:17" x14ac:dyDescent="0.25">
      <c r="A438" s="29" t="s">
        <v>612</v>
      </c>
      <c r="B438" s="30"/>
      <c r="C438" s="30"/>
      <c r="D438" s="30"/>
      <c r="E438" s="30"/>
      <c r="F438" s="30"/>
      <c r="G438" s="30"/>
      <c r="H438" s="30"/>
      <c r="I438" s="30"/>
      <c r="J438" s="30"/>
      <c r="K438" s="30"/>
      <c r="L438" s="30"/>
      <c r="M438" s="30"/>
      <c r="N438" s="30"/>
      <c r="O438" s="30"/>
      <c r="P438" s="88"/>
      <c r="Q438" s="88"/>
    </row>
    <row r="439" spans="1:17" x14ac:dyDescent="0.25">
      <c r="A439" s="160" t="s">
        <v>162</v>
      </c>
      <c r="B439" s="19"/>
      <c r="C439" s="19"/>
      <c r="D439" s="19"/>
      <c r="E439" s="19"/>
      <c r="F439" s="19"/>
      <c r="G439" s="19"/>
      <c r="H439" s="19"/>
      <c r="I439" s="19"/>
      <c r="J439" s="19"/>
      <c r="K439" s="19"/>
      <c r="L439" s="19"/>
      <c r="M439" s="19"/>
      <c r="N439" s="19"/>
      <c r="O439" s="19"/>
      <c r="P439" s="19"/>
      <c r="Q439" s="63"/>
    </row>
    <row r="440" spans="1:17" x14ac:dyDescent="0.25">
      <c r="A440" s="161" t="s">
        <v>341</v>
      </c>
      <c r="Q440" s="64"/>
    </row>
    <row r="441" spans="1:17" x14ac:dyDescent="0.25">
      <c r="A441" s="39" t="s">
        <v>342</v>
      </c>
      <c r="Q441" s="64"/>
    </row>
    <row r="442" spans="1:17" x14ac:dyDescent="0.25">
      <c r="A442" s="39" t="s">
        <v>438</v>
      </c>
      <c r="Q442" s="64"/>
    </row>
    <row r="443" spans="1:17" x14ac:dyDescent="0.25">
      <c r="A443" s="41" t="s">
        <v>775</v>
      </c>
      <c r="B443" s="34"/>
      <c r="C443" s="34"/>
      <c r="D443" s="34"/>
      <c r="E443" s="34"/>
      <c r="F443" s="34"/>
      <c r="G443" s="34"/>
      <c r="H443" s="34"/>
      <c r="I443" s="34"/>
      <c r="J443" s="34"/>
      <c r="K443" s="34"/>
      <c r="L443" s="34"/>
      <c r="M443" s="34"/>
      <c r="N443" s="34"/>
      <c r="O443" s="34"/>
      <c r="P443" s="34"/>
      <c r="Q443" s="48"/>
    </row>
    <row r="445" spans="1:17" x14ac:dyDescent="0.25">
      <c r="A445" s="6" t="s">
        <v>14</v>
      </c>
      <c r="B445" s="7" t="s">
        <v>79</v>
      </c>
      <c r="C445" s="7" t="s">
        <v>15</v>
      </c>
    </row>
    <row r="446" spans="1:17" x14ac:dyDescent="0.25">
      <c r="A446" s="164" t="s">
        <v>16</v>
      </c>
      <c r="B446" s="165">
        <v>2010</v>
      </c>
      <c r="C446" s="153">
        <v>2011</v>
      </c>
      <c r="D446" s="153">
        <v>2012</v>
      </c>
      <c r="E446" s="153">
        <v>2013</v>
      </c>
      <c r="F446" s="153">
        <v>2014</v>
      </c>
      <c r="G446" s="153">
        <v>2015</v>
      </c>
      <c r="H446" s="153">
        <v>2016</v>
      </c>
      <c r="I446" s="153">
        <v>2017</v>
      </c>
      <c r="J446" s="153">
        <v>2018</v>
      </c>
      <c r="K446" s="154">
        <v>2019</v>
      </c>
      <c r="L446" s="154">
        <v>2020</v>
      </c>
      <c r="M446" s="154">
        <v>2021</v>
      </c>
      <c r="N446" s="154">
        <v>2022</v>
      </c>
      <c r="O446" s="154">
        <v>2023</v>
      </c>
      <c r="P446" s="154">
        <v>2024</v>
      </c>
      <c r="Q446" s="154">
        <v>2025</v>
      </c>
    </row>
    <row r="447" spans="1:17" x14ac:dyDescent="0.25">
      <c r="A447" s="152" t="s">
        <v>17</v>
      </c>
      <c r="B447" s="155">
        <v>9.9</v>
      </c>
      <c r="C447" s="155">
        <v>9.9</v>
      </c>
      <c r="D447" s="155">
        <v>9.9</v>
      </c>
      <c r="E447" s="155">
        <v>10</v>
      </c>
      <c r="F447" s="155">
        <v>10</v>
      </c>
      <c r="G447" s="155">
        <v>10</v>
      </c>
      <c r="H447" s="156">
        <v>10</v>
      </c>
      <c r="I447" s="156">
        <v>10</v>
      </c>
      <c r="J447" s="156">
        <v>10</v>
      </c>
      <c r="K447" s="156">
        <v>10</v>
      </c>
      <c r="L447" s="156">
        <v>10</v>
      </c>
      <c r="M447" s="156">
        <v>10</v>
      </c>
      <c r="N447" s="156">
        <v>10</v>
      </c>
      <c r="O447" s="156">
        <v>10</v>
      </c>
      <c r="P447" s="156">
        <v>10</v>
      </c>
      <c r="Q447" s="156">
        <v>10</v>
      </c>
    </row>
    <row r="448" spans="1:17" x14ac:dyDescent="0.25">
      <c r="A448" s="152" t="s">
        <v>18</v>
      </c>
      <c r="B448" s="155">
        <v>9.9</v>
      </c>
      <c r="C448" s="155">
        <v>9.9</v>
      </c>
      <c r="D448" s="155">
        <v>9.9</v>
      </c>
      <c r="E448" s="155">
        <v>10</v>
      </c>
      <c r="F448" s="155">
        <v>10</v>
      </c>
      <c r="G448" s="155">
        <v>12</v>
      </c>
      <c r="H448" s="156">
        <v>12</v>
      </c>
      <c r="I448" s="156">
        <v>12</v>
      </c>
      <c r="J448" s="155">
        <v>12</v>
      </c>
      <c r="K448" s="156">
        <v>12</v>
      </c>
      <c r="L448" s="156">
        <f>L447*1.2</f>
        <v>12</v>
      </c>
      <c r="M448" s="156">
        <f>M447*1.2</f>
        <v>12</v>
      </c>
      <c r="N448" s="156"/>
      <c r="O448" s="156"/>
      <c r="P448" s="156"/>
      <c r="Q448" s="156"/>
    </row>
    <row r="449" spans="1:17" x14ac:dyDescent="0.25">
      <c r="A449" s="152" t="s">
        <v>19</v>
      </c>
      <c r="B449" s="152"/>
      <c r="C449" s="152"/>
      <c r="D449" s="152"/>
      <c r="E449" s="152"/>
      <c r="F449" s="152"/>
      <c r="G449" s="11"/>
      <c r="H449" s="11"/>
      <c r="I449" s="11"/>
      <c r="J449" s="11"/>
      <c r="K449" s="11"/>
      <c r="L449" s="11"/>
      <c r="M449" s="11"/>
      <c r="N449" s="11"/>
      <c r="O449" s="11"/>
      <c r="P449" s="11"/>
      <c r="Q449" s="11"/>
    </row>
    <row r="450" spans="1:17" x14ac:dyDescent="0.25">
      <c r="A450" s="152" t="s">
        <v>20</v>
      </c>
      <c r="B450" s="155">
        <v>8</v>
      </c>
      <c r="C450" s="155">
        <v>0.73</v>
      </c>
      <c r="D450" s="155">
        <v>0.21</v>
      </c>
      <c r="E450" s="155">
        <v>2.1179999999999999</v>
      </c>
      <c r="F450" s="155">
        <v>0</v>
      </c>
      <c r="G450" s="156">
        <v>0.34799999999999998</v>
      </c>
      <c r="H450" s="156">
        <v>0.26300000000000001</v>
      </c>
      <c r="I450" s="156">
        <v>2.5299999999999998</v>
      </c>
      <c r="J450" s="156">
        <v>3.23</v>
      </c>
      <c r="K450" s="156">
        <v>2.88</v>
      </c>
      <c r="L450" s="156">
        <v>1.81</v>
      </c>
      <c r="M450" s="156">
        <v>1.57</v>
      </c>
      <c r="N450" s="156">
        <v>2.13</v>
      </c>
      <c r="O450" s="156">
        <v>1.5</v>
      </c>
      <c r="P450" s="156">
        <v>1.92</v>
      </c>
      <c r="Q450" s="156"/>
    </row>
    <row r="451" spans="1:17" x14ac:dyDescent="0.25">
      <c r="A451" s="152" t="s">
        <v>21</v>
      </c>
      <c r="B451" s="155">
        <v>1.9</v>
      </c>
      <c r="C451" s="155">
        <v>9.17</v>
      </c>
      <c r="D451" s="155">
        <v>9.69</v>
      </c>
      <c r="E451" s="155">
        <v>7.8819999999999997</v>
      </c>
      <c r="F451" s="155">
        <v>10</v>
      </c>
      <c r="G451" s="156">
        <v>11.651999999999999</v>
      </c>
      <c r="H451" s="156">
        <v>11.737</v>
      </c>
      <c r="I451" s="156">
        <v>9.4700000000000006</v>
      </c>
      <c r="J451" s="156">
        <v>8.77</v>
      </c>
      <c r="K451" s="156">
        <f>K448-K450</f>
        <v>9.120000000000001</v>
      </c>
      <c r="L451" s="156">
        <f>L448-L450</f>
        <v>10.19</v>
      </c>
      <c r="M451" s="156">
        <f>M448-M450</f>
        <v>10.43</v>
      </c>
      <c r="N451" s="156">
        <f>N447-N450</f>
        <v>7.87</v>
      </c>
      <c r="O451" s="156">
        <f>O447-O450</f>
        <v>8.5</v>
      </c>
      <c r="P451" s="156">
        <f>P447-P450</f>
        <v>8.08</v>
      </c>
      <c r="Q451" s="156"/>
    </row>
    <row r="452" spans="1:17" x14ac:dyDescent="0.25">
      <c r="A452" s="157" t="s">
        <v>22</v>
      </c>
      <c r="B452" s="158" t="s">
        <v>161</v>
      </c>
      <c r="C452" s="158" t="s">
        <v>161</v>
      </c>
      <c r="D452" s="158" t="s">
        <v>161</v>
      </c>
      <c r="E452" s="158">
        <v>2015</v>
      </c>
      <c r="F452" s="158">
        <v>2016</v>
      </c>
      <c r="G452" s="159">
        <v>2017</v>
      </c>
      <c r="H452" s="159">
        <v>2018</v>
      </c>
      <c r="I452" s="159">
        <v>2019</v>
      </c>
      <c r="J452" s="159">
        <v>2020</v>
      </c>
      <c r="K452" s="159">
        <v>2021</v>
      </c>
      <c r="L452" s="158"/>
      <c r="M452" s="158"/>
      <c r="N452" s="158"/>
      <c r="O452" s="158"/>
      <c r="P452" s="158"/>
      <c r="Q452" s="158"/>
    </row>
    <row r="453" spans="1:17" x14ac:dyDescent="0.25">
      <c r="A453" s="29" t="s">
        <v>154</v>
      </c>
      <c r="B453" s="30"/>
      <c r="C453" s="30"/>
      <c r="D453" s="30"/>
      <c r="E453" s="30"/>
      <c r="F453" s="30"/>
      <c r="G453" s="30"/>
      <c r="H453" s="30"/>
      <c r="I453" s="30"/>
      <c r="J453" s="30"/>
      <c r="K453" s="30"/>
      <c r="L453" s="30"/>
      <c r="M453" s="30"/>
      <c r="N453" s="30"/>
      <c r="O453" s="30"/>
      <c r="P453" s="88"/>
      <c r="Q453" s="63"/>
    </row>
    <row r="454" spans="1:17" x14ac:dyDescent="0.25">
      <c r="A454" s="39" t="s">
        <v>613</v>
      </c>
      <c r="Q454" s="63"/>
    </row>
    <row r="455" spans="1:17" x14ac:dyDescent="0.25">
      <c r="A455" s="39" t="s">
        <v>163</v>
      </c>
      <c r="Q455" s="64"/>
    </row>
    <row r="456" spans="1:17" x14ac:dyDescent="0.25">
      <c r="A456" s="39" t="s">
        <v>343</v>
      </c>
      <c r="Q456" s="64"/>
    </row>
    <row r="457" spans="1:17" x14ac:dyDescent="0.25">
      <c r="A457" s="39" t="s">
        <v>439</v>
      </c>
      <c r="Q457" s="64"/>
    </row>
    <row r="458" spans="1:17" x14ac:dyDescent="0.25">
      <c r="A458" s="41" t="s">
        <v>775</v>
      </c>
      <c r="B458" s="34"/>
      <c r="C458" s="34"/>
      <c r="D458" s="34"/>
      <c r="E458" s="34"/>
      <c r="F458" s="34"/>
      <c r="G458" s="34"/>
      <c r="H458" s="34"/>
      <c r="I458" s="34"/>
      <c r="J458" s="34"/>
      <c r="K458" s="34"/>
      <c r="L458" s="34"/>
      <c r="M458" s="34"/>
      <c r="N458" s="34"/>
      <c r="O458" s="34"/>
      <c r="P458" s="34"/>
      <c r="Q458" s="48"/>
    </row>
    <row r="461" spans="1:17" x14ac:dyDescent="0.25">
      <c r="A461" s="6" t="s">
        <v>12</v>
      </c>
      <c r="B461" s="7" t="s">
        <v>85</v>
      </c>
    </row>
    <row r="462" spans="1:17" x14ac:dyDescent="0.25">
      <c r="A462" s="6" t="s">
        <v>14</v>
      </c>
      <c r="B462" s="7" t="s">
        <v>624</v>
      </c>
      <c r="C462" s="9" t="s">
        <v>15</v>
      </c>
    </row>
    <row r="463" spans="1:17" x14ac:dyDescent="0.25">
      <c r="A463" s="10" t="s">
        <v>16</v>
      </c>
      <c r="B463" s="154">
        <v>2015</v>
      </c>
      <c r="C463" s="172">
        <v>2016</v>
      </c>
      <c r="D463" s="154">
        <v>2017</v>
      </c>
      <c r="E463" s="173">
        <v>2018</v>
      </c>
      <c r="F463" s="173">
        <v>2019</v>
      </c>
      <c r="G463" s="154">
        <v>2020</v>
      </c>
      <c r="H463" s="154">
        <v>2021</v>
      </c>
      <c r="I463" s="154">
        <v>2022</v>
      </c>
      <c r="J463" s="154">
        <v>2023</v>
      </c>
      <c r="K463" s="154">
        <v>2024</v>
      </c>
      <c r="L463" s="154">
        <v>2025</v>
      </c>
    </row>
    <row r="464" spans="1:17" x14ac:dyDescent="0.25">
      <c r="A464" s="10" t="s">
        <v>17</v>
      </c>
      <c r="B464" s="156">
        <v>3271.7</v>
      </c>
      <c r="C464" s="174">
        <v>3271.7</v>
      </c>
      <c r="D464" s="156">
        <v>3271.7</v>
      </c>
      <c r="E464" s="175">
        <v>3926</v>
      </c>
      <c r="F464" s="175">
        <v>3926</v>
      </c>
      <c r="G464" s="156">
        <v>3926</v>
      </c>
      <c r="H464" s="156">
        <v>4416.8999999999996</v>
      </c>
      <c r="I464" s="156">
        <v>4416.8999999999996</v>
      </c>
      <c r="J464" s="156">
        <v>4416.8999999999996</v>
      </c>
      <c r="K464" s="156">
        <v>5521.1</v>
      </c>
      <c r="L464" s="156">
        <v>5521.1</v>
      </c>
    </row>
    <row r="465" spans="1:12" x14ac:dyDescent="0.25">
      <c r="A465" s="10" t="s">
        <v>18</v>
      </c>
      <c r="B465" s="156">
        <v>3789.62</v>
      </c>
      <c r="C465" s="174">
        <v>3789.62</v>
      </c>
      <c r="D465" s="156">
        <v>3789.62</v>
      </c>
      <c r="E465" s="175">
        <v>4281.62</v>
      </c>
      <c r="F465" s="175">
        <v>4543.9250000000002</v>
      </c>
      <c r="G465" s="175">
        <v>4707.5</v>
      </c>
      <c r="H465" s="175">
        <f>H464+0.25*F464-200</f>
        <v>5198.3999999999996</v>
      </c>
      <c r="I465" s="175">
        <f>I464+0.25*G464-200</f>
        <v>5198.3999999999996</v>
      </c>
      <c r="J465" s="175">
        <f>J464+0.25*H464-200</f>
        <v>5321.125</v>
      </c>
      <c r="K465" s="175">
        <f>K464+0.25*I464-200</f>
        <v>6425.3250000000007</v>
      </c>
      <c r="L465" s="175">
        <f>L464+0.25*J464-200</f>
        <v>6425.3250000000007</v>
      </c>
    </row>
    <row r="466" spans="1:12" ht="26.4" x14ac:dyDescent="0.25">
      <c r="A466" s="10" t="s">
        <v>19</v>
      </c>
      <c r="B466" s="176" t="s">
        <v>86</v>
      </c>
      <c r="C466" s="176" t="s">
        <v>86</v>
      </c>
      <c r="D466" s="176" t="s">
        <v>86</v>
      </c>
      <c r="E466" s="177" t="s">
        <v>87</v>
      </c>
      <c r="F466" s="177" t="s">
        <v>391</v>
      </c>
      <c r="G466" s="177" t="s">
        <v>392</v>
      </c>
      <c r="H466" s="177" t="s">
        <v>442</v>
      </c>
      <c r="I466" s="177" t="s">
        <v>442</v>
      </c>
      <c r="J466" s="177" t="s">
        <v>777</v>
      </c>
      <c r="K466" s="177" t="s">
        <v>967</v>
      </c>
      <c r="L466" s="177" t="s">
        <v>967</v>
      </c>
    </row>
    <row r="467" spans="1:12" x14ac:dyDescent="0.25">
      <c r="A467" s="10" t="s">
        <v>20</v>
      </c>
      <c r="B467" s="156">
        <v>2857</v>
      </c>
      <c r="C467" s="174">
        <v>3134</v>
      </c>
      <c r="D467" s="156">
        <v>2385</v>
      </c>
      <c r="E467" s="156">
        <v>2926</v>
      </c>
      <c r="F467" s="175">
        <v>2770</v>
      </c>
      <c r="G467" s="156">
        <v>3549</v>
      </c>
      <c r="H467" s="156">
        <v>2896</v>
      </c>
      <c r="I467" s="156">
        <v>2806</v>
      </c>
      <c r="J467" s="156">
        <v>2782</v>
      </c>
      <c r="K467" s="156">
        <v>2446</v>
      </c>
      <c r="L467" s="156"/>
    </row>
    <row r="468" spans="1:12" x14ac:dyDescent="0.25">
      <c r="A468" s="10" t="s">
        <v>21</v>
      </c>
      <c r="B468" s="156">
        <v>932.62</v>
      </c>
      <c r="C468" s="174">
        <v>655.62</v>
      </c>
      <c r="D468" s="156">
        <v>1404.62</v>
      </c>
      <c r="E468" s="156">
        <v>1355.62</v>
      </c>
      <c r="F468" s="175">
        <v>1773.9250000000002</v>
      </c>
      <c r="G468" s="175">
        <f t="shared" ref="G468:L468" si="19">G465-G467</f>
        <v>1158.5</v>
      </c>
      <c r="H468" s="175">
        <f t="shared" si="19"/>
        <v>2302.3999999999996</v>
      </c>
      <c r="I468" s="175">
        <f t="shared" si="19"/>
        <v>2392.3999999999996</v>
      </c>
      <c r="J468" s="156">
        <f t="shared" si="19"/>
        <v>2539.125</v>
      </c>
      <c r="K468" s="156">
        <f t="shared" si="19"/>
        <v>3979.3250000000007</v>
      </c>
      <c r="L468" s="156">
        <f t="shared" si="19"/>
        <v>6425.3250000000007</v>
      </c>
    </row>
    <row r="469" spans="1:12" x14ac:dyDescent="0.25">
      <c r="A469" s="16" t="s">
        <v>22</v>
      </c>
      <c r="B469" s="159">
        <v>2017</v>
      </c>
      <c r="C469" s="178">
        <v>2018</v>
      </c>
      <c r="D469" s="159">
        <v>2019</v>
      </c>
      <c r="E469" s="179">
        <v>2020</v>
      </c>
      <c r="F469" s="179">
        <v>2021</v>
      </c>
      <c r="G469" s="159">
        <v>2022</v>
      </c>
      <c r="H469" s="159">
        <v>2023</v>
      </c>
      <c r="I469" s="159">
        <v>2024</v>
      </c>
      <c r="J469" s="159">
        <v>2025</v>
      </c>
      <c r="K469" s="159">
        <v>2026</v>
      </c>
      <c r="L469" s="180">
        <v>2027</v>
      </c>
    </row>
    <row r="470" spans="1:12" x14ac:dyDescent="0.25">
      <c r="A470" s="16" t="s">
        <v>23</v>
      </c>
      <c r="B470" s="46"/>
      <c r="C470" s="46"/>
      <c r="D470" s="46"/>
      <c r="E470" s="46"/>
      <c r="F470" s="46"/>
      <c r="G470" s="46"/>
      <c r="H470" s="46"/>
      <c r="I470" s="46"/>
      <c r="J470" s="47"/>
      <c r="K470" s="47"/>
      <c r="L470" s="62"/>
    </row>
    <row r="471" spans="1:12" x14ac:dyDescent="0.25">
      <c r="A471" s="16" t="s">
        <v>88</v>
      </c>
      <c r="B471" s="46"/>
      <c r="C471" s="46"/>
      <c r="D471" s="46"/>
      <c r="E471" s="46"/>
      <c r="F471" s="46"/>
      <c r="G471" s="46"/>
      <c r="H471" s="46"/>
      <c r="I471" s="46"/>
      <c r="J471" s="46"/>
      <c r="K471" s="19"/>
      <c r="L471" s="63"/>
    </row>
    <row r="472" spans="1:12" x14ac:dyDescent="0.25">
      <c r="A472" s="682" t="s">
        <v>393</v>
      </c>
      <c r="B472" s="683"/>
      <c r="C472" s="683"/>
      <c r="D472" s="683"/>
      <c r="E472" s="683"/>
      <c r="F472" s="683"/>
      <c r="G472" s="683"/>
      <c r="L472" s="64"/>
    </row>
    <row r="473" spans="1:12" x14ac:dyDescent="0.25">
      <c r="A473" s="39" t="s">
        <v>344</v>
      </c>
      <c r="L473" s="64"/>
    </row>
    <row r="474" spans="1:12" x14ac:dyDescent="0.25">
      <c r="A474" s="39" t="s">
        <v>394</v>
      </c>
      <c r="L474" s="64"/>
    </row>
    <row r="475" spans="1:12" x14ac:dyDescent="0.25">
      <c r="A475" s="39" t="s">
        <v>440</v>
      </c>
      <c r="L475" s="64"/>
    </row>
    <row r="476" spans="1:12" x14ac:dyDescent="0.25">
      <c r="A476" s="39" t="s">
        <v>441</v>
      </c>
      <c r="L476" s="64"/>
    </row>
    <row r="477" spans="1:12" x14ac:dyDescent="0.25">
      <c r="A477" s="39" t="s">
        <v>585</v>
      </c>
      <c r="L477" s="64"/>
    </row>
    <row r="478" spans="1:12" x14ac:dyDescent="0.25">
      <c r="A478" s="682" t="s">
        <v>776</v>
      </c>
      <c r="B478" s="683"/>
      <c r="C478" s="683"/>
      <c r="D478" s="683"/>
      <c r="E478" s="683"/>
      <c r="F478" s="683"/>
      <c r="G478" s="683"/>
      <c r="L478" s="64"/>
    </row>
    <row r="479" spans="1:12" x14ac:dyDescent="0.25">
      <c r="A479" s="161" t="s">
        <v>966</v>
      </c>
      <c r="B479" s="123"/>
      <c r="C479" s="123"/>
      <c r="D479" s="123"/>
      <c r="E479" s="123"/>
      <c r="F479" s="123"/>
      <c r="G479" s="123"/>
      <c r="L479" s="64"/>
    </row>
    <row r="480" spans="1:12" x14ac:dyDescent="0.25">
      <c r="A480" s="171" t="s">
        <v>1120</v>
      </c>
      <c r="B480" s="181"/>
      <c r="C480" s="181"/>
      <c r="D480" s="181"/>
      <c r="E480" s="181"/>
      <c r="F480" s="181"/>
      <c r="G480" s="181"/>
      <c r="H480" s="34"/>
      <c r="I480" s="34"/>
      <c r="J480" s="34"/>
      <c r="K480" s="34"/>
      <c r="L480" s="48"/>
    </row>
    <row r="482" spans="1:13" x14ac:dyDescent="0.25">
      <c r="A482" s="6" t="s">
        <v>14</v>
      </c>
      <c r="B482" s="7" t="s">
        <v>638</v>
      </c>
      <c r="C482" s="9" t="s">
        <v>15</v>
      </c>
    </row>
    <row r="483" spans="1:13" x14ac:dyDescent="0.25">
      <c r="A483" s="10" t="s">
        <v>16</v>
      </c>
      <c r="B483" s="154">
        <v>2015</v>
      </c>
      <c r="C483" s="172">
        <v>2016</v>
      </c>
      <c r="D483" s="154">
        <v>2017</v>
      </c>
      <c r="E483" s="173">
        <v>2018</v>
      </c>
      <c r="F483" s="173">
        <v>2019</v>
      </c>
      <c r="G483" s="154">
        <v>2020</v>
      </c>
      <c r="H483" s="154">
        <v>2021</v>
      </c>
      <c r="I483" s="154">
        <v>2022</v>
      </c>
      <c r="J483" s="154">
        <v>2023</v>
      </c>
      <c r="K483" s="154">
        <v>2024</v>
      </c>
      <c r="L483" s="154">
        <v>2025</v>
      </c>
      <c r="M483" s="154">
        <v>2026</v>
      </c>
    </row>
    <row r="484" spans="1:13" x14ac:dyDescent="0.25">
      <c r="A484" s="10" t="s">
        <v>17</v>
      </c>
      <c r="B484" s="156">
        <v>9400</v>
      </c>
      <c r="C484" s="174">
        <v>9400</v>
      </c>
      <c r="D484" s="156">
        <v>9400</v>
      </c>
      <c r="E484" s="175">
        <v>9400</v>
      </c>
      <c r="F484" s="175">
        <v>9400</v>
      </c>
      <c r="G484" s="156">
        <v>9400</v>
      </c>
      <c r="H484" s="156">
        <v>9400</v>
      </c>
      <c r="I484" s="156">
        <v>9400</v>
      </c>
      <c r="J484" s="156">
        <v>10340</v>
      </c>
      <c r="K484" s="156">
        <v>10340</v>
      </c>
      <c r="L484" s="156">
        <v>10340</v>
      </c>
      <c r="M484" s="156">
        <v>10340</v>
      </c>
    </row>
    <row r="485" spans="1:13" x14ac:dyDescent="0.25">
      <c r="A485" s="10" t="s">
        <v>18</v>
      </c>
      <c r="B485" s="156">
        <v>11506.75</v>
      </c>
      <c r="C485" s="174">
        <v>11750</v>
      </c>
      <c r="D485" s="156">
        <v>11750</v>
      </c>
      <c r="E485" s="175">
        <v>11750</v>
      </c>
      <c r="F485" s="175">
        <f>F484*1.25</f>
        <v>11750</v>
      </c>
      <c r="G485" s="156">
        <f>G484*1.25-200</f>
        <v>11550</v>
      </c>
      <c r="H485" s="156">
        <f>H484+F488</f>
        <v>11524</v>
      </c>
      <c r="I485" s="156">
        <f>I484+G488+85</f>
        <v>11184</v>
      </c>
      <c r="J485" s="156">
        <f>J484+H488</f>
        <v>11345</v>
      </c>
      <c r="K485" s="156">
        <f>K484+139.98</f>
        <v>10479.98</v>
      </c>
      <c r="L485" s="182">
        <f>L484+J488+2135-1425.02</f>
        <v>11499.98</v>
      </c>
      <c r="M485" s="156"/>
    </row>
    <row r="486" spans="1:13" ht="26.4" x14ac:dyDescent="0.25">
      <c r="A486" s="10" t="s">
        <v>19</v>
      </c>
      <c r="B486" s="176" t="s">
        <v>89</v>
      </c>
      <c r="C486" s="176" t="s">
        <v>90</v>
      </c>
      <c r="D486" s="176" t="s">
        <v>90</v>
      </c>
      <c r="E486" s="177" t="s">
        <v>90</v>
      </c>
      <c r="F486" s="177" t="s">
        <v>90</v>
      </c>
      <c r="G486" s="183" t="s">
        <v>346</v>
      </c>
      <c r="H486" s="183" t="s">
        <v>444</v>
      </c>
      <c r="I486" s="183" t="s">
        <v>712</v>
      </c>
      <c r="J486" s="183" t="s">
        <v>870</v>
      </c>
      <c r="K486" s="183" t="s">
        <v>923</v>
      </c>
      <c r="L486" s="184" t="s">
        <v>1144</v>
      </c>
      <c r="M486" s="183"/>
    </row>
    <row r="487" spans="1:13" x14ac:dyDescent="0.25">
      <c r="A487" s="10" t="s">
        <v>20</v>
      </c>
      <c r="B487" s="156">
        <v>7157</v>
      </c>
      <c r="C487" s="174">
        <v>8907</v>
      </c>
      <c r="D487" s="156">
        <v>9090</v>
      </c>
      <c r="E487" s="156">
        <v>9227</v>
      </c>
      <c r="F487" s="175">
        <v>9626</v>
      </c>
      <c r="G487" s="156">
        <v>9851</v>
      </c>
      <c r="H487" s="156">
        <v>10519</v>
      </c>
      <c r="I487" s="156">
        <v>8894</v>
      </c>
      <c r="J487" s="156">
        <v>10895</v>
      </c>
      <c r="K487" s="156">
        <v>11905</v>
      </c>
      <c r="L487" s="156"/>
      <c r="M487" s="156"/>
    </row>
    <row r="488" spans="1:13" x14ac:dyDescent="0.25">
      <c r="A488" s="10" t="s">
        <v>21</v>
      </c>
      <c r="B488" s="156">
        <v>4349.75</v>
      </c>
      <c r="C488" s="174">
        <v>2843</v>
      </c>
      <c r="D488" s="156">
        <v>2660</v>
      </c>
      <c r="E488" s="156">
        <v>2523</v>
      </c>
      <c r="F488" s="175">
        <f>F485-F487</f>
        <v>2124</v>
      </c>
      <c r="G488" s="156">
        <f>G485-G487</f>
        <v>1699</v>
      </c>
      <c r="H488" s="156">
        <v>1005</v>
      </c>
      <c r="I488" s="156">
        <f>I485-I487</f>
        <v>2290</v>
      </c>
      <c r="J488" s="156">
        <f>J485-J487</f>
        <v>450</v>
      </c>
      <c r="K488" s="182">
        <f t="shared" ref="K488" si="20">K485-K487</f>
        <v>-1425.0200000000004</v>
      </c>
      <c r="L488" s="156"/>
      <c r="M488" s="156"/>
    </row>
    <row r="489" spans="1:13" ht="52.8" x14ac:dyDescent="0.25">
      <c r="A489" s="16" t="s">
        <v>22</v>
      </c>
      <c r="B489" s="159">
        <v>2017</v>
      </c>
      <c r="C489" s="178">
        <v>2018</v>
      </c>
      <c r="D489" s="159">
        <v>2019</v>
      </c>
      <c r="E489" s="179">
        <v>2020</v>
      </c>
      <c r="F489" s="179">
        <v>2021</v>
      </c>
      <c r="G489" s="179">
        <v>2022</v>
      </c>
      <c r="H489" s="179">
        <v>2023</v>
      </c>
      <c r="I489" s="179">
        <v>2024</v>
      </c>
      <c r="J489" s="179">
        <v>2025</v>
      </c>
      <c r="K489" s="179">
        <v>2026</v>
      </c>
      <c r="L489" s="185" t="s">
        <v>1158</v>
      </c>
      <c r="M489" s="179">
        <v>2028</v>
      </c>
    </row>
    <row r="490" spans="1:13" x14ac:dyDescent="0.25">
      <c r="A490" s="29" t="s">
        <v>23</v>
      </c>
      <c r="B490" s="680"/>
      <c r="C490" s="680"/>
      <c r="D490" s="680"/>
      <c r="E490" s="680"/>
      <c r="F490" s="680"/>
      <c r="G490" s="680"/>
      <c r="H490" s="680"/>
      <c r="I490" s="680"/>
      <c r="J490" s="680"/>
      <c r="K490" s="680"/>
      <c r="L490" s="680"/>
      <c r="M490" s="681"/>
    </row>
    <row r="491" spans="1:13" x14ac:dyDescent="0.25">
      <c r="A491" s="682" t="s">
        <v>91</v>
      </c>
      <c r="B491" s="683"/>
      <c r="C491" s="683"/>
      <c r="D491" s="683"/>
      <c r="E491" s="683"/>
      <c r="F491" s="683"/>
      <c r="M491" s="64"/>
    </row>
    <row r="492" spans="1:13" x14ac:dyDescent="0.25">
      <c r="A492" s="161" t="s">
        <v>345</v>
      </c>
      <c r="B492" s="32"/>
      <c r="C492" s="32"/>
      <c r="D492" s="32"/>
      <c r="E492" s="32"/>
      <c r="F492" s="32"/>
      <c r="M492" s="64"/>
    </row>
    <row r="493" spans="1:13" x14ac:dyDescent="0.25">
      <c r="A493" s="161" t="s">
        <v>443</v>
      </c>
      <c r="B493" s="32"/>
      <c r="C493" s="32"/>
      <c r="D493" s="32"/>
      <c r="E493" s="32"/>
      <c r="F493" s="32"/>
      <c r="M493" s="64"/>
    </row>
    <row r="494" spans="1:13" x14ac:dyDescent="0.25">
      <c r="A494" s="161" t="s">
        <v>713</v>
      </c>
      <c r="B494" s="32"/>
      <c r="C494" s="32"/>
      <c r="D494" s="32"/>
      <c r="E494" s="32"/>
      <c r="F494" s="32"/>
      <c r="M494" s="64"/>
    </row>
    <row r="495" spans="1:13" x14ac:dyDescent="0.25">
      <c r="A495" s="161" t="s">
        <v>871</v>
      </c>
      <c r="B495" s="32"/>
      <c r="C495" s="32"/>
      <c r="D495" s="32"/>
      <c r="E495" s="32"/>
      <c r="F495" s="32"/>
      <c r="M495" s="64"/>
    </row>
    <row r="496" spans="1:13" x14ac:dyDescent="0.25">
      <c r="A496" s="161" t="s">
        <v>993</v>
      </c>
      <c r="B496" s="32"/>
      <c r="C496" s="32"/>
      <c r="D496" s="32"/>
      <c r="E496" s="32"/>
      <c r="F496" s="32"/>
      <c r="M496" s="64"/>
    </row>
    <row r="497" spans="1:13" x14ac:dyDescent="0.25">
      <c r="A497" s="162" t="s">
        <v>1145</v>
      </c>
      <c r="B497" s="22"/>
      <c r="C497" s="22"/>
      <c r="D497" s="22"/>
      <c r="E497" s="22"/>
      <c r="F497" s="22"/>
      <c r="G497" s="34"/>
      <c r="H497" s="34"/>
      <c r="I497" s="34"/>
      <c r="J497" s="34"/>
      <c r="K497" s="34"/>
      <c r="L497" s="34"/>
      <c r="M497" s="48"/>
    </row>
    <row r="499" spans="1:13" x14ac:dyDescent="0.25">
      <c r="A499" s="6" t="s">
        <v>14</v>
      </c>
      <c r="B499" s="7" t="s">
        <v>623</v>
      </c>
      <c r="C499" s="9" t="s">
        <v>15</v>
      </c>
    </row>
    <row r="500" spans="1:13" x14ac:dyDescent="0.25">
      <c r="A500" s="10" t="s">
        <v>16</v>
      </c>
      <c r="B500" s="154">
        <v>2015</v>
      </c>
      <c r="C500" s="172">
        <v>2016</v>
      </c>
      <c r="D500" s="154">
        <v>2017</v>
      </c>
      <c r="E500" s="173">
        <v>2018</v>
      </c>
      <c r="F500" s="173">
        <v>2019</v>
      </c>
      <c r="G500" s="154">
        <v>2020</v>
      </c>
      <c r="H500" s="154">
        <v>2021</v>
      </c>
      <c r="I500" s="154">
        <v>2022</v>
      </c>
      <c r="J500" s="154">
        <v>2023</v>
      </c>
      <c r="K500" s="154">
        <v>2024</v>
      </c>
      <c r="L500" s="154">
        <v>2025</v>
      </c>
    </row>
    <row r="501" spans="1:13" x14ac:dyDescent="0.25">
      <c r="A501" s="10" t="s">
        <v>17</v>
      </c>
      <c r="B501" s="156">
        <v>270</v>
      </c>
      <c r="C501" s="174">
        <v>270</v>
      </c>
      <c r="D501" s="156">
        <v>270</v>
      </c>
      <c r="E501" s="175">
        <v>270</v>
      </c>
      <c r="F501" s="175">
        <v>270</v>
      </c>
      <c r="G501" s="156">
        <v>270</v>
      </c>
      <c r="H501" s="156">
        <v>270</v>
      </c>
      <c r="I501" s="156">
        <v>270</v>
      </c>
      <c r="J501" s="156">
        <v>270</v>
      </c>
      <c r="K501" s="156">
        <v>270</v>
      </c>
      <c r="L501" s="156">
        <v>270</v>
      </c>
    </row>
    <row r="502" spans="1:13" x14ac:dyDescent="0.25">
      <c r="A502" s="10" t="s">
        <v>18</v>
      </c>
      <c r="B502" s="156">
        <v>370</v>
      </c>
      <c r="C502" s="174">
        <v>370</v>
      </c>
      <c r="D502" s="156">
        <v>370</v>
      </c>
      <c r="E502" s="175">
        <v>343</v>
      </c>
      <c r="F502" s="175">
        <v>343</v>
      </c>
      <c r="G502" s="156">
        <f>G501*1.4-35-20</f>
        <v>323</v>
      </c>
      <c r="H502" s="156">
        <f>H501*1.4-35-20</f>
        <v>323</v>
      </c>
      <c r="I502" s="156">
        <f>I501*1.4-35-20</f>
        <v>323</v>
      </c>
      <c r="J502" s="156">
        <v>323</v>
      </c>
      <c r="K502" s="156">
        <f>K501+0.4*I501-35-20</f>
        <v>323</v>
      </c>
      <c r="L502" s="156">
        <v>378</v>
      </c>
    </row>
    <row r="503" spans="1:13" x14ac:dyDescent="0.25">
      <c r="A503" s="10" t="s">
        <v>19</v>
      </c>
      <c r="B503" s="176" t="s">
        <v>92</v>
      </c>
      <c r="C503" s="176" t="s">
        <v>92</v>
      </c>
      <c r="D503" s="176" t="s">
        <v>92</v>
      </c>
      <c r="E503" s="177" t="s">
        <v>93</v>
      </c>
      <c r="F503" s="177" t="s">
        <v>93</v>
      </c>
      <c r="G503" s="183" t="s">
        <v>351</v>
      </c>
      <c r="H503" s="183" t="s">
        <v>351</v>
      </c>
      <c r="I503" s="183" t="s">
        <v>351</v>
      </c>
      <c r="J503" s="183" t="s">
        <v>351</v>
      </c>
      <c r="K503" s="183" t="s">
        <v>351</v>
      </c>
      <c r="L503" s="156" t="s">
        <v>1156</v>
      </c>
    </row>
    <row r="504" spans="1:13" x14ac:dyDescent="0.25">
      <c r="A504" s="10" t="s">
        <v>20</v>
      </c>
      <c r="B504" s="156">
        <v>115</v>
      </c>
      <c r="C504" s="156">
        <v>151.72</v>
      </c>
      <c r="D504" s="156">
        <v>95.51</v>
      </c>
      <c r="E504" s="156">
        <v>169.22</v>
      </c>
      <c r="F504" s="175">
        <v>122.25</v>
      </c>
      <c r="G504" s="156">
        <v>157.75</v>
      </c>
      <c r="H504" s="156">
        <v>68</v>
      </c>
      <c r="I504" s="156">
        <v>150</v>
      </c>
      <c r="J504" s="156">
        <v>183</v>
      </c>
      <c r="K504" s="156">
        <v>199</v>
      </c>
      <c r="L504" s="156"/>
    </row>
    <row r="505" spans="1:13" x14ac:dyDescent="0.25">
      <c r="A505" s="10" t="s">
        <v>21</v>
      </c>
      <c r="B505" s="156">
        <v>255</v>
      </c>
      <c r="C505" s="156">
        <f>C502-C504</f>
        <v>218.28</v>
      </c>
      <c r="D505" s="156">
        <f>D502-D504</f>
        <v>274.49</v>
      </c>
      <c r="E505" s="156">
        <v>173.78</v>
      </c>
      <c r="F505" s="175">
        <f t="shared" ref="F505:K505" si="21">F502-F504</f>
        <v>220.75</v>
      </c>
      <c r="G505" s="156">
        <f t="shared" si="21"/>
        <v>165.25</v>
      </c>
      <c r="H505" s="156">
        <f t="shared" si="21"/>
        <v>255</v>
      </c>
      <c r="I505" s="156">
        <f t="shared" si="21"/>
        <v>173</v>
      </c>
      <c r="J505" s="156">
        <f t="shared" si="21"/>
        <v>140</v>
      </c>
      <c r="K505" s="156">
        <f t="shared" si="21"/>
        <v>124</v>
      </c>
      <c r="L505" s="156"/>
    </row>
    <row r="506" spans="1:13" x14ac:dyDescent="0.25">
      <c r="A506" s="16" t="s">
        <v>22</v>
      </c>
      <c r="B506" s="159">
        <v>2017</v>
      </c>
      <c r="C506" s="178">
        <v>2018</v>
      </c>
      <c r="D506" s="159">
        <v>2019</v>
      </c>
      <c r="E506" s="179">
        <v>2020</v>
      </c>
      <c r="F506" s="179">
        <v>2021</v>
      </c>
      <c r="G506" s="179">
        <v>2022</v>
      </c>
      <c r="H506" s="179">
        <v>2023</v>
      </c>
      <c r="I506" s="179">
        <v>2024</v>
      </c>
      <c r="J506" s="179">
        <v>2025</v>
      </c>
      <c r="K506" s="179">
        <v>2026</v>
      </c>
      <c r="L506" s="179">
        <v>2027</v>
      </c>
    </row>
    <row r="507" spans="1:13" x14ac:dyDescent="0.25">
      <c r="A507" s="16" t="s">
        <v>23</v>
      </c>
      <c r="B507" s="16"/>
      <c r="C507" s="46"/>
      <c r="D507" s="46"/>
      <c r="E507" s="46"/>
      <c r="F507" s="46"/>
      <c r="G507" s="46"/>
      <c r="H507" s="46"/>
      <c r="I507" s="46"/>
      <c r="J507" s="47"/>
      <c r="K507" s="47"/>
      <c r="L507" s="187"/>
    </row>
    <row r="508" spans="1:13" x14ac:dyDescent="0.25">
      <c r="A508" s="725" t="s">
        <v>94</v>
      </c>
      <c r="B508" s="726"/>
      <c r="C508" s="726"/>
      <c r="D508" s="726"/>
      <c r="E508" s="726"/>
      <c r="F508" s="726"/>
      <c r="G508" s="46"/>
      <c r="H508" s="46"/>
      <c r="I508" s="46"/>
      <c r="J508" s="46"/>
      <c r="K508" s="19"/>
      <c r="L508" s="63"/>
    </row>
    <row r="509" spans="1:13" x14ac:dyDescent="0.25">
      <c r="A509" s="161" t="s">
        <v>348</v>
      </c>
      <c r="B509" s="32"/>
      <c r="C509" s="32"/>
      <c r="D509" s="32"/>
      <c r="E509" s="32"/>
      <c r="F509" s="32"/>
      <c r="L509" s="64"/>
    </row>
    <row r="510" spans="1:13" x14ac:dyDescent="0.25">
      <c r="A510" s="161" t="s">
        <v>349</v>
      </c>
      <c r="B510" s="32"/>
      <c r="C510" s="32"/>
      <c r="D510" s="32"/>
      <c r="E510" s="32"/>
      <c r="F510" s="32"/>
      <c r="L510" s="64"/>
    </row>
    <row r="511" spans="1:13" ht="13.2" customHeight="1" x14ac:dyDescent="0.25">
      <c r="A511" s="39" t="s">
        <v>350</v>
      </c>
      <c r="L511" s="64"/>
    </row>
    <row r="512" spans="1:13" x14ac:dyDescent="0.25">
      <c r="A512" s="161" t="s">
        <v>445</v>
      </c>
      <c r="B512" s="32"/>
      <c r="C512" s="32"/>
      <c r="D512" s="32"/>
      <c r="E512" s="32"/>
      <c r="F512" s="32"/>
      <c r="L512" s="64"/>
    </row>
    <row r="513" spans="1:12" x14ac:dyDescent="0.25">
      <c r="A513" s="161" t="s">
        <v>446</v>
      </c>
      <c r="B513" s="32"/>
      <c r="C513" s="32"/>
      <c r="D513" s="32"/>
      <c r="E513" s="32"/>
      <c r="F513" s="32"/>
      <c r="L513" s="64"/>
    </row>
    <row r="514" spans="1:12" x14ac:dyDescent="0.25">
      <c r="A514" s="39" t="s">
        <v>655</v>
      </c>
      <c r="B514" s="32"/>
      <c r="C514" s="32"/>
      <c r="D514" s="32"/>
      <c r="E514" s="32"/>
      <c r="F514" s="32"/>
      <c r="L514" s="64"/>
    </row>
    <row r="515" spans="1:12" x14ac:dyDescent="0.25">
      <c r="A515" s="39" t="s">
        <v>778</v>
      </c>
      <c r="L515" s="64"/>
    </row>
    <row r="516" spans="1:12" x14ac:dyDescent="0.25">
      <c r="A516" s="39" t="s">
        <v>968</v>
      </c>
      <c r="L516" s="64"/>
    </row>
    <row r="517" spans="1:12" x14ac:dyDescent="0.25">
      <c r="A517" s="42" t="s">
        <v>1157</v>
      </c>
      <c r="B517" s="34"/>
      <c r="C517" s="34"/>
      <c r="D517" s="34"/>
      <c r="E517" s="34"/>
      <c r="F517" s="34"/>
      <c r="G517" s="34"/>
      <c r="H517" s="34"/>
      <c r="I517" s="34"/>
      <c r="J517" s="34"/>
      <c r="K517" s="34"/>
      <c r="L517" s="48"/>
    </row>
    <row r="519" spans="1:12" x14ac:dyDescent="0.25">
      <c r="A519" s="6" t="s">
        <v>14</v>
      </c>
      <c r="B519" s="7" t="s">
        <v>641</v>
      </c>
      <c r="C519" s="9" t="s">
        <v>15</v>
      </c>
    </row>
    <row r="520" spans="1:12" x14ac:dyDescent="0.25">
      <c r="A520" s="10" t="s">
        <v>16</v>
      </c>
      <c r="B520" s="154">
        <v>2015</v>
      </c>
      <c r="C520" s="172">
        <v>2016</v>
      </c>
      <c r="D520" s="154">
        <v>2017</v>
      </c>
      <c r="E520" s="173">
        <v>2018</v>
      </c>
      <c r="F520" s="173">
        <v>2019</v>
      </c>
      <c r="G520" s="154">
        <v>2020</v>
      </c>
      <c r="H520" s="154">
        <v>2021</v>
      </c>
      <c r="I520" s="154">
        <v>2022</v>
      </c>
      <c r="J520" s="154">
        <v>2023</v>
      </c>
      <c r="K520" s="154">
        <v>2024</v>
      </c>
      <c r="L520" s="90">
        <v>2025</v>
      </c>
    </row>
    <row r="521" spans="1:12" x14ac:dyDescent="0.25">
      <c r="A521" s="10" t="s">
        <v>17</v>
      </c>
      <c r="B521" s="156">
        <v>459</v>
      </c>
      <c r="C521" s="174">
        <v>459</v>
      </c>
      <c r="D521" s="156">
        <v>459</v>
      </c>
      <c r="E521" s="175">
        <v>459</v>
      </c>
      <c r="F521" s="175">
        <v>459</v>
      </c>
      <c r="G521" s="156">
        <v>459</v>
      </c>
      <c r="H521" s="156">
        <v>459</v>
      </c>
      <c r="I521" s="156">
        <v>459</v>
      </c>
      <c r="J521" s="156">
        <v>459</v>
      </c>
      <c r="K521" s="156">
        <v>459</v>
      </c>
      <c r="L521" s="90">
        <v>459</v>
      </c>
    </row>
    <row r="522" spans="1:12" x14ac:dyDescent="0.25">
      <c r="A522" s="10" t="s">
        <v>18</v>
      </c>
      <c r="B522" s="156">
        <v>587.9</v>
      </c>
      <c r="C522" s="174">
        <v>535.9</v>
      </c>
      <c r="D522" s="156">
        <v>516.9</v>
      </c>
      <c r="E522" s="175">
        <v>559.9</v>
      </c>
      <c r="F522" s="175">
        <v>546.79999999999995</v>
      </c>
      <c r="G522" s="156">
        <v>550.79999999999995</v>
      </c>
      <c r="H522" s="156">
        <v>550.79999999999995</v>
      </c>
      <c r="I522" s="156">
        <f>I521+H525</f>
        <v>477.79999999999995</v>
      </c>
      <c r="J522" s="156">
        <f>J521+0.1*I521</f>
        <v>504.9</v>
      </c>
      <c r="K522" s="156">
        <f>K521+0.1*J521</f>
        <v>504.9</v>
      </c>
      <c r="L522" s="90">
        <v>504.9</v>
      </c>
    </row>
    <row r="523" spans="1:12" x14ac:dyDescent="0.25">
      <c r="A523" s="10" t="s">
        <v>19</v>
      </c>
      <c r="B523" s="176" t="s">
        <v>95</v>
      </c>
      <c r="C523" s="176" t="s">
        <v>96</v>
      </c>
      <c r="D523" s="176" t="s">
        <v>97</v>
      </c>
      <c r="E523" s="177" t="s">
        <v>376</v>
      </c>
      <c r="F523" s="177" t="s">
        <v>377</v>
      </c>
      <c r="G523" s="11" t="s">
        <v>352</v>
      </c>
      <c r="H523" s="11" t="s">
        <v>352</v>
      </c>
      <c r="I523" s="11" t="str">
        <f>"=459+18.8"</f>
        <v>=459+18.8</v>
      </c>
      <c r="J523" s="11" t="s">
        <v>779</v>
      </c>
      <c r="K523" s="11" t="s">
        <v>779</v>
      </c>
      <c r="L523" s="90" t="s">
        <v>779</v>
      </c>
    </row>
    <row r="524" spans="1:12" x14ac:dyDescent="0.25">
      <c r="A524" s="10" t="s">
        <v>20</v>
      </c>
      <c r="B524" s="156">
        <v>511</v>
      </c>
      <c r="C524" s="174">
        <v>478</v>
      </c>
      <c r="D524" s="156">
        <v>416</v>
      </c>
      <c r="E524" s="156">
        <v>472.1</v>
      </c>
      <c r="F524" s="175">
        <v>395.31</v>
      </c>
      <c r="G524" s="156">
        <v>353.05</v>
      </c>
      <c r="H524" s="156">
        <v>532</v>
      </c>
      <c r="I524" s="156">
        <v>420</v>
      </c>
      <c r="J524" s="156">
        <v>379</v>
      </c>
      <c r="K524" s="156">
        <v>459</v>
      </c>
      <c r="L524" s="90"/>
    </row>
    <row r="525" spans="1:12" x14ac:dyDescent="0.25">
      <c r="A525" s="10" t="s">
        <v>21</v>
      </c>
      <c r="B525" s="156">
        <v>76.900000000000006</v>
      </c>
      <c r="C525" s="174">
        <v>57.9</v>
      </c>
      <c r="D525" s="156">
        <v>100.9</v>
      </c>
      <c r="E525" s="156">
        <v>87.799999999999955</v>
      </c>
      <c r="F525" s="175">
        <v>151.48999999999995</v>
      </c>
      <c r="G525" s="156">
        <f>G522-G524</f>
        <v>197.74999999999994</v>
      </c>
      <c r="H525" s="156">
        <f>H522-H524</f>
        <v>18.799999999999955</v>
      </c>
      <c r="I525" s="156">
        <f>I522-I524</f>
        <v>57.799999999999955</v>
      </c>
      <c r="J525" s="156">
        <f>J522-J524</f>
        <v>125.89999999999998</v>
      </c>
      <c r="K525" s="156">
        <f>K522-K524</f>
        <v>45.899999999999977</v>
      </c>
      <c r="L525" s="90"/>
    </row>
    <row r="526" spans="1:12" x14ac:dyDescent="0.25">
      <c r="A526" s="16" t="s">
        <v>22</v>
      </c>
      <c r="B526" s="159">
        <v>2016</v>
      </c>
      <c r="C526" s="178">
        <v>2017</v>
      </c>
      <c r="D526" s="159">
        <v>2018</v>
      </c>
      <c r="E526" s="179">
        <v>2019</v>
      </c>
      <c r="F526" s="179">
        <v>2020</v>
      </c>
      <c r="G526" s="179">
        <v>2021</v>
      </c>
      <c r="H526" s="179">
        <v>2022</v>
      </c>
      <c r="I526" s="179">
        <v>2023</v>
      </c>
      <c r="J526" s="179">
        <v>2024</v>
      </c>
      <c r="K526" s="179">
        <v>2025</v>
      </c>
      <c r="L526" s="90">
        <v>2026</v>
      </c>
    </row>
    <row r="527" spans="1:12" x14ac:dyDescent="0.25">
      <c r="A527" s="16" t="s">
        <v>23</v>
      </c>
      <c r="B527" s="29"/>
      <c r="C527" s="30"/>
      <c r="D527" s="30"/>
      <c r="E527" s="30"/>
      <c r="F527" s="30"/>
      <c r="G527" s="30"/>
      <c r="H527" s="30"/>
      <c r="I527" s="30"/>
      <c r="J527" s="30"/>
      <c r="K527" s="30"/>
      <c r="L527" s="88"/>
    </row>
    <row r="528" spans="1:12" ht="13.2" customHeight="1" x14ac:dyDescent="0.25">
      <c r="A528" s="18" t="s">
        <v>98</v>
      </c>
      <c r="B528" s="19"/>
      <c r="C528" s="19"/>
      <c r="D528" s="19"/>
      <c r="E528" s="19"/>
      <c r="F528" s="19"/>
      <c r="G528" s="19"/>
      <c r="H528" s="19"/>
      <c r="I528" s="19"/>
      <c r="J528" s="19"/>
      <c r="K528" s="19"/>
      <c r="L528" s="63"/>
    </row>
    <row r="529" spans="1:12" ht="13.2" customHeight="1" x14ac:dyDescent="0.25">
      <c r="A529" s="682" t="s">
        <v>378</v>
      </c>
      <c r="B529" s="683"/>
      <c r="C529" s="683"/>
      <c r="D529" s="683"/>
      <c r="E529" s="683"/>
      <c r="F529" s="683"/>
      <c r="L529" s="64"/>
    </row>
    <row r="530" spans="1:12" x14ac:dyDescent="0.25">
      <c r="A530" s="161" t="s">
        <v>353</v>
      </c>
      <c r="B530" s="32"/>
      <c r="C530" s="32"/>
      <c r="D530" s="32"/>
      <c r="E530" s="32"/>
      <c r="F530" s="32"/>
      <c r="L530" s="64"/>
    </row>
    <row r="531" spans="1:12" x14ac:dyDescent="0.25">
      <c r="A531" s="161" t="s">
        <v>354</v>
      </c>
      <c r="B531" s="32"/>
      <c r="C531" s="32"/>
      <c r="D531" s="32"/>
      <c r="E531" s="32"/>
      <c r="F531" s="32"/>
      <c r="L531" s="64"/>
    </row>
    <row r="532" spans="1:12" ht="13.2" customHeight="1" x14ac:dyDescent="0.25">
      <c r="A532" s="161" t="s">
        <v>447</v>
      </c>
      <c r="B532" s="32"/>
      <c r="C532" s="32"/>
      <c r="D532" s="32"/>
      <c r="E532" s="32"/>
      <c r="F532" s="32"/>
      <c r="L532" s="64"/>
    </row>
    <row r="533" spans="1:12" ht="13.2" customHeight="1" x14ac:dyDescent="0.25">
      <c r="A533" s="161" t="s">
        <v>448</v>
      </c>
      <c r="B533" s="32"/>
      <c r="C533" s="32"/>
      <c r="D533" s="32"/>
      <c r="E533" s="32"/>
      <c r="F533" s="32"/>
      <c r="L533" s="64"/>
    </row>
    <row r="534" spans="1:12" ht="13.2" customHeight="1" x14ac:dyDescent="0.25">
      <c r="A534" s="161" t="s">
        <v>656</v>
      </c>
      <c r="B534" s="32"/>
      <c r="C534" s="32"/>
      <c r="D534" s="32"/>
      <c r="E534" s="32"/>
      <c r="F534" s="32"/>
      <c r="L534" s="64"/>
    </row>
    <row r="535" spans="1:12" ht="12.75" customHeight="1" x14ac:dyDescent="0.25">
      <c r="A535" s="161" t="s">
        <v>780</v>
      </c>
      <c r="B535" s="32"/>
      <c r="C535" s="32"/>
      <c r="D535" s="32"/>
      <c r="E535" s="32"/>
      <c r="F535" s="32"/>
      <c r="L535" s="64"/>
    </row>
    <row r="536" spans="1:12" ht="12.75" customHeight="1" x14ac:dyDescent="0.25">
      <c r="A536" s="161" t="s">
        <v>1159</v>
      </c>
      <c r="B536" s="32"/>
      <c r="C536" s="32"/>
      <c r="D536" s="32"/>
      <c r="E536" s="32"/>
      <c r="F536" s="32"/>
      <c r="L536" s="64"/>
    </row>
    <row r="537" spans="1:12" ht="12.75" customHeight="1" x14ac:dyDescent="0.25">
      <c r="A537" s="162" t="s">
        <v>1160</v>
      </c>
      <c r="B537" s="22"/>
      <c r="C537" s="22"/>
      <c r="D537" s="22"/>
      <c r="E537" s="22"/>
      <c r="F537" s="22"/>
      <c r="G537" s="34"/>
      <c r="H537" s="34"/>
      <c r="I537" s="34"/>
      <c r="J537" s="34"/>
      <c r="K537" s="34"/>
      <c r="L537" s="48"/>
    </row>
    <row r="539" spans="1:12" x14ac:dyDescent="0.25">
      <c r="A539" s="6" t="s">
        <v>14</v>
      </c>
      <c r="B539" s="7" t="s">
        <v>642</v>
      </c>
      <c r="C539" s="9" t="s">
        <v>15</v>
      </c>
    </row>
    <row r="540" spans="1:12" x14ac:dyDescent="0.25">
      <c r="A540" s="10" t="s">
        <v>16</v>
      </c>
      <c r="B540" s="154">
        <v>2015</v>
      </c>
      <c r="C540" s="172">
        <v>2016</v>
      </c>
      <c r="D540" s="154">
        <v>2017</v>
      </c>
      <c r="E540" s="173">
        <v>2018</v>
      </c>
      <c r="F540" s="173">
        <v>2019</v>
      </c>
      <c r="G540" s="154">
        <v>2020</v>
      </c>
      <c r="H540" s="154">
        <v>2021</v>
      </c>
      <c r="I540" s="154">
        <v>2022</v>
      </c>
      <c r="J540" s="154">
        <v>2023</v>
      </c>
      <c r="K540" s="154">
        <v>2024</v>
      </c>
      <c r="L540" s="154">
        <v>2025</v>
      </c>
    </row>
    <row r="541" spans="1:12" x14ac:dyDescent="0.25">
      <c r="A541" s="10" t="s">
        <v>17</v>
      </c>
      <c r="B541" s="12">
        <v>48.76</v>
      </c>
      <c r="C541" s="188">
        <v>58.28</v>
      </c>
      <c r="D541" s="12">
        <v>69.97</v>
      </c>
      <c r="E541" s="189">
        <v>79</v>
      </c>
      <c r="F541" s="189">
        <v>84</v>
      </c>
      <c r="G541" s="12">
        <v>90</v>
      </c>
      <c r="H541" s="12">
        <v>90</v>
      </c>
      <c r="I541" s="12">
        <v>90</v>
      </c>
      <c r="J541" s="12">
        <v>101</v>
      </c>
      <c r="K541" s="182">
        <v>101</v>
      </c>
      <c r="L541" s="182">
        <v>101</v>
      </c>
    </row>
    <row r="542" spans="1:12" x14ac:dyDescent="0.25">
      <c r="A542" s="10" t="s">
        <v>18</v>
      </c>
      <c r="B542" s="12">
        <v>38.76</v>
      </c>
      <c r="C542" s="188">
        <v>48.28</v>
      </c>
      <c r="D542" s="12">
        <v>59.97</v>
      </c>
      <c r="E542" s="189">
        <v>29</v>
      </c>
      <c r="F542" s="189">
        <v>34</v>
      </c>
      <c r="G542" s="12">
        <f>G541-50</f>
        <v>40</v>
      </c>
      <c r="H542" s="12">
        <f>H541-50</f>
        <v>40</v>
      </c>
      <c r="I542" s="12">
        <f>I541-50</f>
        <v>40</v>
      </c>
      <c r="J542" s="12">
        <v>51</v>
      </c>
      <c r="K542" s="182">
        <v>51</v>
      </c>
      <c r="L542" s="182">
        <v>51</v>
      </c>
    </row>
    <row r="543" spans="1:12" x14ac:dyDescent="0.25">
      <c r="A543" s="10" t="s">
        <v>19</v>
      </c>
      <c r="B543" s="190" t="s">
        <v>99</v>
      </c>
      <c r="C543" s="190" t="s">
        <v>100</v>
      </c>
      <c r="D543" s="190" t="s">
        <v>101</v>
      </c>
      <c r="E543" s="191" t="s">
        <v>102</v>
      </c>
      <c r="F543" s="191" t="s">
        <v>103</v>
      </c>
      <c r="G543" s="183" t="s">
        <v>355</v>
      </c>
      <c r="H543" s="183" t="s">
        <v>355</v>
      </c>
      <c r="I543" s="183" t="s">
        <v>355</v>
      </c>
      <c r="J543" s="183" t="s">
        <v>781</v>
      </c>
      <c r="K543" s="192" t="s">
        <v>1161</v>
      </c>
      <c r="L543" s="193" t="s">
        <v>1161</v>
      </c>
    </row>
    <row r="544" spans="1:12" x14ac:dyDescent="0.25">
      <c r="A544" s="10" t="s">
        <v>20</v>
      </c>
      <c r="B544" s="12">
        <v>0</v>
      </c>
      <c r="C544" s="188">
        <v>0</v>
      </c>
      <c r="D544" s="12">
        <v>0</v>
      </c>
      <c r="E544" s="12">
        <v>0</v>
      </c>
      <c r="F544" s="189">
        <v>0</v>
      </c>
      <c r="G544" s="12">
        <v>0</v>
      </c>
      <c r="H544" s="12">
        <v>0</v>
      </c>
      <c r="I544" s="12">
        <v>0</v>
      </c>
      <c r="J544" s="12">
        <v>0</v>
      </c>
      <c r="K544" s="182">
        <v>0</v>
      </c>
      <c r="L544" s="156"/>
    </row>
    <row r="545" spans="1:12" x14ac:dyDescent="0.25">
      <c r="A545" s="10" t="s">
        <v>21</v>
      </c>
      <c r="B545" s="12">
        <v>38.76</v>
      </c>
      <c r="C545" s="188">
        <v>48.28</v>
      </c>
      <c r="D545" s="12">
        <v>59.97</v>
      </c>
      <c r="E545" s="12">
        <v>29</v>
      </c>
      <c r="F545" s="189">
        <f>F542-F544</f>
        <v>34</v>
      </c>
      <c r="G545" s="12">
        <f>G542-G544</f>
        <v>40</v>
      </c>
      <c r="H545" s="12">
        <f>H542-H544</f>
        <v>40</v>
      </c>
      <c r="I545" s="12">
        <f>I542-I544</f>
        <v>40</v>
      </c>
      <c r="J545" s="12">
        <f t="shared" ref="J545" si="22">J542-J544</f>
        <v>51</v>
      </c>
      <c r="K545" s="12">
        <f>K542-K544</f>
        <v>51</v>
      </c>
      <c r="L545" s="156"/>
    </row>
    <row r="546" spans="1:12" x14ac:dyDescent="0.25">
      <c r="A546" s="16" t="s">
        <v>22</v>
      </c>
      <c r="B546" s="159">
        <v>2016</v>
      </c>
      <c r="C546" s="159">
        <v>2017</v>
      </c>
      <c r="D546" s="159">
        <v>2018</v>
      </c>
      <c r="E546" s="159">
        <v>2019</v>
      </c>
      <c r="F546" s="159">
        <v>2020</v>
      </c>
      <c r="G546" s="159">
        <v>2021</v>
      </c>
      <c r="H546" s="159">
        <v>2022</v>
      </c>
      <c r="I546" s="159">
        <v>2023</v>
      </c>
      <c r="J546" s="159">
        <v>2024</v>
      </c>
      <c r="K546" s="159">
        <v>2025</v>
      </c>
      <c r="L546" s="194">
        <v>2026</v>
      </c>
    </row>
    <row r="547" spans="1:12" x14ac:dyDescent="0.25">
      <c r="A547" s="16" t="s">
        <v>23</v>
      </c>
      <c r="B547" s="46"/>
      <c r="C547" s="46"/>
      <c r="D547" s="46"/>
      <c r="E547" s="46"/>
      <c r="F547" s="46"/>
      <c r="G547" s="46"/>
      <c r="H547" s="46"/>
      <c r="I547" s="46"/>
      <c r="J547" s="47"/>
      <c r="K547" s="47"/>
      <c r="L547" s="90"/>
    </row>
    <row r="548" spans="1:12" x14ac:dyDescent="0.25">
      <c r="A548" s="18" t="s">
        <v>104</v>
      </c>
      <c r="B548" s="19"/>
      <c r="C548" s="19"/>
      <c r="D548" s="19"/>
      <c r="E548" s="19"/>
      <c r="F548" s="19"/>
      <c r="G548" s="19"/>
      <c r="H548" s="19"/>
      <c r="I548" s="19"/>
      <c r="J548" s="19"/>
      <c r="K548" s="19"/>
      <c r="L548" s="63"/>
    </row>
    <row r="549" spans="1:12" x14ac:dyDescent="0.25">
      <c r="A549" s="39" t="s">
        <v>356</v>
      </c>
      <c r="L549" s="64"/>
    </row>
    <row r="550" spans="1:12" x14ac:dyDescent="0.25">
      <c r="A550" s="39" t="s">
        <v>449</v>
      </c>
      <c r="L550" s="64"/>
    </row>
    <row r="551" spans="1:12" x14ac:dyDescent="0.25">
      <c r="A551" s="39" t="s">
        <v>657</v>
      </c>
      <c r="L551" s="64"/>
    </row>
    <row r="552" spans="1:12" x14ac:dyDescent="0.25">
      <c r="A552" s="39" t="s">
        <v>782</v>
      </c>
      <c r="L552" s="64"/>
    </row>
    <row r="553" spans="1:12" x14ac:dyDescent="0.25">
      <c r="A553" s="39" t="s">
        <v>958</v>
      </c>
      <c r="L553" s="64"/>
    </row>
    <row r="554" spans="1:12" x14ac:dyDescent="0.25">
      <c r="A554" s="162" t="s">
        <v>1162</v>
      </c>
      <c r="B554" s="22"/>
      <c r="C554" s="22"/>
      <c r="D554" s="22"/>
      <c r="E554" s="22"/>
      <c r="F554" s="22"/>
      <c r="G554" s="34"/>
      <c r="H554" s="34"/>
      <c r="I554" s="34"/>
      <c r="J554" s="34"/>
      <c r="K554" s="34"/>
      <c r="L554" s="48"/>
    </row>
    <row r="555" spans="1:12" x14ac:dyDescent="0.25">
      <c r="A555" s="41"/>
      <c r="B555" s="34"/>
    </row>
    <row r="556" spans="1:12" x14ac:dyDescent="0.25">
      <c r="A556" s="6" t="s">
        <v>14</v>
      </c>
      <c r="B556" s="7" t="s">
        <v>66</v>
      </c>
      <c r="C556" s="9" t="s">
        <v>15</v>
      </c>
    </row>
    <row r="557" spans="1:12" x14ac:dyDescent="0.25">
      <c r="A557" s="10" t="s">
        <v>16</v>
      </c>
      <c r="B557" s="154">
        <v>2015</v>
      </c>
      <c r="C557" s="172">
        <v>2016</v>
      </c>
      <c r="D557" s="154">
        <v>2017</v>
      </c>
      <c r="E557" s="173">
        <v>2018</v>
      </c>
      <c r="F557" s="173">
        <v>2019</v>
      </c>
      <c r="G557" s="154">
        <v>2020</v>
      </c>
      <c r="H557" s="154">
        <v>2021</v>
      </c>
      <c r="I557" s="154">
        <v>2022</v>
      </c>
      <c r="J557" s="154">
        <v>2023</v>
      </c>
      <c r="K557" s="154">
        <v>2024</v>
      </c>
      <c r="L557" s="154">
        <v>2025</v>
      </c>
    </row>
    <row r="558" spans="1:12" x14ac:dyDescent="0.25">
      <c r="A558" s="10" t="s">
        <v>17</v>
      </c>
      <c r="B558" s="156">
        <v>15583</v>
      </c>
      <c r="C558" s="174">
        <v>11679</v>
      </c>
      <c r="D558" s="156">
        <v>11679</v>
      </c>
      <c r="E558" s="175">
        <v>11679</v>
      </c>
      <c r="F558" s="175">
        <v>11679</v>
      </c>
      <c r="G558" s="156">
        <v>9226.41</v>
      </c>
      <c r="H558" s="156">
        <v>9078.7900000000009</v>
      </c>
      <c r="I558" s="156">
        <v>9152.6</v>
      </c>
      <c r="J558" s="156">
        <v>9152.6</v>
      </c>
      <c r="K558" s="156">
        <v>9152.6</v>
      </c>
      <c r="L558" s="156">
        <v>9151.19</v>
      </c>
    </row>
    <row r="559" spans="1:12" x14ac:dyDescent="0.25">
      <c r="A559" s="10" t="s">
        <v>18</v>
      </c>
      <c r="B559" s="156">
        <v>20187.900000000001</v>
      </c>
      <c r="C559" s="174">
        <v>16353.9</v>
      </c>
      <c r="D559" s="156">
        <f>14016.45</f>
        <v>14016.45</v>
      </c>
      <c r="E559" s="175">
        <v>13653.85</v>
      </c>
      <c r="F559" s="175">
        <v>13653.85</v>
      </c>
      <c r="G559" s="156">
        <f>G558+E558*0.15+223</f>
        <v>11201.26</v>
      </c>
      <c r="H559" s="156">
        <f>H558+0.1*F558+223</f>
        <v>10469.69</v>
      </c>
      <c r="I559" s="156">
        <f>I558+0.1*G558+223</f>
        <v>10298.241</v>
      </c>
      <c r="J559" s="156">
        <f>J558+0.1*H558+223</f>
        <v>10283.479000000001</v>
      </c>
      <c r="K559" s="156">
        <f>K558+0.1*I558+223</f>
        <v>10290.86</v>
      </c>
      <c r="L559" s="156">
        <v>9383.67</v>
      </c>
    </row>
    <row r="560" spans="1:12" ht="26.4" x14ac:dyDescent="0.25">
      <c r="A560" s="10" t="s">
        <v>19</v>
      </c>
      <c r="B560" s="176" t="s">
        <v>105</v>
      </c>
      <c r="C560" s="176" t="s">
        <v>106</v>
      </c>
      <c r="D560" s="176" t="s">
        <v>107</v>
      </c>
      <c r="E560" s="177" t="s">
        <v>108</v>
      </c>
      <c r="F560" s="177" t="s">
        <v>108</v>
      </c>
      <c r="G560" s="195" t="s">
        <v>450</v>
      </c>
      <c r="H560" s="195" t="s">
        <v>1163</v>
      </c>
      <c r="I560" s="195" t="s">
        <v>1164</v>
      </c>
      <c r="J560" s="195" t="s">
        <v>1164</v>
      </c>
      <c r="K560" s="184" t="s">
        <v>1164</v>
      </c>
      <c r="L560" s="184" t="s">
        <v>1226</v>
      </c>
    </row>
    <row r="561" spans="1:12" x14ac:dyDescent="0.25">
      <c r="A561" s="10" t="s">
        <v>20</v>
      </c>
      <c r="B561" s="156">
        <v>16453</v>
      </c>
      <c r="C561" s="174">
        <v>13115</v>
      </c>
      <c r="D561" s="156">
        <v>11845</v>
      </c>
      <c r="E561" s="156">
        <v>11630</v>
      </c>
      <c r="F561" s="175">
        <v>11288</v>
      </c>
      <c r="G561" s="156">
        <v>9226</v>
      </c>
      <c r="H561" s="156">
        <v>4092.6</v>
      </c>
      <c r="I561" s="156">
        <v>8181</v>
      </c>
      <c r="J561" s="156">
        <v>10274</v>
      </c>
      <c r="K561" s="156">
        <v>10144</v>
      </c>
      <c r="L561" s="156"/>
    </row>
    <row r="562" spans="1:12" x14ac:dyDescent="0.25">
      <c r="A562" s="10" t="s">
        <v>21</v>
      </c>
      <c r="B562" s="156">
        <v>3734.9</v>
      </c>
      <c r="C562" s="174">
        <v>3238.9</v>
      </c>
      <c r="D562" s="156">
        <v>2171.4499999999998</v>
      </c>
      <c r="E562" s="156">
        <v>2023.85</v>
      </c>
      <c r="F562" s="175">
        <f t="shared" ref="F562:K562" si="23">F559-F561</f>
        <v>2365.8500000000004</v>
      </c>
      <c r="G562" s="156">
        <f t="shared" si="23"/>
        <v>1975.2600000000002</v>
      </c>
      <c r="H562" s="156">
        <f t="shared" si="23"/>
        <v>6377.09</v>
      </c>
      <c r="I562" s="156">
        <f t="shared" si="23"/>
        <v>2117.241</v>
      </c>
      <c r="J562" s="156">
        <f t="shared" si="23"/>
        <v>9.4790000000011787</v>
      </c>
      <c r="K562" s="156">
        <f t="shared" si="23"/>
        <v>146.86000000000058</v>
      </c>
      <c r="L562" s="156"/>
    </row>
    <row r="563" spans="1:12" x14ac:dyDescent="0.25">
      <c r="A563" s="16" t="s">
        <v>22</v>
      </c>
      <c r="B563" s="159">
        <v>2017</v>
      </c>
      <c r="C563" s="178">
        <v>2018</v>
      </c>
      <c r="D563" s="159">
        <v>2019</v>
      </c>
      <c r="E563" s="159">
        <v>2020</v>
      </c>
      <c r="F563" s="179">
        <v>2021</v>
      </c>
      <c r="G563" s="159">
        <v>2022</v>
      </c>
      <c r="H563" s="159">
        <v>2023</v>
      </c>
      <c r="I563" s="159">
        <v>2024</v>
      </c>
      <c r="J563" s="159">
        <v>2025</v>
      </c>
      <c r="K563" s="159">
        <v>2026</v>
      </c>
      <c r="L563" s="159">
        <v>2027</v>
      </c>
    </row>
    <row r="564" spans="1:12" x14ac:dyDescent="0.25">
      <c r="A564" s="29" t="s">
        <v>23</v>
      </c>
      <c r="B564" s="30"/>
      <c r="C564" s="30"/>
      <c r="D564" s="30"/>
      <c r="E564" s="30"/>
      <c r="F564" s="30"/>
      <c r="G564" s="30"/>
      <c r="H564" s="88"/>
      <c r="I564" s="88"/>
      <c r="J564" s="88"/>
      <c r="K564" s="88"/>
      <c r="L564" s="88"/>
    </row>
    <row r="565" spans="1:12" x14ac:dyDescent="0.25">
      <c r="A565" s="18" t="s">
        <v>109</v>
      </c>
      <c r="B565" s="19"/>
      <c r="C565" s="19"/>
      <c r="D565" s="19"/>
      <c r="E565" s="19"/>
      <c r="F565" s="19"/>
      <c r="G565" s="19"/>
      <c r="H565" s="19"/>
      <c r="I565" s="19"/>
      <c r="J565" s="19"/>
      <c r="K565" s="19"/>
      <c r="L565" s="63"/>
    </row>
    <row r="566" spans="1:12" x14ac:dyDescent="0.25">
      <c r="A566" s="39" t="s">
        <v>357</v>
      </c>
      <c r="L566" s="64"/>
    </row>
    <row r="567" spans="1:12" x14ac:dyDescent="0.25">
      <c r="A567" s="39" t="s">
        <v>357</v>
      </c>
      <c r="L567" s="64"/>
    </row>
    <row r="568" spans="1:12" x14ac:dyDescent="0.25">
      <c r="A568" s="150" t="s">
        <v>1165</v>
      </c>
      <c r="L568" s="64"/>
    </row>
    <row r="569" spans="1:12" x14ac:dyDescent="0.25">
      <c r="A569" s="150" t="s">
        <v>1166</v>
      </c>
      <c r="L569" s="64"/>
    </row>
    <row r="570" spans="1:12" x14ac:dyDescent="0.25">
      <c r="A570" s="196" t="s">
        <v>1167</v>
      </c>
      <c r="B570" s="32"/>
      <c r="C570" s="32"/>
      <c r="D570" s="32"/>
      <c r="E570" s="32"/>
      <c r="F570" s="32"/>
      <c r="L570" s="64"/>
    </row>
    <row r="571" spans="1:12" x14ac:dyDescent="0.25">
      <c r="A571" s="196" t="s">
        <v>1168</v>
      </c>
      <c r="B571" s="32"/>
      <c r="C571" s="32"/>
      <c r="D571" s="32"/>
      <c r="E571" s="32"/>
      <c r="F571" s="32"/>
      <c r="L571" s="64"/>
    </row>
    <row r="572" spans="1:12" x14ac:dyDescent="0.25">
      <c r="A572" s="162" t="s">
        <v>1225</v>
      </c>
      <c r="B572" s="22"/>
      <c r="C572" s="22"/>
      <c r="D572" s="22"/>
      <c r="E572" s="22"/>
      <c r="F572" s="22"/>
      <c r="G572" s="34"/>
      <c r="H572" s="34"/>
      <c r="I572" s="34"/>
      <c r="J572" s="34"/>
      <c r="K572" s="34"/>
      <c r="L572" s="48"/>
    </row>
    <row r="574" spans="1:12" x14ac:dyDescent="0.25">
      <c r="A574" s="6" t="s">
        <v>14</v>
      </c>
      <c r="B574" s="7" t="s">
        <v>74</v>
      </c>
      <c r="C574" s="9" t="s">
        <v>15</v>
      </c>
    </row>
    <row r="575" spans="1:12" x14ac:dyDescent="0.25">
      <c r="A575" s="10" t="s">
        <v>16</v>
      </c>
      <c r="B575" s="154">
        <v>2015</v>
      </c>
      <c r="C575" s="172">
        <v>2016</v>
      </c>
      <c r="D575" s="154">
        <v>2017</v>
      </c>
      <c r="E575" s="173">
        <v>2018</v>
      </c>
      <c r="F575" s="173">
        <v>2019</v>
      </c>
      <c r="G575" s="154">
        <v>2020</v>
      </c>
      <c r="H575" s="154">
        <v>2021</v>
      </c>
      <c r="I575" s="154">
        <v>2022</v>
      </c>
      <c r="J575" s="154">
        <v>2023</v>
      </c>
      <c r="K575" s="154">
        <v>2024</v>
      </c>
      <c r="L575" s="154">
        <v>2025</v>
      </c>
    </row>
    <row r="576" spans="1:12" x14ac:dyDescent="0.25">
      <c r="A576" s="10" t="s">
        <v>17</v>
      </c>
      <c r="B576" s="12">
        <v>150</v>
      </c>
      <c r="C576" s="188">
        <v>150</v>
      </c>
      <c r="D576" s="12">
        <v>150</v>
      </c>
      <c r="E576" s="189">
        <v>150</v>
      </c>
      <c r="F576" s="189">
        <v>150</v>
      </c>
      <c r="G576" s="12">
        <v>126.2</v>
      </c>
      <c r="H576" s="12">
        <v>126.2</v>
      </c>
      <c r="I576" s="12">
        <v>126.2</v>
      </c>
      <c r="J576" s="12">
        <v>126.2</v>
      </c>
      <c r="K576" s="12">
        <v>126.2</v>
      </c>
      <c r="L576" s="12">
        <v>126.2</v>
      </c>
    </row>
    <row r="577" spans="1:12" x14ac:dyDescent="0.25">
      <c r="A577" s="10" t="s">
        <v>18</v>
      </c>
      <c r="B577" s="12">
        <v>165</v>
      </c>
      <c r="C577" s="188">
        <v>165</v>
      </c>
      <c r="D577" s="12">
        <v>165</v>
      </c>
      <c r="E577" s="189">
        <v>165</v>
      </c>
      <c r="F577" s="189">
        <v>165</v>
      </c>
      <c r="G577" s="12">
        <f>G576+0.1*E576</f>
        <v>141.19999999999999</v>
      </c>
      <c r="H577" s="12">
        <f>H576+0.1*F576</f>
        <v>141.19999999999999</v>
      </c>
      <c r="I577" s="12"/>
      <c r="J577" s="12"/>
      <c r="K577" s="12"/>
      <c r="L577" s="12"/>
    </row>
    <row r="578" spans="1:12" x14ac:dyDescent="0.25">
      <c r="A578" s="10" t="s">
        <v>19</v>
      </c>
      <c r="B578" s="190" t="s">
        <v>110</v>
      </c>
      <c r="C578" s="190" t="s">
        <v>110</v>
      </c>
      <c r="D578" s="190" t="s">
        <v>110</v>
      </c>
      <c r="E578" s="191" t="s">
        <v>110</v>
      </c>
      <c r="F578" s="191" t="s">
        <v>110</v>
      </c>
      <c r="G578" s="191" t="s">
        <v>358</v>
      </c>
      <c r="H578" s="191" t="s">
        <v>358</v>
      </c>
      <c r="I578" s="191"/>
      <c r="J578" s="191"/>
      <c r="K578" s="191"/>
      <c r="L578" s="191"/>
    </row>
    <row r="579" spans="1:12" x14ac:dyDescent="0.25">
      <c r="A579" s="10" t="s">
        <v>20</v>
      </c>
      <c r="B579" s="12">
        <v>61</v>
      </c>
      <c r="C579" s="188">
        <v>75</v>
      </c>
      <c r="D579" s="12">
        <v>73</v>
      </c>
      <c r="E579" s="12">
        <v>74</v>
      </c>
      <c r="F579" s="189">
        <v>40</v>
      </c>
      <c r="G579" s="12">
        <v>91.4</v>
      </c>
      <c r="H579" s="12">
        <v>96.1</v>
      </c>
      <c r="I579" s="12">
        <v>58</v>
      </c>
      <c r="J579" s="12">
        <v>71</v>
      </c>
      <c r="K579" s="12">
        <v>126</v>
      </c>
      <c r="L579" s="12"/>
    </row>
    <row r="580" spans="1:12" x14ac:dyDescent="0.25">
      <c r="A580" s="10" t="s">
        <v>21</v>
      </c>
      <c r="B580" s="12">
        <v>104</v>
      </c>
      <c r="C580" s="188">
        <v>90</v>
      </c>
      <c r="D580" s="12">
        <v>92</v>
      </c>
      <c r="E580" s="12">
        <v>91</v>
      </c>
      <c r="F580" s="189">
        <f>F577-F579</f>
        <v>125</v>
      </c>
      <c r="G580" s="12">
        <f>G577-G579</f>
        <v>49.799999999999983</v>
      </c>
      <c r="H580" s="12">
        <f>H577-H579</f>
        <v>45.099999999999994</v>
      </c>
      <c r="I580" s="12">
        <f>I576-I579</f>
        <v>68.2</v>
      </c>
      <c r="J580" s="12">
        <f>J576-J579</f>
        <v>55.2</v>
      </c>
      <c r="K580" s="12">
        <f>K576-K579</f>
        <v>0.20000000000000284</v>
      </c>
      <c r="L580" s="12"/>
    </row>
    <row r="581" spans="1:12" x14ac:dyDescent="0.25">
      <c r="A581" s="16" t="s">
        <v>22</v>
      </c>
      <c r="B581" s="159">
        <v>2017</v>
      </c>
      <c r="C581" s="178">
        <v>2018</v>
      </c>
      <c r="D581" s="159">
        <v>2019</v>
      </c>
      <c r="E581" s="159">
        <v>2020</v>
      </c>
      <c r="F581" s="179">
        <v>2021</v>
      </c>
      <c r="G581" s="159" t="s">
        <v>161</v>
      </c>
      <c r="H581" s="159" t="s">
        <v>161</v>
      </c>
      <c r="I581" s="159" t="s">
        <v>161</v>
      </c>
      <c r="J581" s="159" t="s">
        <v>161</v>
      </c>
      <c r="K581" s="159" t="s">
        <v>161</v>
      </c>
      <c r="L581" s="159" t="s">
        <v>161</v>
      </c>
    </row>
    <row r="582" spans="1:12" x14ac:dyDescent="0.25">
      <c r="A582" s="29" t="s">
        <v>23</v>
      </c>
      <c r="B582" s="30"/>
      <c r="C582" s="30"/>
      <c r="D582" s="30"/>
      <c r="E582" s="30"/>
      <c r="F582" s="30"/>
      <c r="G582" s="30"/>
      <c r="H582" s="88"/>
      <c r="I582" s="88"/>
      <c r="J582" s="30"/>
      <c r="K582" s="30"/>
      <c r="L582" s="88"/>
    </row>
    <row r="583" spans="1:12" x14ac:dyDescent="0.25">
      <c r="A583" s="694" t="s">
        <v>111</v>
      </c>
      <c r="B583" s="695"/>
      <c r="C583" s="695"/>
      <c r="D583" s="695"/>
      <c r="E583" s="695"/>
      <c r="F583" s="695"/>
      <c r="G583" s="19"/>
      <c r="H583" s="19"/>
      <c r="I583" s="19"/>
      <c r="J583" s="19"/>
      <c r="K583" s="19"/>
      <c r="L583" s="63"/>
    </row>
    <row r="584" spans="1:12" x14ac:dyDescent="0.25">
      <c r="A584" s="161" t="s">
        <v>359</v>
      </c>
      <c r="B584" s="32"/>
      <c r="C584" s="32"/>
      <c r="D584" s="32"/>
      <c r="E584" s="32"/>
      <c r="F584" s="32"/>
      <c r="L584" s="64"/>
    </row>
    <row r="585" spans="1:12" x14ac:dyDescent="0.25">
      <c r="A585" s="161" t="s">
        <v>451</v>
      </c>
      <c r="B585" s="32"/>
      <c r="C585" s="32"/>
      <c r="D585" s="32"/>
      <c r="E585" s="32"/>
      <c r="F585" s="32"/>
      <c r="L585" s="64"/>
    </row>
    <row r="586" spans="1:12" x14ac:dyDescent="0.25">
      <c r="A586" s="161" t="s">
        <v>658</v>
      </c>
      <c r="B586" s="32"/>
      <c r="C586" s="32"/>
      <c r="D586" s="32"/>
      <c r="E586" s="32"/>
      <c r="F586" s="32"/>
      <c r="L586" s="64"/>
    </row>
    <row r="587" spans="1:12" x14ac:dyDescent="0.25">
      <c r="A587" s="41" t="s">
        <v>775</v>
      </c>
      <c r="B587" s="34"/>
      <c r="C587" s="34"/>
      <c r="D587" s="34"/>
      <c r="E587" s="34"/>
      <c r="F587" s="34"/>
      <c r="G587" s="34"/>
      <c r="H587" s="34"/>
      <c r="I587" s="34"/>
      <c r="J587" s="34"/>
      <c r="K587" s="34"/>
      <c r="L587" s="48"/>
    </row>
    <row r="589" spans="1:12" x14ac:dyDescent="0.25">
      <c r="A589" s="6" t="s">
        <v>14</v>
      </c>
      <c r="B589" s="7" t="s">
        <v>79</v>
      </c>
      <c r="C589" s="9" t="s">
        <v>15</v>
      </c>
    </row>
    <row r="590" spans="1:12" x14ac:dyDescent="0.25">
      <c r="A590" s="10" t="s">
        <v>16</v>
      </c>
      <c r="B590" s="154">
        <v>2015</v>
      </c>
      <c r="C590" s="172">
        <v>2016</v>
      </c>
      <c r="D590" s="154">
        <v>2017</v>
      </c>
      <c r="E590" s="173">
        <v>2018</v>
      </c>
      <c r="F590" s="173">
        <v>2019</v>
      </c>
      <c r="G590" s="154">
        <v>2020</v>
      </c>
      <c r="H590" s="154">
        <v>2021</v>
      </c>
      <c r="I590" s="154">
        <v>2022</v>
      </c>
      <c r="J590" s="154">
        <v>2023</v>
      </c>
      <c r="K590" s="154">
        <v>2024</v>
      </c>
      <c r="L590" s="154">
        <v>2025</v>
      </c>
    </row>
    <row r="591" spans="1:12" x14ac:dyDescent="0.25">
      <c r="A591" s="10" t="s">
        <v>17</v>
      </c>
      <c r="B591" s="12">
        <v>50</v>
      </c>
      <c r="C591" s="188">
        <v>50</v>
      </c>
      <c r="D591" s="12">
        <v>50</v>
      </c>
      <c r="E591" s="189">
        <v>50</v>
      </c>
      <c r="F591" s="189">
        <v>50</v>
      </c>
      <c r="G591" s="12">
        <v>50</v>
      </c>
      <c r="H591" s="12">
        <v>50</v>
      </c>
      <c r="I591" s="12">
        <v>50</v>
      </c>
      <c r="J591" s="12">
        <v>50</v>
      </c>
      <c r="K591" s="12">
        <v>50</v>
      </c>
      <c r="L591" s="12">
        <v>50</v>
      </c>
    </row>
    <row r="592" spans="1:12" x14ac:dyDescent="0.25">
      <c r="A592" s="10" t="s">
        <v>18</v>
      </c>
      <c r="B592" s="12">
        <v>55</v>
      </c>
      <c r="C592" s="188">
        <v>55</v>
      </c>
      <c r="D592" s="12">
        <v>55</v>
      </c>
      <c r="E592" s="189">
        <v>55</v>
      </c>
      <c r="F592" s="189">
        <v>55</v>
      </c>
      <c r="G592" s="12">
        <f>G591*1.1</f>
        <v>55.000000000000007</v>
      </c>
      <c r="H592" s="12">
        <f>H591*1.1</f>
        <v>55.000000000000007</v>
      </c>
      <c r="I592" s="12"/>
      <c r="J592" s="12"/>
      <c r="K592" s="12"/>
      <c r="L592" s="12"/>
    </row>
    <row r="593" spans="1:12" x14ac:dyDescent="0.25">
      <c r="A593" s="10" t="s">
        <v>19</v>
      </c>
      <c r="B593" s="190" t="s">
        <v>112</v>
      </c>
      <c r="C593" s="190" t="s">
        <v>112</v>
      </c>
      <c r="D593" s="190" t="s">
        <v>112</v>
      </c>
      <c r="E593" s="191" t="s">
        <v>112</v>
      </c>
      <c r="F593" s="191" t="s">
        <v>112</v>
      </c>
      <c r="G593" s="191" t="s">
        <v>112</v>
      </c>
      <c r="H593" s="191" t="s">
        <v>112</v>
      </c>
      <c r="I593" s="191"/>
      <c r="J593" s="191"/>
      <c r="K593" s="191"/>
      <c r="L593" s="191"/>
    </row>
    <row r="594" spans="1:12" x14ac:dyDescent="0.25">
      <c r="A594" s="10" t="s">
        <v>20</v>
      </c>
      <c r="B594" s="12">
        <v>12</v>
      </c>
      <c r="C594" s="12">
        <v>10</v>
      </c>
      <c r="D594" s="12">
        <v>5</v>
      </c>
      <c r="E594" s="12">
        <v>6</v>
      </c>
      <c r="F594" s="12">
        <v>2</v>
      </c>
      <c r="G594" s="12">
        <v>5.4</v>
      </c>
      <c r="H594" s="12">
        <v>5.2</v>
      </c>
      <c r="I594" s="12">
        <v>2</v>
      </c>
      <c r="J594" s="12">
        <v>1.3</v>
      </c>
      <c r="K594" s="12">
        <v>1.7</v>
      </c>
      <c r="L594" s="12"/>
    </row>
    <row r="595" spans="1:12" x14ac:dyDescent="0.25">
      <c r="A595" s="10" t="s">
        <v>21</v>
      </c>
      <c r="B595" s="12">
        <v>43</v>
      </c>
      <c r="C595" s="12">
        <f t="shared" ref="C595:H595" si="24">C592-C594</f>
        <v>45</v>
      </c>
      <c r="D595" s="12">
        <f t="shared" si="24"/>
        <v>50</v>
      </c>
      <c r="E595" s="12">
        <f t="shared" si="24"/>
        <v>49</v>
      </c>
      <c r="F595" s="12">
        <f t="shared" si="24"/>
        <v>53</v>
      </c>
      <c r="G595" s="12">
        <f t="shared" si="24"/>
        <v>49.600000000000009</v>
      </c>
      <c r="H595" s="12">
        <f t="shared" si="24"/>
        <v>49.800000000000004</v>
      </c>
      <c r="I595" s="12">
        <f>I591-I594</f>
        <v>48</v>
      </c>
      <c r="J595" s="12">
        <f>J591-J594</f>
        <v>48.7</v>
      </c>
      <c r="K595" s="12">
        <f>K591-K594</f>
        <v>48.3</v>
      </c>
      <c r="L595" s="12"/>
    </row>
    <row r="596" spans="1:12" x14ac:dyDescent="0.25">
      <c r="A596" s="16" t="s">
        <v>22</v>
      </c>
      <c r="B596" s="159">
        <v>2017</v>
      </c>
      <c r="C596" s="197">
        <v>2018</v>
      </c>
      <c r="D596" s="197">
        <v>2019</v>
      </c>
      <c r="E596" s="197">
        <v>2020</v>
      </c>
      <c r="F596" s="197">
        <v>2021</v>
      </c>
      <c r="G596" s="197" t="s">
        <v>161</v>
      </c>
      <c r="H596" s="197" t="s">
        <v>161</v>
      </c>
      <c r="I596" s="197" t="s">
        <v>161</v>
      </c>
      <c r="J596" s="197" t="s">
        <v>161</v>
      </c>
      <c r="K596" s="197" t="s">
        <v>161</v>
      </c>
      <c r="L596" s="197" t="s">
        <v>161</v>
      </c>
    </row>
    <row r="597" spans="1:12" x14ac:dyDescent="0.25">
      <c r="A597" s="16" t="s">
        <v>23</v>
      </c>
      <c r="B597" s="46"/>
      <c r="C597" s="46"/>
      <c r="D597" s="46"/>
      <c r="E597" s="46"/>
      <c r="F597" s="46"/>
      <c r="G597" s="46"/>
      <c r="H597" s="47"/>
      <c r="I597" s="47"/>
      <c r="J597" s="47"/>
      <c r="K597" s="47"/>
      <c r="L597" s="47"/>
    </row>
    <row r="598" spans="1:12" x14ac:dyDescent="0.25">
      <c r="A598" s="694" t="s">
        <v>113</v>
      </c>
      <c r="B598" s="695"/>
      <c r="C598" s="695"/>
      <c r="D598" s="695"/>
      <c r="E598" s="695"/>
      <c r="F598" s="695"/>
      <c r="G598" s="19"/>
      <c r="H598" s="19"/>
      <c r="I598" s="19"/>
      <c r="J598" s="19"/>
      <c r="K598" s="19"/>
      <c r="L598" s="63"/>
    </row>
    <row r="599" spans="1:12" x14ac:dyDescent="0.25">
      <c r="A599" s="161" t="s">
        <v>360</v>
      </c>
      <c r="B599" s="32"/>
      <c r="C599" s="32"/>
      <c r="D599" s="32"/>
      <c r="E599" s="32"/>
      <c r="F599" s="32"/>
      <c r="L599" s="64"/>
    </row>
    <row r="600" spans="1:12" x14ac:dyDescent="0.25">
      <c r="A600" s="161" t="s">
        <v>452</v>
      </c>
      <c r="B600" s="32"/>
      <c r="C600" s="32"/>
      <c r="D600" s="32"/>
      <c r="E600" s="32"/>
      <c r="F600" s="32"/>
      <c r="L600" s="64"/>
    </row>
    <row r="601" spans="1:12" x14ac:dyDescent="0.25">
      <c r="A601" s="161" t="s">
        <v>659</v>
      </c>
      <c r="B601" s="32"/>
      <c r="C601" s="32"/>
      <c r="D601" s="32"/>
      <c r="E601" s="32"/>
      <c r="F601" s="32"/>
      <c r="L601" s="64"/>
    </row>
    <row r="602" spans="1:12" x14ac:dyDescent="0.25">
      <c r="A602" s="41" t="s">
        <v>775</v>
      </c>
      <c r="B602" s="34"/>
      <c r="C602" s="34"/>
      <c r="D602" s="34"/>
      <c r="E602" s="34"/>
      <c r="F602" s="34"/>
      <c r="G602" s="34"/>
      <c r="H602" s="34"/>
      <c r="I602" s="34"/>
      <c r="J602" s="34"/>
      <c r="K602" s="34"/>
      <c r="L602" s="48"/>
    </row>
    <row r="605" spans="1:12" x14ac:dyDescent="0.25">
      <c r="A605" s="6" t="s">
        <v>12</v>
      </c>
      <c r="B605" s="173" t="s">
        <v>614</v>
      </c>
    </row>
    <row r="606" spans="1:12" x14ac:dyDescent="0.25">
      <c r="A606" s="103" t="s">
        <v>14</v>
      </c>
      <c r="B606" s="104" t="s">
        <v>624</v>
      </c>
      <c r="C606" s="66" t="s">
        <v>152</v>
      </c>
      <c r="D606" s="8"/>
      <c r="E606" s="8"/>
      <c r="F606" s="8"/>
      <c r="G606" s="8"/>
    </row>
    <row r="607" spans="1:12" s="202" customFormat="1" x14ac:dyDescent="0.25">
      <c r="A607" s="198" t="s">
        <v>27</v>
      </c>
      <c r="B607" s="199">
        <v>2016</v>
      </c>
      <c r="C607" s="199">
        <v>2017</v>
      </c>
      <c r="D607" s="200">
        <v>2018</v>
      </c>
      <c r="E607" s="199">
        <v>2019</v>
      </c>
      <c r="F607" s="201">
        <v>2020</v>
      </c>
      <c r="G607" s="201">
        <v>2021</v>
      </c>
      <c r="H607" s="201">
        <v>2022</v>
      </c>
      <c r="I607" s="201">
        <v>2023</v>
      </c>
      <c r="J607" s="201">
        <v>2024</v>
      </c>
    </row>
    <row r="608" spans="1:12" s="202" customFormat="1" x14ac:dyDescent="0.25">
      <c r="A608" s="198" t="s">
        <v>28</v>
      </c>
      <c r="B608" s="203">
        <v>200</v>
      </c>
      <c r="C608" s="203">
        <v>200</v>
      </c>
      <c r="D608" s="203">
        <v>200</v>
      </c>
      <c r="E608" s="203">
        <v>215</v>
      </c>
      <c r="F608" s="204">
        <v>215</v>
      </c>
      <c r="G608" s="204">
        <v>242</v>
      </c>
      <c r="H608" s="203">
        <v>242</v>
      </c>
      <c r="I608" s="203">
        <v>242</v>
      </c>
      <c r="J608" s="203">
        <v>302</v>
      </c>
    </row>
    <row r="609" spans="1:10" s="202" customFormat="1" x14ac:dyDescent="0.25">
      <c r="A609" s="198" t="s">
        <v>29</v>
      </c>
      <c r="B609" s="205">
        <f>(B608+0.25*200)</f>
        <v>250</v>
      </c>
      <c r="C609" s="205">
        <f>(C608+0.25*B608)</f>
        <v>250</v>
      </c>
      <c r="D609" s="205">
        <f t="shared" ref="D609:J609" si="25">(D608+0.25*C608)</f>
        <v>250</v>
      </c>
      <c r="E609" s="205">
        <f t="shared" si="25"/>
        <v>265</v>
      </c>
      <c r="F609" s="205">
        <f t="shared" si="25"/>
        <v>268.75</v>
      </c>
      <c r="G609" s="205">
        <f t="shared" si="25"/>
        <v>295.75</v>
      </c>
      <c r="H609" s="206">
        <f t="shared" si="25"/>
        <v>302.5</v>
      </c>
      <c r="I609" s="206">
        <f t="shared" si="25"/>
        <v>302.5</v>
      </c>
      <c r="J609" s="206">
        <f t="shared" si="25"/>
        <v>362.5</v>
      </c>
    </row>
    <row r="610" spans="1:10" s="202" customFormat="1" x14ac:dyDescent="0.25">
      <c r="A610" s="198" t="s">
        <v>30</v>
      </c>
      <c r="B610" s="205"/>
      <c r="C610" s="205"/>
      <c r="D610" s="207"/>
      <c r="E610" s="205"/>
      <c r="F610" s="208"/>
      <c r="G610" s="208"/>
      <c r="H610" s="208"/>
      <c r="I610" s="208"/>
      <c r="J610" s="208"/>
    </row>
    <row r="611" spans="1:10" s="202" customFormat="1" x14ac:dyDescent="0.25">
      <c r="A611" s="198" t="s">
        <v>31</v>
      </c>
      <c r="B611" s="203">
        <v>4.6470000000000002</v>
      </c>
      <c r="C611" s="203">
        <v>11.226000000000001</v>
      </c>
      <c r="D611" s="203">
        <v>4.8979999999999997</v>
      </c>
      <c r="E611" s="204">
        <v>1.35</v>
      </c>
      <c r="F611" s="204">
        <v>0.64</v>
      </c>
      <c r="G611" s="204">
        <v>2.34</v>
      </c>
      <c r="H611" s="208">
        <v>1.49</v>
      </c>
      <c r="I611" s="208">
        <v>0.66</v>
      </c>
      <c r="J611" s="208">
        <v>1.0329999999999999</v>
      </c>
    </row>
    <row r="612" spans="1:10" s="202" customFormat="1" x14ac:dyDescent="0.25">
      <c r="A612" s="198" t="s">
        <v>32</v>
      </c>
      <c r="B612" s="206">
        <f t="shared" ref="B612:J612" si="26">B609-B611</f>
        <v>245.35300000000001</v>
      </c>
      <c r="C612" s="206">
        <f t="shared" si="26"/>
        <v>238.774</v>
      </c>
      <c r="D612" s="206">
        <f t="shared" si="26"/>
        <v>245.102</v>
      </c>
      <c r="E612" s="206">
        <f t="shared" si="26"/>
        <v>263.64999999999998</v>
      </c>
      <c r="F612" s="206">
        <f t="shared" si="26"/>
        <v>268.11</v>
      </c>
      <c r="G612" s="206">
        <f t="shared" si="26"/>
        <v>293.41000000000003</v>
      </c>
      <c r="H612" s="206">
        <f t="shared" si="26"/>
        <v>301.01</v>
      </c>
      <c r="I612" s="206">
        <f t="shared" si="26"/>
        <v>301.83999999999997</v>
      </c>
      <c r="J612" s="206">
        <f t="shared" si="26"/>
        <v>361.46699999999998</v>
      </c>
    </row>
    <row r="613" spans="1:10" s="202" customFormat="1" x14ac:dyDescent="0.25">
      <c r="A613" s="209" t="s">
        <v>33</v>
      </c>
      <c r="B613" s="210">
        <v>2017</v>
      </c>
      <c r="C613" s="210">
        <v>2018</v>
      </c>
      <c r="D613" s="211">
        <v>2019</v>
      </c>
      <c r="E613" s="210">
        <v>2020</v>
      </c>
      <c r="F613" s="212">
        <v>2021</v>
      </c>
      <c r="G613" s="212">
        <v>2022</v>
      </c>
      <c r="H613" s="212">
        <v>2023</v>
      </c>
      <c r="I613" s="212">
        <v>2024</v>
      </c>
      <c r="J613" s="212">
        <v>2026</v>
      </c>
    </row>
    <row r="614" spans="1:10" s="202" customFormat="1" x14ac:dyDescent="0.25">
      <c r="A614" s="209" t="s">
        <v>34</v>
      </c>
      <c r="B614" s="213"/>
      <c r="C614" s="213"/>
      <c r="D614" s="213"/>
      <c r="E614" s="213"/>
      <c r="F614" s="213"/>
      <c r="G614" s="213"/>
      <c r="H614" s="213"/>
      <c r="I614" s="214"/>
      <c r="J614" s="214"/>
    </row>
    <row r="615" spans="1:10" s="202" customFormat="1" x14ac:dyDescent="0.25">
      <c r="A615" s="209" t="s">
        <v>615</v>
      </c>
      <c r="B615" s="213"/>
      <c r="C615" s="213"/>
      <c r="D615" s="213"/>
      <c r="E615" s="213"/>
      <c r="F615" s="213"/>
      <c r="G615" s="213"/>
      <c r="H615" s="213"/>
      <c r="I615" s="213"/>
      <c r="J615" s="214"/>
    </row>
    <row r="616" spans="1:10" s="202" customFormat="1" x14ac:dyDescent="0.25">
      <c r="A616" s="81" t="s">
        <v>616</v>
      </c>
      <c r="B616" s="83"/>
      <c r="C616" s="83"/>
      <c r="D616" s="83"/>
      <c r="E616" s="83"/>
      <c r="F616" s="83"/>
      <c r="G616" s="83"/>
      <c r="H616" s="83"/>
      <c r="I616" s="83"/>
      <c r="J616" s="215"/>
    </row>
    <row r="617" spans="1:10" s="202" customFormat="1" x14ac:dyDescent="0.25">
      <c r="A617" s="81" t="s">
        <v>617</v>
      </c>
      <c r="B617" s="83"/>
      <c r="C617" s="83"/>
      <c r="D617" s="83"/>
      <c r="E617" s="83"/>
      <c r="F617" s="83"/>
      <c r="G617" s="83"/>
      <c r="H617" s="83"/>
      <c r="I617" s="83"/>
      <c r="J617" s="215"/>
    </row>
    <row r="618" spans="1:10" s="202" customFormat="1" x14ac:dyDescent="0.25">
      <c r="A618" s="81" t="s">
        <v>618</v>
      </c>
      <c r="B618" s="83"/>
      <c r="C618" s="83"/>
      <c r="D618" s="83"/>
      <c r="E618" s="83"/>
      <c r="F618" s="83"/>
      <c r="G618" s="83"/>
      <c r="H618" s="83"/>
      <c r="I618" s="83"/>
      <c r="J618" s="215"/>
    </row>
    <row r="619" spans="1:10" s="202" customFormat="1" x14ac:dyDescent="0.25">
      <c r="A619" s="81" t="s">
        <v>619</v>
      </c>
      <c r="B619" s="83"/>
      <c r="C619" s="83"/>
      <c r="D619" s="83"/>
      <c r="E619" s="83"/>
      <c r="F619" s="83"/>
      <c r="G619" s="83"/>
      <c r="H619" s="83"/>
      <c r="I619" s="83"/>
      <c r="J619" s="215"/>
    </row>
    <row r="620" spans="1:10" s="202" customFormat="1" x14ac:dyDescent="0.25">
      <c r="A620" s="81" t="s">
        <v>620</v>
      </c>
      <c r="B620" s="83"/>
      <c r="C620" s="83"/>
      <c r="D620" s="83"/>
      <c r="E620" s="83"/>
      <c r="F620" s="83"/>
      <c r="G620" s="83"/>
      <c r="H620" s="83"/>
      <c r="I620" s="83"/>
      <c r="J620" s="215"/>
    </row>
    <row r="621" spans="1:10" s="202" customFormat="1" x14ac:dyDescent="0.25">
      <c r="A621" s="81" t="s">
        <v>621</v>
      </c>
      <c r="B621" s="83"/>
      <c r="C621" s="83"/>
      <c r="D621" s="83"/>
      <c r="E621" s="83"/>
      <c r="F621" s="83"/>
      <c r="G621" s="83"/>
      <c r="H621" s="83"/>
      <c r="I621" s="83"/>
      <c r="J621" s="215"/>
    </row>
    <row r="622" spans="1:10" s="202" customFormat="1" x14ac:dyDescent="0.25">
      <c r="A622" s="81" t="s">
        <v>622</v>
      </c>
      <c r="B622" s="83"/>
      <c r="C622" s="83"/>
      <c r="D622" s="83"/>
      <c r="E622" s="83"/>
      <c r="F622" s="83"/>
      <c r="G622" s="83"/>
      <c r="H622" s="83"/>
      <c r="I622" s="83"/>
      <c r="J622" s="215"/>
    </row>
    <row r="623" spans="1:10" s="202" customFormat="1" x14ac:dyDescent="0.25">
      <c r="A623" s="81" t="s">
        <v>783</v>
      </c>
      <c r="B623" s="83"/>
      <c r="C623" s="83"/>
      <c r="D623" s="83"/>
      <c r="E623" s="83"/>
      <c r="F623" s="83"/>
      <c r="G623" s="83"/>
      <c r="H623" s="83"/>
      <c r="I623" s="83"/>
      <c r="J623" s="215"/>
    </row>
    <row r="624" spans="1:10" s="202" customFormat="1" x14ac:dyDescent="0.25">
      <c r="A624" s="84" t="s">
        <v>998</v>
      </c>
      <c r="B624" s="116"/>
      <c r="C624" s="116"/>
      <c r="D624" s="116"/>
      <c r="E624" s="116"/>
      <c r="F624" s="116"/>
      <c r="G624" s="116"/>
      <c r="H624" s="116"/>
      <c r="I624" s="116"/>
      <c r="J624" s="216"/>
    </row>
    <row r="625" spans="1:11" s="202" customFormat="1" x14ac:dyDescent="0.25">
      <c r="A625" s="83"/>
      <c r="B625" s="83"/>
      <c r="C625" s="83"/>
      <c r="D625" s="83"/>
      <c r="E625" s="83"/>
      <c r="F625" s="83"/>
      <c r="G625" s="83"/>
      <c r="H625" s="83"/>
      <c r="I625" s="83"/>
    </row>
    <row r="626" spans="1:11" x14ac:dyDescent="0.25">
      <c r="A626" s="98" t="s">
        <v>14</v>
      </c>
      <c r="B626" s="66" t="s">
        <v>623</v>
      </c>
      <c r="C626" s="66" t="s">
        <v>152</v>
      </c>
      <c r="D626" s="138"/>
      <c r="E626" s="138"/>
      <c r="F626" s="138"/>
      <c r="G626" s="138"/>
    </row>
    <row r="627" spans="1:11" s="202" customFormat="1" x14ac:dyDescent="0.25">
      <c r="A627" s="198" t="s">
        <v>27</v>
      </c>
      <c r="B627" s="199">
        <v>2016</v>
      </c>
      <c r="C627" s="199">
        <v>2017</v>
      </c>
      <c r="D627" s="200">
        <v>2018</v>
      </c>
      <c r="E627" s="199">
        <v>2019</v>
      </c>
      <c r="F627" s="201">
        <v>2020</v>
      </c>
      <c r="G627" s="201">
        <v>2021</v>
      </c>
      <c r="H627" s="201">
        <v>2022</v>
      </c>
      <c r="I627" s="201">
        <v>2023</v>
      </c>
      <c r="J627" s="201">
        <v>2024</v>
      </c>
      <c r="K627" s="201">
        <v>2025</v>
      </c>
    </row>
    <row r="628" spans="1:11" s="202" customFormat="1" x14ac:dyDescent="0.25">
      <c r="A628" s="198" t="s">
        <v>28</v>
      </c>
      <c r="B628" s="217">
        <v>0</v>
      </c>
      <c r="C628" s="217">
        <v>0</v>
      </c>
      <c r="D628" s="217">
        <v>0</v>
      </c>
      <c r="E628" s="217">
        <v>0</v>
      </c>
      <c r="F628" s="218">
        <v>0</v>
      </c>
      <c r="G628" s="218">
        <v>0</v>
      </c>
      <c r="H628" s="217">
        <v>0</v>
      </c>
      <c r="I628" s="217">
        <v>0</v>
      </c>
      <c r="J628" s="217">
        <v>0</v>
      </c>
      <c r="K628" s="219">
        <v>375</v>
      </c>
    </row>
    <row r="629" spans="1:11" s="202" customFormat="1" x14ac:dyDescent="0.25">
      <c r="A629" s="198" t="s">
        <v>29</v>
      </c>
      <c r="B629" s="220">
        <v>-19.86</v>
      </c>
      <c r="C629" s="221">
        <f t="shared" ref="C629:K629" si="27">B632</f>
        <v>-48.64</v>
      </c>
      <c r="D629" s="221">
        <f t="shared" si="27"/>
        <v>-96.69</v>
      </c>
      <c r="E629" s="221">
        <f t="shared" si="27"/>
        <v>-149.34</v>
      </c>
      <c r="F629" s="221">
        <f t="shared" si="27"/>
        <v>-172.85</v>
      </c>
      <c r="G629" s="221">
        <f t="shared" si="27"/>
        <v>-196.03</v>
      </c>
      <c r="H629" s="221">
        <f t="shared" si="27"/>
        <v>-246.64</v>
      </c>
      <c r="I629" s="221">
        <f t="shared" si="27"/>
        <v>-272.18</v>
      </c>
      <c r="J629" s="221">
        <f t="shared" si="27"/>
        <v>-299.51600000000002</v>
      </c>
      <c r="K629" s="222">
        <f t="shared" si="27"/>
        <v>-338.07500000000005</v>
      </c>
    </row>
    <row r="630" spans="1:11" s="202" customFormat="1" x14ac:dyDescent="0.25">
      <c r="A630" s="198" t="s">
        <v>30</v>
      </c>
      <c r="B630" s="205" t="s">
        <v>399</v>
      </c>
      <c r="C630" s="207" t="s">
        <v>400</v>
      </c>
      <c r="D630" s="205" t="s">
        <v>401</v>
      </c>
      <c r="E630" s="208" t="s">
        <v>402</v>
      </c>
      <c r="F630" s="208" t="s">
        <v>566</v>
      </c>
      <c r="G630" s="208" t="s">
        <v>604</v>
      </c>
      <c r="H630" s="208" t="s">
        <v>625</v>
      </c>
      <c r="I630" s="208" t="s">
        <v>784</v>
      </c>
      <c r="J630" s="208" t="s">
        <v>999</v>
      </c>
      <c r="K630" s="114" t="s">
        <v>1169</v>
      </c>
    </row>
    <row r="631" spans="1:11" s="202" customFormat="1" x14ac:dyDescent="0.25">
      <c r="A631" s="198" t="s">
        <v>31</v>
      </c>
      <c r="B631" s="217">
        <v>28.78</v>
      </c>
      <c r="C631" s="217">
        <v>48.05</v>
      </c>
      <c r="D631" s="217">
        <v>52.65</v>
      </c>
      <c r="E631" s="218">
        <v>23.51</v>
      </c>
      <c r="F631" s="218">
        <v>23.18</v>
      </c>
      <c r="G631" s="218">
        <v>50.61</v>
      </c>
      <c r="H631" s="223">
        <v>25.54</v>
      </c>
      <c r="I631" s="223">
        <v>27.335999999999999</v>
      </c>
      <c r="J631" s="223">
        <v>38.558999999999997</v>
      </c>
      <c r="K631" s="219"/>
    </row>
    <row r="632" spans="1:11" s="202" customFormat="1" x14ac:dyDescent="0.25">
      <c r="A632" s="198" t="s">
        <v>32</v>
      </c>
      <c r="B632" s="206">
        <f t="shared" ref="B632:J632" si="28">B629-B631</f>
        <v>-48.64</v>
      </c>
      <c r="C632" s="206">
        <f t="shared" si="28"/>
        <v>-96.69</v>
      </c>
      <c r="D632" s="206">
        <f t="shared" si="28"/>
        <v>-149.34</v>
      </c>
      <c r="E632" s="206">
        <f t="shared" si="28"/>
        <v>-172.85</v>
      </c>
      <c r="F632" s="206">
        <f t="shared" si="28"/>
        <v>-196.03</v>
      </c>
      <c r="G632" s="206">
        <f t="shared" si="28"/>
        <v>-246.64</v>
      </c>
      <c r="H632" s="224">
        <f t="shared" si="28"/>
        <v>-272.18</v>
      </c>
      <c r="I632" s="224">
        <f t="shared" si="28"/>
        <v>-299.51600000000002</v>
      </c>
      <c r="J632" s="224">
        <f t="shared" si="28"/>
        <v>-338.07500000000005</v>
      </c>
      <c r="K632" s="219"/>
    </row>
    <row r="633" spans="1:11" s="202" customFormat="1" x14ac:dyDescent="0.25">
      <c r="A633" s="209" t="s">
        <v>33</v>
      </c>
      <c r="B633" s="225">
        <v>2017</v>
      </c>
      <c r="C633" s="225">
        <v>2018</v>
      </c>
      <c r="D633" s="213">
        <v>2019</v>
      </c>
      <c r="E633" s="225">
        <v>2020</v>
      </c>
      <c r="F633" s="214">
        <v>2021</v>
      </c>
      <c r="G633" s="214">
        <v>2022</v>
      </c>
      <c r="H633" s="214">
        <v>2023</v>
      </c>
      <c r="I633" s="214">
        <v>2024</v>
      </c>
      <c r="J633" s="214">
        <v>2025</v>
      </c>
      <c r="K633" s="219">
        <v>2026</v>
      </c>
    </row>
    <row r="634" spans="1:11" s="202" customFormat="1" x14ac:dyDescent="0.25">
      <c r="A634" s="226" t="s">
        <v>34</v>
      </c>
      <c r="B634" s="227"/>
      <c r="C634" s="227"/>
      <c r="D634" s="227"/>
      <c r="E634" s="227"/>
      <c r="F634" s="227"/>
      <c r="G634" s="227"/>
      <c r="H634" s="227"/>
      <c r="I634" s="227"/>
      <c r="J634" s="227"/>
      <c r="K634" s="228"/>
    </row>
    <row r="635" spans="1:11" s="202" customFormat="1" x14ac:dyDescent="0.25">
      <c r="A635" s="229" t="s">
        <v>626</v>
      </c>
      <c r="B635" s="230"/>
      <c r="C635" s="230"/>
      <c r="D635" s="230"/>
      <c r="E635" s="230"/>
      <c r="F635" s="230"/>
      <c r="G635" s="230"/>
      <c r="H635" s="230"/>
      <c r="I635" s="230"/>
      <c r="J635" s="231"/>
      <c r="K635" s="232"/>
    </row>
    <row r="636" spans="1:11" s="202" customFormat="1" x14ac:dyDescent="0.25">
      <c r="A636" s="233" t="s">
        <v>627</v>
      </c>
      <c r="B636" s="83"/>
      <c r="C636" s="83"/>
      <c r="D636" s="83"/>
      <c r="E636" s="83"/>
      <c r="F636" s="83"/>
      <c r="G636" s="83"/>
      <c r="H636" s="83"/>
      <c r="I636" s="83"/>
      <c r="J636" s="215"/>
      <c r="K636" s="234"/>
    </row>
    <row r="637" spans="1:11" s="202" customFormat="1" x14ac:dyDescent="0.25">
      <c r="A637" s="233" t="s">
        <v>628</v>
      </c>
      <c r="B637" s="83"/>
      <c r="C637" s="83"/>
      <c r="D637" s="83"/>
      <c r="E637" s="83"/>
      <c r="F637" s="83"/>
      <c r="G637" s="83"/>
      <c r="H637" s="83"/>
      <c r="I637" s="83"/>
      <c r="J637" s="215"/>
      <c r="K637" s="234"/>
    </row>
    <row r="638" spans="1:11" s="202" customFormat="1" x14ac:dyDescent="0.25">
      <c r="A638" s="233" t="s">
        <v>629</v>
      </c>
      <c r="B638" s="83"/>
      <c r="C638" s="83"/>
      <c r="D638" s="83"/>
      <c r="E638" s="83"/>
      <c r="F638" s="83"/>
      <c r="G638" s="83"/>
      <c r="H638" s="83"/>
      <c r="I638" s="83"/>
      <c r="J638" s="215"/>
      <c r="K638" s="234"/>
    </row>
    <row r="639" spans="1:11" s="202" customFormat="1" x14ac:dyDescent="0.25">
      <c r="A639" s="233" t="s">
        <v>630</v>
      </c>
      <c r="B639" s="83"/>
      <c r="C639" s="83"/>
      <c r="D639" s="83"/>
      <c r="E639" s="83"/>
      <c r="F639" s="83"/>
      <c r="G639" s="83"/>
      <c r="H639" s="83"/>
      <c r="I639" s="83"/>
      <c r="J639" s="215"/>
      <c r="K639" s="234"/>
    </row>
    <row r="640" spans="1:11" s="202" customFormat="1" x14ac:dyDescent="0.25">
      <c r="A640" s="233" t="s">
        <v>631</v>
      </c>
      <c r="B640" s="83"/>
      <c r="C640" s="83"/>
      <c r="D640" s="83"/>
      <c r="E640" s="83"/>
      <c r="F640" s="83"/>
      <c r="G640" s="83"/>
      <c r="H640" s="83"/>
      <c r="I640" s="83"/>
      <c r="J640" s="215"/>
      <c r="K640" s="234"/>
    </row>
    <row r="641" spans="1:11" s="202" customFormat="1" x14ac:dyDescent="0.25">
      <c r="A641" s="233" t="s">
        <v>632</v>
      </c>
      <c r="B641" s="83"/>
      <c r="C641" s="83"/>
      <c r="D641" s="83"/>
      <c r="E641" s="83"/>
      <c r="F641" s="83"/>
      <c r="G641" s="83"/>
      <c r="H641" s="83"/>
      <c r="I641" s="83"/>
      <c r="J641" s="215"/>
      <c r="K641" s="234"/>
    </row>
    <row r="642" spans="1:11" s="202" customFormat="1" x14ac:dyDescent="0.25">
      <c r="A642" s="233" t="s">
        <v>785</v>
      </c>
      <c r="B642" s="83"/>
      <c r="C642" s="83"/>
      <c r="D642" s="83"/>
      <c r="E642" s="83"/>
      <c r="F642" s="83"/>
      <c r="G642" s="83"/>
      <c r="H642" s="83"/>
      <c r="I642" s="83"/>
      <c r="J642" s="215"/>
      <c r="K642" s="234"/>
    </row>
    <row r="643" spans="1:11" s="202" customFormat="1" x14ac:dyDescent="0.25">
      <c r="A643" s="233" t="s">
        <v>1000</v>
      </c>
      <c r="B643" s="83"/>
      <c r="C643" s="83"/>
      <c r="D643" s="83"/>
      <c r="E643" s="83"/>
      <c r="F643" s="83"/>
      <c r="G643" s="83"/>
      <c r="H643" s="83"/>
      <c r="I643" s="83"/>
      <c r="J643" s="215"/>
      <c r="K643" s="234"/>
    </row>
    <row r="644" spans="1:11" s="202" customFormat="1" x14ac:dyDescent="0.25">
      <c r="A644" s="235" t="s">
        <v>1170</v>
      </c>
      <c r="B644" s="116"/>
      <c r="C644" s="116"/>
      <c r="D644" s="116"/>
      <c r="E644" s="116"/>
      <c r="F644" s="116"/>
      <c r="G644" s="116"/>
      <c r="H644" s="116"/>
      <c r="I644" s="116"/>
      <c r="J644" s="216"/>
      <c r="K644" s="236"/>
    </row>
    <row r="645" spans="1:11" s="202" customFormat="1" x14ac:dyDescent="0.25">
      <c r="A645" s="83"/>
      <c r="B645" s="83"/>
      <c r="C645" s="83"/>
      <c r="D645" s="83"/>
      <c r="E645" s="83"/>
      <c r="F645" s="83"/>
      <c r="G645" s="83"/>
      <c r="H645" s="83"/>
      <c r="I645" s="83"/>
    </row>
    <row r="646" spans="1:11" s="202" customFormat="1" x14ac:dyDescent="0.25">
      <c r="A646" s="98" t="s">
        <v>14</v>
      </c>
      <c r="B646" s="66" t="s">
        <v>74</v>
      </c>
      <c r="C646" s="66" t="s">
        <v>152</v>
      </c>
      <c r="D646" s="83"/>
      <c r="E646" s="83"/>
      <c r="F646" s="83"/>
      <c r="G646" s="83"/>
      <c r="H646" s="83"/>
      <c r="I646" s="83"/>
    </row>
    <row r="647" spans="1:11" s="202" customFormat="1" x14ac:dyDescent="0.25">
      <c r="A647" s="198" t="s">
        <v>27</v>
      </c>
      <c r="B647" s="237">
        <v>2016</v>
      </c>
      <c r="C647" s="237">
        <v>2017</v>
      </c>
      <c r="D647" s="238">
        <v>2018</v>
      </c>
      <c r="E647" s="237">
        <v>2019</v>
      </c>
      <c r="F647" s="239">
        <v>2020</v>
      </c>
      <c r="G647" s="239">
        <v>2021</v>
      </c>
      <c r="H647" s="239">
        <v>2022</v>
      </c>
      <c r="I647" s="239">
        <v>2023</v>
      </c>
      <c r="J647" s="239">
        <v>2024</v>
      </c>
      <c r="K647" s="239">
        <v>2025</v>
      </c>
    </row>
    <row r="648" spans="1:11" s="202" customFormat="1" x14ac:dyDescent="0.25">
      <c r="A648" s="198" t="s">
        <v>28</v>
      </c>
      <c r="B648" s="203">
        <v>10</v>
      </c>
      <c r="C648" s="203">
        <v>10</v>
      </c>
      <c r="D648" s="203">
        <v>10</v>
      </c>
      <c r="E648" s="203">
        <v>10</v>
      </c>
      <c r="F648" s="203">
        <v>10</v>
      </c>
      <c r="G648" s="203">
        <v>10</v>
      </c>
      <c r="H648" s="203">
        <v>10</v>
      </c>
      <c r="I648" s="203">
        <v>10</v>
      </c>
      <c r="J648" s="203">
        <v>10</v>
      </c>
      <c r="K648" s="203">
        <v>10</v>
      </c>
    </row>
    <row r="649" spans="1:11" s="202" customFormat="1" x14ac:dyDescent="0.25">
      <c r="A649" s="198" t="s">
        <v>29</v>
      </c>
      <c r="B649" s="206">
        <v>10</v>
      </c>
      <c r="C649" s="206">
        <f>B652+10</f>
        <v>-31.037900001525877</v>
      </c>
      <c r="D649" s="206">
        <f>C652+10</f>
        <v>-100.44840000534057</v>
      </c>
      <c r="E649" s="206">
        <f>D652+10</f>
        <v>-131.83390000534058</v>
      </c>
      <c r="F649" s="206">
        <f>E652+10</f>
        <v>-149.28490000534057</v>
      </c>
      <c r="G649" s="206">
        <f>F652+10</f>
        <v>-157.49490000534058</v>
      </c>
      <c r="H649" s="206">
        <f>1.25*G652+H648</f>
        <v>-216.48112500667571</v>
      </c>
      <c r="I649" s="206">
        <f>1.25*H652+I648</f>
        <v>-273.73890625834463</v>
      </c>
      <c r="J649" s="206">
        <f>1.25*I652+J648</f>
        <v>-342.7198828229308</v>
      </c>
      <c r="K649" s="206">
        <f>1.25*J652+K648</f>
        <v>-446.63985352866348</v>
      </c>
    </row>
    <row r="650" spans="1:11" s="202" customFormat="1" x14ac:dyDescent="0.25">
      <c r="A650" s="198" t="s">
        <v>30</v>
      </c>
      <c r="B650" s="205"/>
      <c r="C650" s="205" t="s">
        <v>399</v>
      </c>
      <c r="D650" s="207" t="s">
        <v>400</v>
      </c>
      <c r="E650" s="205" t="s">
        <v>401</v>
      </c>
      <c r="F650" s="208" t="s">
        <v>402</v>
      </c>
      <c r="G650" s="208" t="s">
        <v>566</v>
      </c>
      <c r="H650" s="208" t="s">
        <v>604</v>
      </c>
      <c r="I650" s="208" t="s">
        <v>625</v>
      </c>
      <c r="J650" s="208" t="s">
        <v>784</v>
      </c>
      <c r="K650" s="208" t="s">
        <v>999</v>
      </c>
    </row>
    <row r="651" spans="1:11" s="202" customFormat="1" x14ac:dyDescent="0.25">
      <c r="A651" s="198" t="s">
        <v>31</v>
      </c>
      <c r="B651" s="240">
        <v>51.037900001525877</v>
      </c>
      <c r="C651" s="240">
        <v>79.410500003814704</v>
      </c>
      <c r="D651" s="240">
        <v>41.3855</v>
      </c>
      <c r="E651" s="241">
        <v>27.451000000000001</v>
      </c>
      <c r="F651" s="241">
        <v>18.21</v>
      </c>
      <c r="G651" s="204">
        <v>23.69</v>
      </c>
      <c r="H651" s="208">
        <v>10.51</v>
      </c>
      <c r="I651" s="242">
        <v>8.4369999999999994</v>
      </c>
      <c r="J651" s="208">
        <v>22.591999999999999</v>
      </c>
      <c r="K651" s="208"/>
    </row>
    <row r="652" spans="1:11" s="202" customFormat="1" x14ac:dyDescent="0.25">
      <c r="A652" s="198" t="s">
        <v>32</v>
      </c>
      <c r="B652" s="206">
        <f t="shared" ref="B652:I652" si="29">B649-B651</f>
        <v>-41.037900001525877</v>
      </c>
      <c r="C652" s="206">
        <f t="shared" si="29"/>
        <v>-110.44840000534057</v>
      </c>
      <c r="D652" s="206">
        <f t="shared" si="29"/>
        <v>-141.83390000534058</v>
      </c>
      <c r="E652" s="206">
        <f t="shared" si="29"/>
        <v>-159.28490000534057</v>
      </c>
      <c r="F652" s="206">
        <f t="shared" si="29"/>
        <v>-167.49490000534058</v>
      </c>
      <c r="G652" s="206">
        <f t="shared" si="29"/>
        <v>-181.18490000534058</v>
      </c>
      <c r="H652" s="206">
        <f t="shared" si="29"/>
        <v>-226.9911250066757</v>
      </c>
      <c r="I652" s="206">
        <f t="shared" si="29"/>
        <v>-282.17590625834464</v>
      </c>
      <c r="J652" s="224">
        <v>-365.31188282293078</v>
      </c>
      <c r="K652" s="206"/>
    </row>
    <row r="653" spans="1:11" s="202" customFormat="1" x14ac:dyDescent="0.25">
      <c r="A653" s="209" t="s">
        <v>33</v>
      </c>
      <c r="B653" s="210">
        <v>2017</v>
      </c>
      <c r="C653" s="210">
        <v>2018</v>
      </c>
      <c r="D653" s="211">
        <v>2019</v>
      </c>
      <c r="E653" s="210">
        <v>2020</v>
      </c>
      <c r="F653" s="212">
        <v>2021</v>
      </c>
      <c r="G653" s="212">
        <v>2022</v>
      </c>
      <c r="H653" s="212">
        <v>2023</v>
      </c>
      <c r="I653" s="212">
        <v>2024</v>
      </c>
      <c r="J653" s="212">
        <v>2025</v>
      </c>
      <c r="K653" s="114">
        <v>2026</v>
      </c>
    </row>
    <row r="654" spans="1:11" s="202" customFormat="1" x14ac:dyDescent="0.25">
      <c r="A654" s="243" t="s">
        <v>34</v>
      </c>
      <c r="B654" s="230"/>
      <c r="C654" s="230"/>
      <c r="D654" s="230"/>
      <c r="E654" s="230"/>
      <c r="F654" s="230"/>
      <c r="G654" s="230"/>
      <c r="H654" s="230"/>
      <c r="I654" s="230"/>
      <c r="J654" s="230"/>
      <c r="K654" s="232"/>
    </row>
    <row r="655" spans="1:11" s="202" customFormat="1" x14ac:dyDescent="0.25">
      <c r="A655" s="229" t="s">
        <v>633</v>
      </c>
      <c r="B655" s="230"/>
      <c r="C655" s="230"/>
      <c r="D655" s="230"/>
      <c r="E655" s="230"/>
      <c r="F655" s="230"/>
      <c r="G655" s="230"/>
      <c r="H655" s="230"/>
      <c r="I655" s="230"/>
      <c r="J655" s="230"/>
      <c r="K655" s="232"/>
    </row>
    <row r="656" spans="1:11" s="202" customFormat="1" x14ac:dyDescent="0.25">
      <c r="A656" s="233" t="s">
        <v>891</v>
      </c>
      <c r="B656" s="83"/>
      <c r="C656" s="83"/>
      <c r="D656" s="83"/>
      <c r="E656" s="83"/>
      <c r="F656" s="83"/>
      <c r="G656" s="83"/>
      <c r="H656" s="83"/>
      <c r="I656" s="83"/>
      <c r="J656" s="83"/>
      <c r="K656" s="234"/>
    </row>
    <row r="657" spans="1:11" s="202" customFormat="1" x14ac:dyDescent="0.25">
      <c r="A657" s="233" t="s">
        <v>892</v>
      </c>
      <c r="B657" s="83"/>
      <c r="C657" s="83"/>
      <c r="D657" s="83"/>
      <c r="E657" s="83"/>
      <c r="F657" s="83"/>
      <c r="G657" s="83"/>
      <c r="H657" s="83"/>
      <c r="I657" s="83"/>
      <c r="J657" s="83"/>
      <c r="K657" s="234"/>
    </row>
    <row r="658" spans="1:11" s="202" customFormat="1" x14ac:dyDescent="0.25">
      <c r="A658" s="233" t="s">
        <v>893</v>
      </c>
      <c r="B658" s="83"/>
      <c r="C658" s="83"/>
      <c r="D658" s="83"/>
      <c r="E658" s="83"/>
      <c r="F658" s="83"/>
      <c r="G658" s="83"/>
      <c r="H658" s="83"/>
      <c r="I658" s="83"/>
      <c r="J658" s="83"/>
      <c r="K658" s="234"/>
    </row>
    <row r="659" spans="1:11" s="202" customFormat="1" x14ac:dyDescent="0.25">
      <c r="A659" s="233" t="s">
        <v>894</v>
      </c>
      <c r="B659" s="83"/>
      <c r="C659" s="83"/>
      <c r="D659" s="83"/>
      <c r="E659" s="83"/>
      <c r="F659" s="83"/>
      <c r="G659" s="83"/>
      <c r="H659" s="83"/>
      <c r="I659" s="83"/>
      <c r="J659" s="83"/>
      <c r="K659" s="234"/>
    </row>
    <row r="660" spans="1:11" s="202" customFormat="1" x14ac:dyDescent="0.25">
      <c r="A660" s="233" t="s">
        <v>889</v>
      </c>
      <c r="B660" s="83"/>
      <c r="C660" s="83"/>
      <c r="D660" s="83"/>
      <c r="E660" s="83"/>
      <c r="F660" s="83"/>
      <c r="G660" s="83"/>
      <c r="H660" s="83"/>
      <c r="I660" s="83"/>
      <c r="J660" s="83"/>
      <c r="K660" s="234"/>
    </row>
    <row r="661" spans="1:11" s="202" customFormat="1" x14ac:dyDescent="0.25">
      <c r="A661" s="233" t="s">
        <v>890</v>
      </c>
      <c r="B661" s="83"/>
      <c r="C661" s="83"/>
      <c r="D661" s="83"/>
      <c r="E661" s="83"/>
      <c r="F661" s="83"/>
      <c r="G661" s="83"/>
      <c r="H661" s="83"/>
      <c r="I661" s="83"/>
      <c r="J661" s="83"/>
      <c r="K661" s="234"/>
    </row>
    <row r="662" spans="1:11" s="202" customFormat="1" x14ac:dyDescent="0.25">
      <c r="A662" s="233" t="s">
        <v>1001</v>
      </c>
      <c r="B662" s="83"/>
      <c r="C662" s="83"/>
      <c r="D662" s="83"/>
      <c r="E662" s="83"/>
      <c r="F662" s="83"/>
      <c r="G662" s="83"/>
      <c r="H662" s="83"/>
      <c r="I662" s="83"/>
      <c r="J662" s="83"/>
      <c r="K662" s="234"/>
    </row>
    <row r="663" spans="1:11" s="202" customFormat="1" x14ac:dyDescent="0.25">
      <c r="A663" s="235" t="s">
        <v>1131</v>
      </c>
      <c r="B663" s="116"/>
      <c r="C663" s="116"/>
      <c r="D663" s="116"/>
      <c r="E663" s="116"/>
      <c r="F663" s="116"/>
      <c r="G663" s="116"/>
      <c r="H663" s="116"/>
      <c r="I663" s="116"/>
      <c r="J663" s="116"/>
      <c r="K663" s="236"/>
    </row>
    <row r="666" spans="1:11" x14ac:dyDescent="0.25">
      <c r="A666" s="6" t="s">
        <v>12</v>
      </c>
      <c r="B666" s="173" t="s">
        <v>246</v>
      </c>
    </row>
    <row r="667" spans="1:11" x14ac:dyDescent="0.25">
      <c r="A667" s="6" t="s">
        <v>14</v>
      </c>
      <c r="B667" s="7" t="s">
        <v>638</v>
      </c>
      <c r="C667" s="9" t="s">
        <v>15</v>
      </c>
    </row>
    <row r="668" spans="1:11" x14ac:dyDescent="0.25">
      <c r="A668" s="10" t="s">
        <v>16</v>
      </c>
      <c r="B668" s="154"/>
      <c r="C668" s="173">
        <v>2024</v>
      </c>
      <c r="D668" s="173">
        <v>2025</v>
      </c>
      <c r="E668" s="173">
        <v>2026</v>
      </c>
    </row>
    <row r="669" spans="1:11" x14ac:dyDescent="0.25">
      <c r="A669" s="10" t="s">
        <v>17</v>
      </c>
      <c r="B669" s="156"/>
      <c r="C669" s="175">
        <v>120</v>
      </c>
      <c r="D669" s="175">
        <v>120</v>
      </c>
      <c r="E669" s="175">
        <v>120</v>
      </c>
    </row>
    <row r="670" spans="1:11" x14ac:dyDescent="0.25">
      <c r="A670" s="10" t="s">
        <v>18</v>
      </c>
      <c r="B670" s="156"/>
      <c r="C670" s="175">
        <f>C669+1.49</f>
        <v>121.49</v>
      </c>
      <c r="D670" s="175">
        <f>D669+0.25*120</f>
        <v>150</v>
      </c>
      <c r="E670" s="175">
        <f>E669+0.25*120</f>
        <v>150</v>
      </c>
    </row>
    <row r="671" spans="1:11" x14ac:dyDescent="0.25">
      <c r="A671" s="10" t="s">
        <v>19</v>
      </c>
      <c r="B671" s="176"/>
      <c r="C671" s="176" t="s">
        <v>924</v>
      </c>
      <c r="D671" s="176" t="s">
        <v>1101</v>
      </c>
      <c r="E671" s="176" t="s">
        <v>1101</v>
      </c>
    </row>
    <row r="672" spans="1:11" x14ac:dyDescent="0.25">
      <c r="A672" s="10" t="s">
        <v>20</v>
      </c>
      <c r="B672" s="156"/>
      <c r="C672" s="175">
        <v>109.066</v>
      </c>
      <c r="D672" s="175"/>
      <c r="E672" s="175"/>
    </row>
    <row r="673" spans="1:13" x14ac:dyDescent="0.25">
      <c r="A673" s="10" t="s">
        <v>21</v>
      </c>
      <c r="B673" s="156"/>
      <c r="C673" s="175">
        <f>C670-C672</f>
        <v>12.423999999999992</v>
      </c>
      <c r="D673" s="175"/>
      <c r="E673" s="175"/>
    </row>
    <row r="674" spans="1:13" x14ac:dyDescent="0.25">
      <c r="A674" s="16" t="s">
        <v>22</v>
      </c>
      <c r="B674" s="159"/>
      <c r="C674" s="179">
        <v>2026</v>
      </c>
      <c r="D674" s="179">
        <v>2027</v>
      </c>
      <c r="E674" s="180">
        <v>2028</v>
      </c>
    </row>
    <row r="675" spans="1:13" x14ac:dyDescent="0.25">
      <c r="A675" s="18" t="s">
        <v>23</v>
      </c>
      <c r="B675" s="19"/>
      <c r="C675" s="19"/>
      <c r="D675" s="19"/>
      <c r="E675" s="63"/>
    </row>
    <row r="676" spans="1:13" x14ac:dyDescent="0.25">
      <c r="A676" s="161" t="s">
        <v>925</v>
      </c>
      <c r="B676" s="32"/>
      <c r="C676" s="32"/>
      <c r="D676" s="32"/>
      <c r="E676" s="244"/>
      <c r="F676" s="32"/>
    </row>
    <row r="677" spans="1:13" x14ac:dyDescent="0.25">
      <c r="A677" s="161" t="s">
        <v>1102</v>
      </c>
      <c r="B677" s="32"/>
      <c r="C677" s="32"/>
      <c r="D677" s="32"/>
      <c r="E677" s="244"/>
      <c r="F677" s="32"/>
    </row>
    <row r="678" spans="1:13" x14ac:dyDescent="0.25">
      <c r="A678" s="162" t="s">
        <v>1266</v>
      </c>
      <c r="B678" s="22"/>
      <c r="C678" s="22"/>
      <c r="D678" s="22"/>
      <c r="E678" s="246"/>
      <c r="F678" s="32"/>
    </row>
    <row r="680" spans="1:13" x14ac:dyDescent="0.25">
      <c r="A680" s="98" t="s">
        <v>14</v>
      </c>
      <c r="B680" s="66" t="s">
        <v>623</v>
      </c>
      <c r="C680" s="66" t="s">
        <v>152</v>
      </c>
      <c r="D680" s="8"/>
      <c r="E680" s="8"/>
      <c r="F680" s="8"/>
      <c r="G680" s="8"/>
    </row>
    <row r="681" spans="1:13" x14ac:dyDescent="0.25">
      <c r="A681" s="95" t="s">
        <v>16</v>
      </c>
      <c r="B681" s="247"/>
      <c r="C681" s="248">
        <v>2015</v>
      </c>
      <c r="D681" s="248">
        <v>2016</v>
      </c>
      <c r="E681" s="248" t="s">
        <v>242</v>
      </c>
      <c r="F681" s="248" t="s">
        <v>243</v>
      </c>
      <c r="G681" s="248" t="s">
        <v>244</v>
      </c>
      <c r="H681" s="248" t="s">
        <v>286</v>
      </c>
      <c r="I681" s="248" t="s">
        <v>504</v>
      </c>
      <c r="J681" s="248" t="s">
        <v>674</v>
      </c>
      <c r="K681" s="248" t="s">
        <v>823</v>
      </c>
      <c r="L681" s="249" t="s">
        <v>1043</v>
      </c>
      <c r="M681" s="249" t="s">
        <v>1255</v>
      </c>
    </row>
    <row r="682" spans="1:13" x14ac:dyDescent="0.25">
      <c r="A682" s="68" t="s">
        <v>17</v>
      </c>
      <c r="B682" s="69"/>
      <c r="C682" s="72">
        <v>50</v>
      </c>
      <c r="D682" s="72">
        <v>50</v>
      </c>
      <c r="E682" s="72">
        <v>50</v>
      </c>
      <c r="F682" s="72">
        <v>50</v>
      </c>
      <c r="G682" s="72">
        <v>50</v>
      </c>
      <c r="H682" s="72">
        <v>50</v>
      </c>
      <c r="I682" s="72">
        <v>50</v>
      </c>
      <c r="J682" s="72">
        <v>50</v>
      </c>
      <c r="K682" s="72">
        <v>50</v>
      </c>
      <c r="L682" s="90">
        <v>50</v>
      </c>
      <c r="M682" s="90">
        <v>50</v>
      </c>
    </row>
    <row r="683" spans="1:13" x14ac:dyDescent="0.25">
      <c r="A683" s="68" t="s">
        <v>18</v>
      </c>
      <c r="B683" s="250"/>
      <c r="C683" s="72">
        <v>75</v>
      </c>
      <c r="D683" s="72">
        <v>75</v>
      </c>
      <c r="E683" s="72">
        <v>75</v>
      </c>
      <c r="F683" s="72">
        <v>70</v>
      </c>
      <c r="G683" s="72">
        <v>70</v>
      </c>
      <c r="H683" s="72">
        <f>H682+F686</f>
        <v>62.6</v>
      </c>
      <c r="I683" s="72">
        <v>70</v>
      </c>
      <c r="J683" s="72">
        <v>70</v>
      </c>
      <c r="K683" s="72">
        <v>70</v>
      </c>
      <c r="L683" s="90">
        <v>70</v>
      </c>
      <c r="M683" s="90">
        <v>70</v>
      </c>
    </row>
    <row r="684" spans="1:13" x14ac:dyDescent="0.25">
      <c r="A684" s="68" t="s">
        <v>19</v>
      </c>
      <c r="B684" s="251"/>
      <c r="C684" s="252" t="s">
        <v>141</v>
      </c>
      <c r="D684" s="252" t="s">
        <v>141</v>
      </c>
      <c r="E684" s="252" t="s">
        <v>141</v>
      </c>
      <c r="F684" s="253" t="s">
        <v>245</v>
      </c>
      <c r="G684" s="253" t="s">
        <v>245</v>
      </c>
      <c r="H684" s="252" t="s">
        <v>329</v>
      </c>
      <c r="I684" s="252" t="s">
        <v>586</v>
      </c>
      <c r="J684" s="252" t="s">
        <v>881</v>
      </c>
      <c r="K684" s="252" t="s">
        <v>882</v>
      </c>
      <c r="L684" s="90" t="s">
        <v>1171</v>
      </c>
      <c r="M684" s="90" t="s">
        <v>1256</v>
      </c>
    </row>
    <row r="685" spans="1:13" x14ac:dyDescent="0.25">
      <c r="A685" s="68" t="s">
        <v>20</v>
      </c>
      <c r="B685" s="69"/>
      <c r="C685" s="72">
        <v>0</v>
      </c>
      <c r="D685" s="72">
        <v>27.449000000000002</v>
      </c>
      <c r="E685" s="72">
        <v>21.13</v>
      </c>
      <c r="F685" s="72">
        <v>57.4</v>
      </c>
      <c r="G685" s="72">
        <v>21.8</v>
      </c>
      <c r="H685" s="72">
        <v>27.576000000000001</v>
      </c>
      <c r="I685" s="72">
        <v>0</v>
      </c>
      <c r="J685" s="72">
        <v>0</v>
      </c>
      <c r="K685" s="72">
        <v>2.0099999999999998</v>
      </c>
      <c r="L685" s="90">
        <v>1.78</v>
      </c>
      <c r="M685" s="90"/>
    </row>
    <row r="686" spans="1:13" x14ac:dyDescent="0.25">
      <c r="A686" s="68" t="s">
        <v>21</v>
      </c>
      <c r="B686" s="69"/>
      <c r="C686" s="72">
        <v>75</v>
      </c>
      <c r="D686" s="72">
        <f t="shared" ref="D686:I686" si="30">D683-D685</f>
        <v>47.551000000000002</v>
      </c>
      <c r="E686" s="72">
        <f t="shared" si="30"/>
        <v>53.870000000000005</v>
      </c>
      <c r="F686" s="72">
        <f t="shared" si="30"/>
        <v>12.600000000000001</v>
      </c>
      <c r="G686" s="72">
        <f t="shared" si="30"/>
        <v>48.2</v>
      </c>
      <c r="H686" s="72">
        <f t="shared" si="30"/>
        <v>35.024000000000001</v>
      </c>
      <c r="I686" s="72">
        <f t="shared" si="30"/>
        <v>70</v>
      </c>
      <c r="J686" s="72">
        <f>J683-J685</f>
        <v>70</v>
      </c>
      <c r="K686" s="72">
        <f>K683-K685</f>
        <v>67.989999999999995</v>
      </c>
      <c r="L686" s="72">
        <f>L683-L685</f>
        <v>68.22</v>
      </c>
      <c r="M686" s="72">
        <f>M683-M685</f>
        <v>70</v>
      </c>
    </row>
    <row r="687" spans="1:13" x14ac:dyDescent="0.25">
      <c r="A687" s="73" t="s">
        <v>22</v>
      </c>
      <c r="B687" s="74"/>
      <c r="C687" s="254">
        <v>2017</v>
      </c>
      <c r="D687" s="254">
        <v>2018</v>
      </c>
      <c r="E687" s="254">
        <v>2019</v>
      </c>
      <c r="F687" s="254">
        <v>2020</v>
      </c>
      <c r="G687" s="254">
        <v>2021</v>
      </c>
      <c r="H687" s="254">
        <v>2022</v>
      </c>
      <c r="I687" s="254">
        <v>2023</v>
      </c>
      <c r="J687" s="254">
        <v>2024</v>
      </c>
      <c r="K687" s="254">
        <v>2025</v>
      </c>
      <c r="L687" s="249">
        <v>2026</v>
      </c>
      <c r="M687" s="249">
        <v>2027</v>
      </c>
    </row>
    <row r="688" spans="1:13" x14ac:dyDescent="0.25">
      <c r="A688" s="92" t="s">
        <v>502</v>
      </c>
      <c r="B688" s="93"/>
      <c r="C688" s="255"/>
      <c r="D688" s="255"/>
      <c r="E688" s="255"/>
      <c r="F688" s="255"/>
      <c r="G688" s="255"/>
      <c r="H688" s="255"/>
      <c r="I688" s="255"/>
      <c r="J688" s="255"/>
      <c r="K688" s="255"/>
      <c r="L688" s="63"/>
    </row>
    <row r="689" spans="1:13" x14ac:dyDescent="0.25">
      <c r="A689" s="256" t="s">
        <v>883</v>
      </c>
      <c r="B689" s="257"/>
      <c r="C689" s="257"/>
      <c r="D689" s="257"/>
      <c r="E689" s="257"/>
      <c r="F689" s="257"/>
      <c r="G689" s="257"/>
      <c r="H689" s="257"/>
      <c r="I689" s="257"/>
      <c r="J689" s="257"/>
      <c r="K689" s="257"/>
      <c r="L689" s="48"/>
    </row>
    <row r="690" spans="1:13" x14ac:dyDescent="0.25">
      <c r="A690" s="138"/>
      <c r="B690" s="138"/>
      <c r="C690" s="138"/>
      <c r="D690" s="138"/>
      <c r="E690" s="138"/>
      <c r="F690" s="138"/>
      <c r="G690" s="138"/>
    </row>
    <row r="691" spans="1:13" x14ac:dyDescent="0.25">
      <c r="A691" s="98" t="s">
        <v>14</v>
      </c>
      <c r="B691" s="66" t="s">
        <v>641</v>
      </c>
      <c r="C691" s="66" t="s">
        <v>152</v>
      </c>
      <c r="D691" s="8"/>
      <c r="E691" s="8"/>
      <c r="F691" s="8"/>
      <c r="G691" s="8"/>
    </row>
    <row r="692" spans="1:13" x14ac:dyDescent="0.25">
      <c r="A692" s="95" t="s">
        <v>16</v>
      </c>
      <c r="B692" s="247"/>
      <c r="C692" s="248">
        <v>2015</v>
      </c>
      <c r="D692" s="248">
        <v>2016</v>
      </c>
      <c r="E692" s="248" t="s">
        <v>242</v>
      </c>
      <c r="F692" s="248" t="s">
        <v>243</v>
      </c>
      <c r="G692" s="248" t="s">
        <v>244</v>
      </c>
      <c r="H692" s="248" t="s">
        <v>286</v>
      </c>
      <c r="I692" s="248" t="s">
        <v>504</v>
      </c>
      <c r="J692" s="248" t="s">
        <v>674</v>
      </c>
      <c r="K692" s="248" t="s">
        <v>823</v>
      </c>
      <c r="L692" s="249" t="s">
        <v>1043</v>
      </c>
      <c r="M692" s="249" t="s">
        <v>1255</v>
      </c>
    </row>
    <row r="693" spans="1:13" x14ac:dyDescent="0.25">
      <c r="A693" s="68" t="s">
        <v>17</v>
      </c>
      <c r="B693" s="69"/>
      <c r="C693" s="72">
        <v>125</v>
      </c>
      <c r="D693" s="72">
        <v>125</v>
      </c>
      <c r="E693" s="72">
        <v>125</v>
      </c>
      <c r="F693" s="72">
        <v>125</v>
      </c>
      <c r="G693" s="72">
        <v>125</v>
      </c>
      <c r="H693" s="72">
        <v>125</v>
      </c>
      <c r="I693" s="72">
        <v>125</v>
      </c>
      <c r="J693" s="72">
        <v>125</v>
      </c>
      <c r="K693" s="72">
        <v>125</v>
      </c>
      <c r="L693" s="90">
        <v>125</v>
      </c>
      <c r="M693" s="90">
        <v>125</v>
      </c>
    </row>
    <row r="694" spans="1:13" x14ac:dyDescent="0.25">
      <c r="A694" s="68" t="s">
        <v>18</v>
      </c>
      <c r="B694" s="250"/>
      <c r="C694" s="72">
        <f>C693*1.3</f>
        <v>162.5</v>
      </c>
      <c r="D694" s="72">
        <f>D693*1.3+25</f>
        <v>187.5</v>
      </c>
      <c r="E694" s="72">
        <f>E693*1.3+25</f>
        <v>187.5</v>
      </c>
      <c r="F694" s="72">
        <f>F693*1.2+25</f>
        <v>175</v>
      </c>
      <c r="G694" s="72">
        <f>G693*1.2+25</f>
        <v>175</v>
      </c>
      <c r="H694" s="72">
        <f>H693*1.2+25</f>
        <v>175</v>
      </c>
      <c r="I694" s="72">
        <v>150</v>
      </c>
      <c r="J694" s="72">
        <v>150</v>
      </c>
      <c r="K694" s="72">
        <v>150</v>
      </c>
      <c r="L694" s="90">
        <v>150</v>
      </c>
      <c r="M694" s="90">
        <v>150</v>
      </c>
    </row>
    <row r="695" spans="1:13" x14ac:dyDescent="0.25">
      <c r="A695" s="68" t="s">
        <v>19</v>
      </c>
      <c r="B695" s="251"/>
      <c r="C695" s="252" t="s">
        <v>333</v>
      </c>
      <c r="D695" s="252" t="s">
        <v>334</v>
      </c>
      <c r="E695" s="252" t="s">
        <v>334</v>
      </c>
      <c r="F695" s="252" t="s">
        <v>335</v>
      </c>
      <c r="G695" s="252" t="s">
        <v>335</v>
      </c>
      <c r="H695" s="252" t="s">
        <v>335</v>
      </c>
      <c r="I695" s="252" t="s">
        <v>587</v>
      </c>
      <c r="J695" s="252" t="s">
        <v>587</v>
      </c>
      <c r="K695" s="252" t="s">
        <v>587</v>
      </c>
      <c r="L695" s="90" t="s">
        <v>587</v>
      </c>
      <c r="M695" s="90" t="s">
        <v>587</v>
      </c>
    </row>
    <row r="696" spans="1:13" x14ac:dyDescent="0.25">
      <c r="A696" s="68" t="s">
        <v>20</v>
      </c>
      <c r="B696" s="69"/>
      <c r="C696" s="72">
        <v>41.9</v>
      </c>
      <c r="D696" s="72">
        <v>25.21</v>
      </c>
      <c r="E696" s="72">
        <v>16.8</v>
      </c>
      <c r="F696" s="72">
        <v>46.8</v>
      </c>
      <c r="G696" s="72">
        <v>101.46</v>
      </c>
      <c r="H696" s="72">
        <v>17.2</v>
      </c>
      <c r="I696" s="72">
        <v>0</v>
      </c>
      <c r="J696" s="72">
        <v>23.78</v>
      </c>
      <c r="K696" s="72">
        <v>2.4434</v>
      </c>
      <c r="L696" s="90">
        <v>65.12</v>
      </c>
      <c r="M696" s="90"/>
    </row>
    <row r="697" spans="1:13" x14ac:dyDescent="0.25">
      <c r="A697" s="68" t="s">
        <v>21</v>
      </c>
      <c r="B697" s="69"/>
      <c r="C697" s="72">
        <f t="shared" ref="C697:J697" si="31">C694-C696</f>
        <v>120.6</v>
      </c>
      <c r="D697" s="72">
        <f t="shared" si="31"/>
        <v>162.29</v>
      </c>
      <c r="E697" s="72">
        <f t="shared" si="31"/>
        <v>170.7</v>
      </c>
      <c r="F697" s="72">
        <f t="shared" si="31"/>
        <v>128.19999999999999</v>
      </c>
      <c r="G697" s="72">
        <f t="shared" si="31"/>
        <v>73.540000000000006</v>
      </c>
      <c r="H697" s="72">
        <f t="shared" si="31"/>
        <v>157.80000000000001</v>
      </c>
      <c r="I697" s="72">
        <f t="shared" si="31"/>
        <v>150</v>
      </c>
      <c r="J697" s="72">
        <f t="shared" si="31"/>
        <v>126.22</v>
      </c>
      <c r="K697" s="72">
        <f>K694-K696</f>
        <v>147.5566</v>
      </c>
      <c r="L697" s="72">
        <f>L694-L696</f>
        <v>84.88</v>
      </c>
      <c r="M697" s="72">
        <f t="shared" ref="M697" si="32">M694-M696</f>
        <v>150</v>
      </c>
    </row>
    <row r="698" spans="1:13" x14ac:dyDescent="0.25">
      <c r="A698" s="601" t="s">
        <v>22</v>
      </c>
      <c r="B698" s="129"/>
      <c r="C698" s="673">
        <v>2017</v>
      </c>
      <c r="D698" s="673">
        <v>2018</v>
      </c>
      <c r="E698" s="673">
        <v>2019</v>
      </c>
      <c r="F698" s="673">
        <v>2020</v>
      </c>
      <c r="G698" s="673">
        <v>2021</v>
      </c>
      <c r="H698" s="673">
        <v>2022</v>
      </c>
      <c r="I698" s="673">
        <v>2023</v>
      </c>
      <c r="J698" s="673">
        <v>2024</v>
      </c>
      <c r="K698" s="673">
        <v>2025</v>
      </c>
      <c r="L698" s="249">
        <v>2026</v>
      </c>
      <c r="M698" s="249">
        <v>2027</v>
      </c>
    </row>
    <row r="699" spans="1:13" ht="12.75" customHeight="1" x14ac:dyDescent="0.25">
      <c r="A699" s="94" t="s">
        <v>331</v>
      </c>
      <c r="B699" s="119"/>
      <c r="C699" s="119"/>
      <c r="D699" s="119"/>
      <c r="E699" s="119"/>
      <c r="F699" s="119"/>
      <c r="G699" s="119"/>
      <c r="H699" s="119"/>
      <c r="M699" s="64"/>
    </row>
    <row r="700" spans="1:13" x14ac:dyDescent="0.25">
      <c r="A700" s="109" t="s">
        <v>332</v>
      </c>
      <c r="B700" s="138"/>
      <c r="C700" s="138"/>
      <c r="D700" s="138"/>
      <c r="E700" s="138"/>
      <c r="F700" s="138"/>
      <c r="G700" s="138"/>
      <c r="M700" s="64"/>
    </row>
    <row r="701" spans="1:13" ht="13.2" customHeight="1" x14ac:dyDescent="0.25">
      <c r="A701" s="110" t="s">
        <v>330</v>
      </c>
      <c r="B701" s="259"/>
      <c r="C701" s="259"/>
      <c r="D701" s="259"/>
      <c r="E701" s="259"/>
      <c r="F701" s="259"/>
      <c r="G701" s="259"/>
      <c r="H701" s="34"/>
      <c r="I701" s="34"/>
      <c r="J701" s="34"/>
      <c r="K701" s="34"/>
      <c r="L701" s="34"/>
      <c r="M701" s="48"/>
    </row>
    <row r="702" spans="1:13" x14ac:dyDescent="0.25">
      <c r="A702" s="138"/>
      <c r="B702" s="138"/>
      <c r="C702" s="138"/>
      <c r="D702" s="138"/>
      <c r="E702" s="138"/>
      <c r="F702" s="138"/>
      <c r="G702" s="138"/>
    </row>
    <row r="703" spans="1:13" x14ac:dyDescent="0.25">
      <c r="A703" s="138"/>
      <c r="B703" s="138"/>
      <c r="C703" s="138"/>
      <c r="D703" s="138"/>
      <c r="E703" s="138"/>
      <c r="F703" s="138"/>
      <c r="G703" s="138"/>
    </row>
    <row r="704" spans="1:13" x14ac:dyDescent="0.25">
      <c r="A704" s="6" t="s">
        <v>12</v>
      </c>
      <c r="B704" s="173" t="s">
        <v>603</v>
      </c>
    </row>
    <row r="705" spans="1:16" x14ac:dyDescent="0.25">
      <c r="A705" s="260" t="s">
        <v>14</v>
      </c>
      <c r="B705" s="261" t="s">
        <v>74</v>
      </c>
      <c r="C705" s="262" t="s">
        <v>152</v>
      </c>
      <c r="D705" s="8"/>
      <c r="E705" s="8"/>
      <c r="F705" s="8"/>
      <c r="G705" s="8"/>
    </row>
    <row r="706" spans="1:16" x14ac:dyDescent="0.25">
      <c r="A706" s="68" t="s">
        <v>16</v>
      </c>
      <c r="B706" s="263">
        <v>2016</v>
      </c>
      <c r="C706" s="263">
        <v>2017</v>
      </c>
      <c r="D706" s="263">
        <v>2018</v>
      </c>
      <c r="E706" s="263">
        <v>2019</v>
      </c>
      <c r="F706" s="263">
        <v>2020</v>
      </c>
      <c r="G706" s="263">
        <v>2021</v>
      </c>
      <c r="H706" s="263">
        <v>2022</v>
      </c>
      <c r="I706" s="263">
        <v>2023</v>
      </c>
      <c r="J706" s="263">
        <v>2024</v>
      </c>
      <c r="K706" s="263">
        <v>2025</v>
      </c>
      <c r="L706" s="263">
        <v>2026</v>
      </c>
      <c r="M706" s="263">
        <v>2027</v>
      </c>
      <c r="N706" s="263">
        <v>2028</v>
      </c>
      <c r="O706" s="263">
        <v>2029</v>
      </c>
      <c r="P706" s="263">
        <v>2030</v>
      </c>
    </row>
    <row r="707" spans="1:16" x14ac:dyDescent="0.25">
      <c r="A707" s="68" t="s">
        <v>17</v>
      </c>
      <c r="B707" s="72">
        <v>10</v>
      </c>
      <c r="C707" s="72">
        <v>10</v>
      </c>
      <c r="D707" s="72">
        <v>10</v>
      </c>
      <c r="E707" s="72">
        <v>10</v>
      </c>
      <c r="F707" s="72">
        <v>10</v>
      </c>
      <c r="G707" s="72">
        <v>10</v>
      </c>
      <c r="H707" s="72">
        <v>10</v>
      </c>
      <c r="I707" s="72">
        <v>10</v>
      </c>
      <c r="J707" s="72">
        <v>10</v>
      </c>
      <c r="K707" s="72">
        <v>10</v>
      </c>
      <c r="L707" s="72">
        <v>10</v>
      </c>
      <c r="M707" s="72">
        <v>10</v>
      </c>
      <c r="N707" s="72">
        <v>10</v>
      </c>
      <c r="O707" s="72">
        <v>10</v>
      </c>
      <c r="P707" s="72">
        <v>10</v>
      </c>
    </row>
    <row r="708" spans="1:16" x14ac:dyDescent="0.25">
      <c r="A708" s="68" t="s">
        <v>18</v>
      </c>
      <c r="B708" s="72"/>
      <c r="C708" s="72"/>
      <c r="D708" s="72">
        <f>C711+D707</f>
        <v>-28</v>
      </c>
      <c r="E708" s="72">
        <f>D711+E707</f>
        <v>-20.3</v>
      </c>
      <c r="F708" s="72">
        <f>E711+F707</f>
        <v>-30.6</v>
      </c>
      <c r="G708" s="72">
        <f>F711+G707</f>
        <v>-20.6</v>
      </c>
      <c r="H708" s="72">
        <f>-2.53+H707</f>
        <v>7.4700000000000006</v>
      </c>
      <c r="I708" s="72">
        <f>-2.5+I707</f>
        <v>7.5</v>
      </c>
      <c r="J708" s="72">
        <f t="shared" ref="J708:P708" si="33">-2.5+J707</f>
        <v>7.5</v>
      </c>
      <c r="K708" s="72">
        <f t="shared" si="33"/>
        <v>7.5</v>
      </c>
      <c r="L708" s="72">
        <f t="shared" si="33"/>
        <v>7.5</v>
      </c>
      <c r="M708" s="72">
        <f t="shared" si="33"/>
        <v>7.5</v>
      </c>
      <c r="N708" s="72">
        <f t="shared" si="33"/>
        <v>7.5</v>
      </c>
      <c r="O708" s="72">
        <f t="shared" si="33"/>
        <v>7.5</v>
      </c>
      <c r="P708" s="72">
        <f t="shared" si="33"/>
        <v>7.5</v>
      </c>
    </row>
    <row r="709" spans="1:16" x14ac:dyDescent="0.25">
      <c r="A709" s="68" t="s">
        <v>19</v>
      </c>
      <c r="B709" s="264"/>
      <c r="C709" s="264"/>
      <c r="D709" s="264"/>
      <c r="E709" s="264"/>
      <c r="F709" s="264"/>
      <c r="G709" s="264"/>
      <c r="H709" s="265" t="s">
        <v>543</v>
      </c>
      <c r="I709" s="265" t="s">
        <v>543</v>
      </c>
      <c r="J709" s="265" t="s">
        <v>543</v>
      </c>
      <c r="K709" s="265" t="s">
        <v>543</v>
      </c>
      <c r="L709" s="265" t="s">
        <v>543</v>
      </c>
      <c r="M709" s="265" t="s">
        <v>543</v>
      </c>
      <c r="N709" s="265" t="s">
        <v>543</v>
      </c>
      <c r="O709" s="265" t="s">
        <v>543</v>
      </c>
      <c r="P709" s="265" t="s">
        <v>543</v>
      </c>
    </row>
    <row r="710" spans="1:16" x14ac:dyDescent="0.25">
      <c r="A710" s="68" t="s">
        <v>20</v>
      </c>
      <c r="B710" s="72">
        <v>0</v>
      </c>
      <c r="C710" s="72">
        <v>48</v>
      </c>
      <c r="D710" s="72">
        <v>2.2999999999999998</v>
      </c>
      <c r="E710" s="72">
        <v>20.3</v>
      </c>
      <c r="F710" s="72">
        <v>0</v>
      </c>
      <c r="G710" s="72">
        <v>1.9330000000000001</v>
      </c>
      <c r="H710" s="72">
        <v>6.29</v>
      </c>
      <c r="I710" s="72">
        <v>0.80700000000000005</v>
      </c>
      <c r="J710" s="72">
        <v>0</v>
      </c>
      <c r="K710" s="72"/>
      <c r="L710" s="72"/>
      <c r="M710" s="72"/>
      <c r="N710" s="72"/>
      <c r="O710" s="72"/>
      <c r="P710" s="72"/>
    </row>
    <row r="711" spans="1:16" x14ac:dyDescent="0.25">
      <c r="A711" s="68" t="s">
        <v>21</v>
      </c>
      <c r="B711" s="72">
        <f>B707-B710</f>
        <v>10</v>
      </c>
      <c r="C711" s="72">
        <f>C707-C710</f>
        <v>-38</v>
      </c>
      <c r="D711" s="72">
        <f t="shared" ref="D711:J711" si="34">D708-D710</f>
        <v>-30.3</v>
      </c>
      <c r="E711" s="72">
        <f t="shared" si="34"/>
        <v>-40.6</v>
      </c>
      <c r="F711" s="72">
        <f t="shared" si="34"/>
        <v>-30.6</v>
      </c>
      <c r="G711" s="72">
        <f t="shared" si="34"/>
        <v>-22.533000000000001</v>
      </c>
      <c r="H711" s="72">
        <f t="shared" si="34"/>
        <v>1.1800000000000006</v>
      </c>
      <c r="I711" s="72">
        <f t="shared" si="34"/>
        <v>6.6929999999999996</v>
      </c>
      <c r="J711" s="72">
        <f t="shared" si="34"/>
        <v>7.5</v>
      </c>
      <c r="K711" s="72"/>
      <c r="L711" s="72"/>
      <c r="M711" s="72"/>
      <c r="N711" s="72"/>
      <c r="O711" s="72"/>
      <c r="P711" s="72"/>
    </row>
    <row r="712" spans="1:16" x14ac:dyDescent="0.25">
      <c r="A712" s="73" t="s">
        <v>22</v>
      </c>
      <c r="B712" s="74">
        <v>2017</v>
      </c>
      <c r="C712" s="74">
        <v>2018</v>
      </c>
      <c r="D712" s="74">
        <v>2019</v>
      </c>
      <c r="E712" s="74">
        <v>2020</v>
      </c>
      <c r="F712" s="74">
        <v>2021</v>
      </c>
      <c r="G712" s="74">
        <v>2022</v>
      </c>
      <c r="H712" s="74">
        <v>2023</v>
      </c>
      <c r="I712" s="74">
        <v>2024</v>
      </c>
      <c r="J712" s="74">
        <v>2025</v>
      </c>
      <c r="K712" s="74">
        <v>2026</v>
      </c>
      <c r="L712" s="74">
        <v>2027</v>
      </c>
      <c r="M712" s="74">
        <v>2028</v>
      </c>
      <c r="N712" s="74">
        <v>2029</v>
      </c>
      <c r="O712" s="74">
        <v>2030</v>
      </c>
      <c r="P712" s="74">
        <v>2031</v>
      </c>
    </row>
    <row r="713" spans="1:16" x14ac:dyDescent="0.25">
      <c r="A713" s="73" t="s">
        <v>429</v>
      </c>
      <c r="B713" s="75"/>
      <c r="C713" s="75"/>
      <c r="D713" s="75"/>
      <c r="E713" s="75"/>
      <c r="F713" s="75"/>
      <c r="G713" s="75"/>
      <c r="H713" s="75"/>
      <c r="I713" s="46"/>
      <c r="J713" s="46"/>
      <c r="K713" s="46"/>
      <c r="L713" s="46"/>
      <c r="M713" s="46"/>
      <c r="N713" s="46"/>
      <c r="O713" s="46"/>
      <c r="P713" s="47"/>
    </row>
    <row r="714" spans="1:16" x14ac:dyDescent="0.25">
      <c r="A714" s="690" t="s">
        <v>932</v>
      </c>
      <c r="B714" s="691"/>
      <c r="C714" s="691"/>
      <c r="D714" s="691"/>
      <c r="E714" s="691"/>
      <c r="F714" s="691"/>
      <c r="G714" s="691"/>
      <c r="H714" s="691"/>
      <c r="I714" s="34"/>
      <c r="J714" s="34"/>
      <c r="K714" s="34"/>
      <c r="L714" s="34"/>
      <c r="M714" s="34"/>
      <c r="N714" s="34"/>
      <c r="O714" s="34"/>
      <c r="P714" s="48"/>
    </row>
    <row r="716" spans="1:16" x14ac:dyDescent="0.25">
      <c r="A716" s="138"/>
      <c r="B716" s="138"/>
      <c r="C716" s="138"/>
      <c r="D716" s="138"/>
      <c r="E716" s="138"/>
      <c r="F716" s="138"/>
      <c r="G716" s="138"/>
    </row>
    <row r="717" spans="1:16" x14ac:dyDescent="0.25">
      <c r="A717" s="6" t="s">
        <v>12</v>
      </c>
      <c r="B717" s="173" t="s">
        <v>706</v>
      </c>
    </row>
    <row r="718" spans="1:16" x14ac:dyDescent="0.25">
      <c r="A718" s="103" t="s">
        <v>14</v>
      </c>
      <c r="B718" s="104" t="s">
        <v>1014</v>
      </c>
      <c r="C718" s="66" t="s">
        <v>152</v>
      </c>
      <c r="D718" s="8"/>
      <c r="E718" s="8"/>
      <c r="F718" s="8"/>
      <c r="G718" s="8"/>
    </row>
    <row r="719" spans="1:16" x14ac:dyDescent="0.25">
      <c r="A719" s="95" t="s">
        <v>16</v>
      </c>
      <c r="B719" s="263"/>
      <c r="C719" s="263">
        <v>2022</v>
      </c>
      <c r="D719" s="263">
        <v>2023</v>
      </c>
      <c r="E719" s="263">
        <v>2024</v>
      </c>
      <c r="F719" s="90">
        <v>2025</v>
      </c>
    </row>
    <row r="720" spans="1:16" x14ac:dyDescent="0.25">
      <c r="A720" s="68" t="s">
        <v>17</v>
      </c>
      <c r="B720" s="72"/>
      <c r="C720" s="72">
        <v>177.27</v>
      </c>
      <c r="D720" s="72">
        <v>150.27000000000001</v>
      </c>
      <c r="E720" s="72">
        <v>150.27000000000001</v>
      </c>
      <c r="F720" s="90">
        <v>150.27000000000001</v>
      </c>
    </row>
    <row r="721" spans="1:8" x14ac:dyDescent="0.25">
      <c r="A721" s="68" t="s">
        <v>18</v>
      </c>
      <c r="B721" s="72"/>
      <c r="C721" s="72"/>
      <c r="D721" s="72"/>
      <c r="E721" s="72">
        <f>E720+D724</f>
        <v>136.54000000000002</v>
      </c>
      <c r="F721" s="130">
        <f>F720+E724</f>
        <v>141.54000000000002</v>
      </c>
    </row>
    <row r="722" spans="1:8" x14ac:dyDescent="0.25">
      <c r="A722" s="68" t="s">
        <v>19</v>
      </c>
      <c r="B722" s="264"/>
      <c r="C722" s="264"/>
      <c r="D722" s="264"/>
      <c r="E722" s="265" t="s">
        <v>543</v>
      </c>
      <c r="F722" s="90"/>
    </row>
    <row r="723" spans="1:8" x14ac:dyDescent="0.25">
      <c r="A723" s="68" t="s">
        <v>20</v>
      </c>
      <c r="B723" s="72"/>
      <c r="C723" s="72">
        <v>177</v>
      </c>
      <c r="D723" s="72">
        <v>164</v>
      </c>
      <c r="E723" s="72">
        <v>159</v>
      </c>
      <c r="F723" s="90"/>
    </row>
    <row r="724" spans="1:8" x14ac:dyDescent="0.25">
      <c r="A724" s="68" t="s">
        <v>21</v>
      </c>
      <c r="B724" s="72"/>
      <c r="C724" s="72">
        <f>C720-C723</f>
        <v>0.27000000000001023</v>
      </c>
      <c r="D724" s="72">
        <f>D720-D723</f>
        <v>-13.72999999999999</v>
      </c>
      <c r="E724" s="266">
        <f>E720-E723</f>
        <v>-8.7299999999999898</v>
      </c>
      <c r="F724" s="90"/>
    </row>
    <row r="725" spans="1:8" x14ac:dyDescent="0.25">
      <c r="A725" s="73" t="s">
        <v>22</v>
      </c>
      <c r="B725" s="74"/>
      <c r="C725" s="74"/>
      <c r="D725" s="74">
        <v>2024</v>
      </c>
      <c r="E725" s="74">
        <v>2025</v>
      </c>
      <c r="F725" s="90">
        <v>2026</v>
      </c>
    </row>
    <row r="726" spans="1:8" ht="13.2" customHeight="1" x14ac:dyDescent="0.25">
      <c r="A726" s="267" t="s">
        <v>23</v>
      </c>
      <c r="B726" s="267"/>
      <c r="C726" s="267"/>
      <c r="D726" s="267"/>
      <c r="E726" s="267"/>
      <c r="F726" s="90"/>
    </row>
    <row r="727" spans="1:8" ht="13.2" customHeight="1" x14ac:dyDescent="0.25">
      <c r="A727" s="92" t="s">
        <v>1015</v>
      </c>
      <c r="B727" s="258"/>
      <c r="C727" s="258"/>
      <c r="D727" s="258"/>
      <c r="E727" s="258"/>
      <c r="F727" s="63"/>
    </row>
    <row r="728" spans="1:8" x14ac:dyDescent="0.25">
      <c r="A728" s="110"/>
      <c r="B728" s="259"/>
      <c r="C728" s="259"/>
      <c r="D728" s="259"/>
      <c r="E728" s="122"/>
      <c r="F728" s="268"/>
      <c r="G728" s="119"/>
      <c r="H728" s="119"/>
    </row>
    <row r="729" spans="1:8" x14ac:dyDescent="0.25">
      <c r="A729" s="110"/>
      <c r="B729" s="259"/>
      <c r="C729" s="259"/>
      <c r="D729" s="138"/>
      <c r="E729" s="119"/>
      <c r="F729" s="119"/>
      <c r="G729" s="119"/>
      <c r="H729" s="119"/>
    </row>
    <row r="730" spans="1:8" x14ac:dyDescent="0.25">
      <c r="A730" s="103" t="s">
        <v>14</v>
      </c>
      <c r="B730" s="104" t="s">
        <v>642</v>
      </c>
      <c r="C730" s="66" t="s">
        <v>152</v>
      </c>
      <c r="D730" s="8"/>
      <c r="E730" s="8"/>
      <c r="F730" s="8"/>
      <c r="G730" s="8"/>
    </row>
    <row r="731" spans="1:8" x14ac:dyDescent="0.25">
      <c r="A731" s="95" t="s">
        <v>16</v>
      </c>
      <c r="B731" s="263"/>
      <c r="C731" s="263">
        <v>2021</v>
      </c>
      <c r="D731" s="263">
        <v>2022</v>
      </c>
      <c r="E731" s="263">
        <v>2023</v>
      </c>
      <c r="F731" s="263">
        <v>2024</v>
      </c>
      <c r="G731" s="263">
        <v>2025</v>
      </c>
    </row>
    <row r="732" spans="1:8" x14ac:dyDescent="0.25">
      <c r="A732" s="68" t="s">
        <v>17</v>
      </c>
      <c r="B732" s="72"/>
      <c r="C732" s="72">
        <v>330</v>
      </c>
      <c r="D732" s="72">
        <v>330</v>
      </c>
      <c r="E732" s="72">
        <v>513</v>
      </c>
      <c r="F732" s="72">
        <v>513</v>
      </c>
      <c r="G732" s="72">
        <v>513</v>
      </c>
    </row>
    <row r="733" spans="1:8" x14ac:dyDescent="0.25">
      <c r="A733" s="68" t="s">
        <v>18</v>
      </c>
      <c r="B733" s="72"/>
      <c r="C733" s="72"/>
      <c r="D733" s="72">
        <f>D732-259.62</f>
        <v>70.38</v>
      </c>
      <c r="E733" s="72">
        <f>E732-507.87</f>
        <v>5.1299999999999955</v>
      </c>
      <c r="F733" s="72">
        <f>F732-507.87</f>
        <v>5.1299999999999955</v>
      </c>
      <c r="G733" s="72">
        <v>507.67500000000001</v>
      </c>
      <c r="H733" s="269"/>
    </row>
    <row r="734" spans="1:8" x14ac:dyDescent="0.25">
      <c r="A734" s="68" t="s">
        <v>19</v>
      </c>
      <c r="B734" s="264"/>
      <c r="C734" s="264"/>
      <c r="D734" s="264"/>
      <c r="E734" s="264"/>
      <c r="F734" s="264"/>
      <c r="G734" s="264"/>
    </row>
    <row r="735" spans="1:8" x14ac:dyDescent="0.25">
      <c r="A735" s="68" t="s">
        <v>20</v>
      </c>
      <c r="B735" s="72"/>
      <c r="C735" s="72">
        <v>327.60000000000002</v>
      </c>
      <c r="D735" s="72">
        <v>67.08</v>
      </c>
      <c r="E735" s="72">
        <v>0</v>
      </c>
      <c r="F735" s="72">
        <v>5.3250000000000002</v>
      </c>
      <c r="G735" s="72"/>
    </row>
    <row r="736" spans="1:8" x14ac:dyDescent="0.25">
      <c r="A736" s="68" t="s">
        <v>21</v>
      </c>
      <c r="B736" s="72"/>
      <c r="C736" s="72">
        <f>C732-C735</f>
        <v>2.3999999999999773</v>
      </c>
      <c r="D736" s="72">
        <f>D733-D735</f>
        <v>3.2999999999999972</v>
      </c>
      <c r="E736" s="72">
        <f>E733-E735</f>
        <v>5.1299999999999955</v>
      </c>
      <c r="F736" s="72">
        <f>F733-F735</f>
        <v>-0.19500000000000473</v>
      </c>
      <c r="G736" s="72"/>
    </row>
    <row r="737" spans="1:12" x14ac:dyDescent="0.25">
      <c r="A737" s="73" t="s">
        <v>22</v>
      </c>
      <c r="B737" s="74"/>
      <c r="C737" s="74"/>
      <c r="D737" s="74"/>
      <c r="E737" s="74"/>
      <c r="F737" s="74"/>
      <c r="G737" s="74"/>
    </row>
    <row r="738" spans="1:12" s="729" customFormat="1" ht="13.2" customHeight="1" x14ac:dyDescent="0.25">
      <c r="A738" s="730" t="s">
        <v>23</v>
      </c>
      <c r="B738" s="731"/>
      <c r="C738" s="731"/>
      <c r="D738" s="731"/>
      <c r="E738" s="731"/>
      <c r="F738" s="731"/>
      <c r="G738" s="732"/>
      <c r="H738" s="728"/>
      <c r="I738" s="728"/>
      <c r="J738" s="728"/>
      <c r="K738" s="728"/>
      <c r="L738" s="728"/>
    </row>
    <row r="739" spans="1:12" x14ac:dyDescent="0.25">
      <c r="A739" s="733" t="s">
        <v>660</v>
      </c>
      <c r="B739" s="734"/>
      <c r="C739" s="734"/>
      <c r="D739" s="734"/>
      <c r="E739" s="731"/>
      <c r="F739" s="735"/>
      <c r="G739" s="736"/>
    </row>
    <row r="740" spans="1:12" ht="12.75" customHeight="1" x14ac:dyDescent="0.25">
      <c r="A740" s="94" t="s">
        <v>1013</v>
      </c>
      <c r="B740" s="727"/>
      <c r="C740" s="727"/>
      <c r="D740" s="727"/>
      <c r="E740" s="728"/>
      <c r="F740" s="729"/>
      <c r="G740" s="64"/>
    </row>
    <row r="741" spans="1:12" x14ac:dyDescent="0.25">
      <c r="A741" s="110" t="s">
        <v>956</v>
      </c>
      <c r="B741" s="259"/>
      <c r="C741" s="259"/>
      <c r="D741" s="259"/>
      <c r="E741" s="122"/>
      <c r="F741" s="122"/>
      <c r="G741" s="268"/>
      <c r="H741" s="119"/>
    </row>
    <row r="742" spans="1:12" x14ac:dyDescent="0.25">
      <c r="A742" s="80"/>
      <c r="B742" s="138"/>
      <c r="C742" s="138"/>
      <c r="D742" s="138"/>
      <c r="E742" s="119"/>
      <c r="F742" s="119"/>
      <c r="G742" s="119"/>
      <c r="H742" s="119"/>
    </row>
    <row r="743" spans="1:12" x14ac:dyDescent="0.25">
      <c r="A743" s="648" t="s">
        <v>14</v>
      </c>
      <c r="B743" s="649" t="s">
        <v>1241</v>
      </c>
      <c r="C743" s="66" t="s">
        <v>152</v>
      </c>
      <c r="D743" s="138"/>
      <c r="E743" s="119"/>
      <c r="F743" s="119"/>
      <c r="G743" s="119"/>
      <c r="H743" s="119"/>
    </row>
    <row r="744" spans="1:12" x14ac:dyDescent="0.25">
      <c r="A744" s="95" t="s">
        <v>16</v>
      </c>
      <c r="B744" s="263"/>
      <c r="C744" s="263">
        <v>2022</v>
      </c>
      <c r="D744" s="263">
        <v>2023</v>
      </c>
      <c r="E744" s="263">
        <v>2024</v>
      </c>
      <c r="F744" s="263">
        <v>2025</v>
      </c>
    </row>
    <row r="745" spans="1:12" x14ac:dyDescent="0.25">
      <c r="A745" s="68" t="s">
        <v>17</v>
      </c>
      <c r="B745" s="72"/>
      <c r="C745" s="650"/>
      <c r="D745" s="650"/>
      <c r="E745" s="651"/>
      <c r="F745" s="651">
        <v>125</v>
      </c>
      <c r="G745" s="119"/>
      <c r="H745" s="119"/>
    </row>
    <row r="746" spans="1:12" x14ac:dyDescent="0.25">
      <c r="A746" s="68" t="s">
        <v>18</v>
      </c>
      <c r="B746" s="72"/>
      <c r="C746" s="650"/>
      <c r="D746" s="653">
        <f>C749</f>
        <v>-6.3249999999999993</v>
      </c>
      <c r="E746" s="653">
        <f t="shared" ref="E746:F746" si="35">D749</f>
        <v>-79.325000000000003</v>
      </c>
      <c r="F746" s="653">
        <f t="shared" si="35"/>
        <v>-159.64999999999998</v>
      </c>
      <c r="G746" s="119"/>
      <c r="H746" s="119"/>
    </row>
    <row r="747" spans="1:12" ht="26.4" x14ac:dyDescent="0.25">
      <c r="A747" s="68" t="s">
        <v>19</v>
      </c>
      <c r="B747" s="264"/>
      <c r="C747" s="650"/>
      <c r="D747" s="654" t="s">
        <v>1244</v>
      </c>
      <c r="E747" s="654" t="s">
        <v>1243</v>
      </c>
      <c r="F747" s="654" t="s">
        <v>1242</v>
      </c>
      <c r="G747" s="119"/>
      <c r="H747" s="119"/>
    </row>
    <row r="748" spans="1:12" x14ac:dyDescent="0.25">
      <c r="A748" s="68" t="s">
        <v>20</v>
      </c>
      <c r="B748" s="72"/>
      <c r="C748" s="130">
        <v>26</v>
      </c>
      <c r="D748" s="130">
        <v>73</v>
      </c>
      <c r="E748" s="130">
        <v>100</v>
      </c>
      <c r="F748" s="130"/>
      <c r="G748" s="119"/>
      <c r="H748" s="119"/>
    </row>
    <row r="749" spans="1:12" x14ac:dyDescent="0.25">
      <c r="A749" s="68" t="s">
        <v>21</v>
      </c>
      <c r="B749" s="72"/>
      <c r="C749" s="130">
        <v>-6.3249999999999993</v>
      </c>
      <c r="D749" s="130">
        <v>-79.325000000000003</v>
      </c>
      <c r="E749" s="130">
        <v>-159.64999999999998</v>
      </c>
      <c r="F749" s="651"/>
      <c r="G749" s="119"/>
      <c r="H749" s="119"/>
    </row>
    <row r="750" spans="1:12" x14ac:dyDescent="0.25">
      <c r="A750" s="73" t="s">
        <v>22</v>
      </c>
      <c r="B750" s="74"/>
      <c r="C750" s="650"/>
      <c r="D750" s="650"/>
      <c r="E750" s="651"/>
      <c r="F750" s="651"/>
      <c r="G750" s="119"/>
      <c r="H750" s="119"/>
    </row>
    <row r="751" spans="1:12" x14ac:dyDescent="0.25">
      <c r="A751" s="655" t="s">
        <v>23</v>
      </c>
      <c r="B751" s="651"/>
      <c r="C751" s="647"/>
      <c r="D751" s="647"/>
      <c r="E751" s="656"/>
      <c r="F751" s="657"/>
      <c r="G751" s="119"/>
      <c r="H751" s="119"/>
    </row>
    <row r="752" spans="1:12" x14ac:dyDescent="0.25">
      <c r="A752" s="80"/>
      <c r="B752" s="138"/>
      <c r="C752" s="138"/>
      <c r="D752" s="138"/>
      <c r="E752" s="119"/>
      <c r="F752" s="119"/>
      <c r="G752" s="119"/>
      <c r="H752" s="119"/>
    </row>
    <row r="754" spans="1:9" x14ac:dyDescent="0.25">
      <c r="A754" s="6" t="s">
        <v>12</v>
      </c>
      <c r="B754" s="173" t="s">
        <v>259</v>
      </c>
    </row>
    <row r="755" spans="1:9" x14ac:dyDescent="0.25">
      <c r="A755" s="103" t="s">
        <v>14</v>
      </c>
      <c r="B755" s="104" t="s">
        <v>66</v>
      </c>
      <c r="C755" s="66" t="s">
        <v>152</v>
      </c>
      <c r="D755" s="8"/>
      <c r="E755" s="8"/>
      <c r="F755" s="8"/>
      <c r="G755" s="8"/>
    </row>
    <row r="756" spans="1:9" x14ac:dyDescent="0.25">
      <c r="A756" s="95" t="s">
        <v>16</v>
      </c>
      <c r="B756" s="270" t="s">
        <v>243</v>
      </c>
      <c r="C756" s="263" t="s">
        <v>244</v>
      </c>
      <c r="D756" s="263" t="s">
        <v>286</v>
      </c>
      <c r="E756" s="263" t="s">
        <v>594</v>
      </c>
      <c r="F756" s="263" t="s">
        <v>788</v>
      </c>
      <c r="G756" s="271" t="s">
        <v>1172</v>
      </c>
      <c r="H756" s="271" t="s">
        <v>1173</v>
      </c>
      <c r="I756" s="271" t="s">
        <v>1174</v>
      </c>
    </row>
    <row r="757" spans="1:9" x14ac:dyDescent="0.25">
      <c r="A757" s="68" t="s">
        <v>17</v>
      </c>
      <c r="B757" s="72" t="s">
        <v>47</v>
      </c>
      <c r="C757" s="72" t="s">
        <v>47</v>
      </c>
      <c r="D757" s="72">
        <v>1552.77</v>
      </c>
      <c r="E757" s="72">
        <v>1527.9256800000001</v>
      </c>
      <c r="F757" s="72">
        <v>1540.3478400000001</v>
      </c>
      <c r="G757" s="131">
        <v>1540.3478400000001</v>
      </c>
      <c r="H757" s="131">
        <v>1553</v>
      </c>
      <c r="I757" s="131">
        <v>1980</v>
      </c>
    </row>
    <row r="758" spans="1:9" x14ac:dyDescent="0.25">
      <c r="A758" s="68" t="s">
        <v>18</v>
      </c>
      <c r="B758" s="72" t="s">
        <v>47</v>
      </c>
      <c r="C758" s="72" t="s">
        <v>47</v>
      </c>
      <c r="D758" s="72"/>
      <c r="E758" s="72"/>
      <c r="F758" s="72"/>
      <c r="G758" s="90"/>
      <c r="H758" s="90"/>
      <c r="I758" s="90"/>
    </row>
    <row r="759" spans="1:9" x14ac:dyDescent="0.25">
      <c r="A759" s="68" t="s">
        <v>19</v>
      </c>
      <c r="B759" s="264"/>
      <c r="C759" s="264"/>
      <c r="D759" s="264"/>
      <c r="E759" s="264"/>
      <c r="F759" s="264"/>
      <c r="G759" s="90"/>
      <c r="H759" s="90"/>
      <c r="I759" s="90"/>
    </row>
    <row r="760" spans="1:9" x14ac:dyDescent="0.25">
      <c r="A760" s="68" t="s">
        <v>20</v>
      </c>
      <c r="B760" s="72">
        <v>2633.56</v>
      </c>
      <c r="C760" s="72">
        <v>2463.83</v>
      </c>
      <c r="D760" s="72">
        <v>1518</v>
      </c>
      <c r="E760" s="72">
        <v>1491.84</v>
      </c>
      <c r="F760" s="72">
        <v>1499.98</v>
      </c>
      <c r="G760" s="72">
        <v>1396.63</v>
      </c>
      <c r="H760" s="90">
        <v>1542.47</v>
      </c>
      <c r="I760" s="90"/>
    </row>
    <row r="761" spans="1:9" x14ac:dyDescent="0.25">
      <c r="A761" s="68" t="s">
        <v>21</v>
      </c>
      <c r="B761" s="72" t="s">
        <v>47</v>
      </c>
      <c r="C761" s="72" t="s">
        <v>47</v>
      </c>
      <c r="D761" s="72">
        <f>D757-D760</f>
        <v>34.769999999999982</v>
      </c>
      <c r="E761" s="72">
        <f>E757-E760</f>
        <v>36.085680000000139</v>
      </c>
      <c r="F761" s="72">
        <f>F757-F760</f>
        <v>40.367840000000115</v>
      </c>
      <c r="G761" s="72">
        <f t="shared" ref="G761:I761" si="36">G757-G760</f>
        <v>143.71784000000002</v>
      </c>
      <c r="H761" s="72">
        <f t="shared" si="36"/>
        <v>10.529999999999973</v>
      </c>
      <c r="I761" s="72">
        <f t="shared" si="36"/>
        <v>1980</v>
      </c>
    </row>
    <row r="762" spans="1:9" x14ac:dyDescent="0.25">
      <c r="A762" s="92" t="s">
        <v>22</v>
      </c>
      <c r="B762" s="272"/>
      <c r="C762" s="272"/>
      <c r="D762" s="272"/>
      <c r="E762" s="272"/>
      <c r="F762" s="272"/>
      <c r="G762" s="62"/>
      <c r="H762" s="62"/>
      <c r="I762" s="62"/>
    </row>
    <row r="763" spans="1:9" x14ac:dyDescent="0.25">
      <c r="A763" s="686" t="s">
        <v>786</v>
      </c>
      <c r="B763" s="687"/>
      <c r="C763" s="687"/>
      <c r="D763" s="687"/>
      <c r="E763" s="687"/>
      <c r="F763" s="258"/>
      <c r="G763" s="258"/>
      <c r="H763" s="258"/>
      <c r="I763" s="63"/>
    </row>
    <row r="764" spans="1:9" x14ac:dyDescent="0.25">
      <c r="A764" s="39" t="s">
        <v>787</v>
      </c>
      <c r="I764" s="64"/>
    </row>
    <row r="765" spans="1:9" x14ac:dyDescent="0.25">
      <c r="A765" s="41" t="s">
        <v>789</v>
      </c>
      <c r="B765" s="34"/>
      <c r="C765" s="34"/>
      <c r="D765" s="34"/>
      <c r="E765" s="34"/>
      <c r="F765" s="34"/>
      <c r="G765" s="34"/>
      <c r="H765" s="34"/>
      <c r="I765" s="48"/>
    </row>
    <row r="767" spans="1:9" ht="13.2" customHeight="1" x14ac:dyDescent="0.25"/>
    <row r="768" spans="1:9" x14ac:dyDescent="0.25">
      <c r="A768" s="6" t="s">
        <v>12</v>
      </c>
      <c r="B768" s="173" t="s">
        <v>39</v>
      </c>
    </row>
    <row r="769" spans="1:14" x14ac:dyDescent="0.25">
      <c r="A769" s="151" t="s">
        <v>14</v>
      </c>
      <c r="B769" s="273" t="s">
        <v>624</v>
      </c>
      <c r="C769" s="7" t="s">
        <v>15</v>
      </c>
    </row>
    <row r="770" spans="1:14" x14ac:dyDescent="0.25">
      <c r="A770" s="41" t="s">
        <v>16</v>
      </c>
      <c r="B770" s="274">
        <v>2014</v>
      </c>
      <c r="C770" s="154">
        <v>2015</v>
      </c>
      <c r="D770" s="154">
        <v>2016</v>
      </c>
      <c r="E770" s="154">
        <v>2017</v>
      </c>
      <c r="F770" s="154">
        <v>2018</v>
      </c>
      <c r="G770" s="154">
        <v>2019</v>
      </c>
      <c r="H770" s="154">
        <v>2020</v>
      </c>
      <c r="I770" s="154">
        <v>2021</v>
      </c>
      <c r="J770" s="154">
        <v>2022</v>
      </c>
      <c r="K770" s="154">
        <v>2023</v>
      </c>
      <c r="L770" s="154">
        <v>2024</v>
      </c>
      <c r="M770" s="154">
        <v>2025</v>
      </c>
    </row>
    <row r="771" spans="1:14" x14ac:dyDescent="0.25">
      <c r="A771" s="10" t="s">
        <v>17</v>
      </c>
      <c r="B771" s="275">
        <v>21551.3</v>
      </c>
      <c r="C771" s="275">
        <v>21551.3</v>
      </c>
      <c r="D771" s="275">
        <v>21551.3</v>
      </c>
      <c r="E771" s="275">
        <v>21551.3</v>
      </c>
      <c r="F771" s="275">
        <v>25861.599999999999</v>
      </c>
      <c r="G771" s="275">
        <v>25861.599999999999</v>
      </c>
      <c r="H771" s="275">
        <v>25861.599999999999</v>
      </c>
      <c r="I771" s="12">
        <v>29095.1</v>
      </c>
      <c r="J771" s="12">
        <v>29095.1</v>
      </c>
      <c r="K771" s="12">
        <v>29095.1</v>
      </c>
      <c r="L771" s="12">
        <v>35815.9</v>
      </c>
      <c r="M771" s="12">
        <v>35815.9</v>
      </c>
    </row>
    <row r="772" spans="1:14" x14ac:dyDescent="0.25">
      <c r="A772" s="10" t="s">
        <v>18</v>
      </c>
      <c r="B772" s="275">
        <v>26534.959999999999</v>
      </c>
      <c r="C772" s="275">
        <v>26939.13</v>
      </c>
      <c r="D772" s="275">
        <v>24541.7</v>
      </c>
      <c r="E772" s="275">
        <v>26939.125</v>
      </c>
      <c r="F772" s="275">
        <v>26094.649999999998</v>
      </c>
      <c r="G772" s="275">
        <v>29536.849000000002</v>
      </c>
      <c r="H772" s="275">
        <v>26869.420999999995</v>
      </c>
      <c r="I772" s="12">
        <f>I771+G775-434.04</f>
        <v>28121.021000000001</v>
      </c>
      <c r="J772" s="12">
        <f>J771+H775-0.0152*J771</f>
        <v>29941.571479999991</v>
      </c>
      <c r="K772" s="12">
        <f>K771+I775-0.0152*I771</f>
        <v>30678.782479999994</v>
      </c>
      <c r="L772" s="12">
        <f>L771+J775</f>
        <v>38912.721479999993</v>
      </c>
      <c r="M772" s="12">
        <f>M771+K775</f>
        <v>43134.292479999996</v>
      </c>
    </row>
    <row r="773" spans="1:14" ht="52.8" x14ac:dyDescent="0.25">
      <c r="A773" s="10" t="s">
        <v>19</v>
      </c>
      <c r="B773" s="276" t="s">
        <v>40</v>
      </c>
      <c r="C773" s="276" t="s">
        <v>41</v>
      </c>
      <c r="D773" s="276" t="s">
        <v>42</v>
      </c>
      <c r="E773" s="277" t="s">
        <v>43</v>
      </c>
      <c r="F773" s="277" t="s">
        <v>44</v>
      </c>
      <c r="G773" s="277" t="s">
        <v>45</v>
      </c>
      <c r="H773" s="277" t="s">
        <v>46</v>
      </c>
      <c r="I773" s="278" t="s">
        <v>471</v>
      </c>
      <c r="J773" s="278" t="s">
        <v>472</v>
      </c>
      <c r="K773" s="278" t="s">
        <v>634</v>
      </c>
      <c r="L773" s="278" t="s">
        <v>1003</v>
      </c>
      <c r="M773" s="278" t="s">
        <v>1121</v>
      </c>
    </row>
    <row r="774" spans="1:14" ht="12.6" customHeight="1" x14ac:dyDescent="0.25">
      <c r="A774" s="10" t="s">
        <v>20</v>
      </c>
      <c r="B774" s="12">
        <v>23544.560000000001</v>
      </c>
      <c r="C774" s="12">
        <v>20891.8</v>
      </c>
      <c r="D774" s="12">
        <v>24308.65</v>
      </c>
      <c r="E774" s="12">
        <v>23263.875999999997</v>
      </c>
      <c r="F774" s="12">
        <v>25086.829000000002</v>
      </c>
      <c r="G774" s="12">
        <v>30076.887999999999</v>
      </c>
      <c r="H774" s="12">
        <v>25580.704000000002</v>
      </c>
      <c r="I774" s="12">
        <v>26095.093000000004</v>
      </c>
      <c r="J774" s="12">
        <v>26844.75</v>
      </c>
      <c r="K774" s="12">
        <v>23360.39</v>
      </c>
      <c r="L774" s="12">
        <v>19901.083999999999</v>
      </c>
      <c r="M774" s="12"/>
    </row>
    <row r="775" spans="1:14" x14ac:dyDescent="0.25">
      <c r="A775" s="10" t="s">
        <v>21</v>
      </c>
      <c r="B775" s="12">
        <v>2990.4</v>
      </c>
      <c r="C775" s="12">
        <v>6047.33</v>
      </c>
      <c r="D775" s="12">
        <v>233.04999999999927</v>
      </c>
      <c r="E775" s="12">
        <v>3675.2490000000034</v>
      </c>
      <c r="F775" s="12">
        <v>1007.8209999999963</v>
      </c>
      <c r="G775" s="12">
        <f t="shared" ref="G775:L775" si="37">G772-G774</f>
        <v>-540.03899999999703</v>
      </c>
      <c r="H775" s="12">
        <f t="shared" si="37"/>
        <v>1288.7169999999933</v>
      </c>
      <c r="I775" s="12">
        <f t="shared" si="37"/>
        <v>2025.9279999999962</v>
      </c>
      <c r="J775" s="12">
        <f t="shared" si="37"/>
        <v>3096.8214799999914</v>
      </c>
      <c r="K775" s="12">
        <f t="shared" si="37"/>
        <v>7318.392479999995</v>
      </c>
      <c r="L775" s="12">
        <f t="shared" si="37"/>
        <v>19011.637479999994</v>
      </c>
      <c r="M775" s="12"/>
    </row>
    <row r="776" spans="1:14" x14ac:dyDescent="0.25">
      <c r="A776" s="16" t="s">
        <v>22</v>
      </c>
      <c r="B776" s="159">
        <v>2016</v>
      </c>
      <c r="C776" s="159">
        <v>2017</v>
      </c>
      <c r="D776" s="159">
        <v>2018</v>
      </c>
      <c r="E776" s="159">
        <v>2019</v>
      </c>
      <c r="F776" s="159">
        <v>2020</v>
      </c>
      <c r="G776" s="159">
        <v>2021</v>
      </c>
      <c r="H776" s="159">
        <v>2022</v>
      </c>
      <c r="I776" s="159">
        <v>2023</v>
      </c>
      <c r="J776" s="159">
        <v>2024</v>
      </c>
      <c r="K776" s="159">
        <v>2025</v>
      </c>
      <c r="L776" s="159">
        <v>2026</v>
      </c>
      <c r="M776" s="159">
        <v>2027</v>
      </c>
    </row>
    <row r="777" spans="1:14" x14ac:dyDescent="0.25">
      <c r="A777" s="18" t="s">
        <v>469</v>
      </c>
      <c r="B777" s="279"/>
      <c r="C777" s="279"/>
      <c r="D777" s="279"/>
      <c r="E777" s="279"/>
      <c r="F777" s="279"/>
      <c r="G777" s="279"/>
      <c r="H777" s="279"/>
      <c r="I777" s="279"/>
      <c r="J777" s="19"/>
      <c r="K777" s="19"/>
      <c r="L777" s="19"/>
      <c r="M777" s="63"/>
    </row>
    <row r="778" spans="1:14" x14ac:dyDescent="0.25">
      <c r="A778" s="39" t="s">
        <v>470</v>
      </c>
      <c r="B778" s="280"/>
      <c r="C778" s="280"/>
      <c r="D778" s="280"/>
      <c r="E778" s="280"/>
      <c r="F778" s="280"/>
      <c r="G778" s="280"/>
      <c r="H778" s="280"/>
      <c r="I778" s="280"/>
      <c r="M778" s="64"/>
    </row>
    <row r="779" spans="1:14" x14ac:dyDescent="0.25">
      <c r="A779" s="39" t="s">
        <v>473</v>
      </c>
      <c r="B779" s="280"/>
      <c r="C779" s="280"/>
      <c r="D779" s="280"/>
      <c r="E779" s="280"/>
      <c r="F779" s="280"/>
      <c r="G779" s="280"/>
      <c r="H779" s="280"/>
      <c r="I779" s="280"/>
      <c r="M779" s="64"/>
    </row>
    <row r="780" spans="1:14" x14ac:dyDescent="0.25">
      <c r="A780" s="39" t="s">
        <v>474</v>
      </c>
      <c r="B780" s="280"/>
      <c r="C780" s="280"/>
      <c r="D780" s="280"/>
      <c r="E780" s="280"/>
      <c r="F780" s="280"/>
      <c r="G780" s="280"/>
      <c r="H780" s="280"/>
      <c r="I780" s="280"/>
      <c r="M780" s="64"/>
    </row>
    <row r="781" spans="1:14" x14ac:dyDescent="0.25">
      <c r="A781" s="41" t="s">
        <v>635</v>
      </c>
      <c r="B781" s="281"/>
      <c r="C781" s="281"/>
      <c r="D781" s="281"/>
      <c r="E781" s="281"/>
      <c r="F781" s="281"/>
      <c r="G781" s="281"/>
      <c r="H781" s="281"/>
      <c r="I781" s="281"/>
      <c r="J781" s="34"/>
      <c r="K781" s="34"/>
      <c r="L781" s="34"/>
      <c r="M781" s="48"/>
    </row>
    <row r="783" spans="1:14" x14ac:dyDescent="0.25">
      <c r="A783" s="6" t="s">
        <v>14</v>
      </c>
      <c r="B783" s="173" t="s">
        <v>638</v>
      </c>
      <c r="C783" s="7" t="s">
        <v>15</v>
      </c>
    </row>
    <row r="784" spans="1:14" x14ac:dyDescent="0.25">
      <c r="A784" s="41" t="s">
        <v>16</v>
      </c>
      <c r="B784" s="274">
        <v>2014</v>
      </c>
      <c r="C784" s="154">
        <v>2015</v>
      </c>
      <c r="D784" s="154">
        <v>2016</v>
      </c>
      <c r="E784" s="154">
        <v>2017</v>
      </c>
      <c r="F784" s="154">
        <v>2018</v>
      </c>
      <c r="G784" s="154">
        <v>2019</v>
      </c>
      <c r="H784" s="154">
        <v>2020</v>
      </c>
      <c r="I784" s="154">
        <v>2021</v>
      </c>
      <c r="J784" s="154">
        <v>2022</v>
      </c>
      <c r="K784" s="154">
        <v>2023</v>
      </c>
      <c r="L784" s="154">
        <v>2024</v>
      </c>
      <c r="M784" s="154">
        <v>2025</v>
      </c>
      <c r="N784" s="154">
        <v>2026</v>
      </c>
    </row>
    <row r="785" spans="1:14" x14ac:dyDescent="0.25">
      <c r="A785" s="10" t="s">
        <v>17</v>
      </c>
      <c r="B785" s="275">
        <v>1470</v>
      </c>
      <c r="C785" s="275">
        <v>1470</v>
      </c>
      <c r="D785" s="275">
        <v>1470</v>
      </c>
      <c r="E785" s="275">
        <v>1470</v>
      </c>
      <c r="F785" s="275">
        <v>1470</v>
      </c>
      <c r="G785" s="275">
        <v>1470</v>
      </c>
      <c r="H785" s="275">
        <v>1470</v>
      </c>
      <c r="I785" s="12">
        <v>1470</v>
      </c>
      <c r="J785" s="12">
        <v>1470</v>
      </c>
      <c r="K785" s="12">
        <v>1765</v>
      </c>
      <c r="L785" s="12">
        <v>1765</v>
      </c>
      <c r="M785" s="12">
        <v>1765</v>
      </c>
      <c r="N785" s="12">
        <v>1765</v>
      </c>
    </row>
    <row r="786" spans="1:14" x14ac:dyDescent="0.25">
      <c r="A786" s="10" t="s">
        <v>18</v>
      </c>
      <c r="B786" s="275">
        <v>1470</v>
      </c>
      <c r="C786" s="275">
        <v>1719</v>
      </c>
      <c r="D786" s="275">
        <v>1837.5</v>
      </c>
      <c r="E786" s="275">
        <v>1837.5</v>
      </c>
      <c r="F786" s="275">
        <v>1837.5</v>
      </c>
      <c r="G786" s="275">
        <v>1837.5</v>
      </c>
      <c r="H786" s="275">
        <v>1837.5</v>
      </c>
      <c r="I786" s="275">
        <f>+I785+G785*0.25</f>
        <v>1837.5</v>
      </c>
      <c r="J786" s="275">
        <f>+J785+H785*0.25</f>
        <v>1837.5</v>
      </c>
      <c r="K786" s="275">
        <f>K785+I785*0.25</f>
        <v>2132.5</v>
      </c>
      <c r="L786" s="275">
        <v>2132.5</v>
      </c>
      <c r="M786" s="275">
        <f>M785+0.25*K785</f>
        <v>2206.25</v>
      </c>
      <c r="N786" s="275">
        <f>N785+0.25*L785</f>
        <v>2206.25</v>
      </c>
    </row>
    <row r="787" spans="1:14" ht="26.4" x14ac:dyDescent="0.25">
      <c r="A787" s="10" t="s">
        <v>19</v>
      </c>
      <c r="B787" s="276" t="s">
        <v>47</v>
      </c>
      <c r="C787" s="276" t="s">
        <v>48</v>
      </c>
      <c r="D787" s="276" t="s">
        <v>49</v>
      </c>
      <c r="E787" s="277" t="s">
        <v>43</v>
      </c>
      <c r="F787" s="277" t="s">
        <v>50</v>
      </c>
      <c r="G787" s="277" t="s">
        <v>51</v>
      </c>
      <c r="H787" s="277" t="s">
        <v>52</v>
      </c>
      <c r="I787" s="278" t="s">
        <v>263</v>
      </c>
      <c r="J787" s="278" t="s">
        <v>478</v>
      </c>
      <c r="K787" s="278" t="s">
        <v>710</v>
      </c>
      <c r="L787" s="282" t="s">
        <v>543</v>
      </c>
      <c r="M787" s="278" t="s">
        <v>1103</v>
      </c>
      <c r="N787" s="278" t="s">
        <v>1127</v>
      </c>
    </row>
    <row r="788" spans="1:14" x14ac:dyDescent="0.25">
      <c r="A788" s="10" t="s">
        <v>20</v>
      </c>
      <c r="B788" s="12">
        <v>335.36</v>
      </c>
      <c r="C788" s="12">
        <v>472.71</v>
      </c>
      <c r="D788" s="12">
        <v>54.77</v>
      </c>
      <c r="E788" s="12">
        <v>178.2</v>
      </c>
      <c r="F788" s="12">
        <v>102.81099999999999</v>
      </c>
      <c r="G788" s="277">
        <v>81.733813276999982</v>
      </c>
      <c r="H788" s="12">
        <v>60.466000000000008</v>
      </c>
      <c r="I788" s="12">
        <v>70.94</v>
      </c>
      <c r="J788" s="12">
        <v>71.53</v>
      </c>
      <c r="K788" s="12">
        <v>41.71</v>
      </c>
      <c r="L788" s="12">
        <v>67.03</v>
      </c>
      <c r="M788" s="12"/>
      <c r="N788" s="12"/>
    </row>
    <row r="789" spans="1:14" x14ac:dyDescent="0.25">
      <c r="A789" s="10" t="s">
        <v>21</v>
      </c>
      <c r="B789" s="12">
        <v>1135</v>
      </c>
      <c r="C789" s="12">
        <v>1246.29</v>
      </c>
      <c r="D789" s="12">
        <v>1782.73</v>
      </c>
      <c r="E789" s="12">
        <v>1659.3</v>
      </c>
      <c r="F789" s="12">
        <v>1734.6890000000001</v>
      </c>
      <c r="G789" s="277">
        <f t="shared" ref="G789:L789" si="38">G786-G788</f>
        <v>1755.7661867229999</v>
      </c>
      <c r="H789" s="12">
        <f t="shared" si="38"/>
        <v>1777.0340000000001</v>
      </c>
      <c r="I789" s="12">
        <f t="shared" si="38"/>
        <v>1766.56</v>
      </c>
      <c r="J789" s="12">
        <f t="shared" si="38"/>
        <v>1765.97</v>
      </c>
      <c r="K789" s="12">
        <f t="shared" si="38"/>
        <v>2090.79</v>
      </c>
      <c r="L789" s="12">
        <f t="shared" si="38"/>
        <v>2065.4699999999998</v>
      </c>
      <c r="M789" s="12"/>
      <c r="N789" s="12"/>
    </row>
    <row r="790" spans="1:14" x14ac:dyDescent="0.25">
      <c r="A790" s="16" t="s">
        <v>22</v>
      </c>
      <c r="B790" s="159">
        <v>2016</v>
      </c>
      <c r="C790" s="159">
        <v>2017</v>
      </c>
      <c r="D790" s="159">
        <v>2018</v>
      </c>
      <c r="E790" s="159">
        <v>2019</v>
      </c>
      <c r="F790" s="159">
        <v>2020</v>
      </c>
      <c r="G790" s="159">
        <v>2021</v>
      </c>
      <c r="H790" s="159">
        <v>2022</v>
      </c>
      <c r="I790" s="159">
        <v>2023</v>
      </c>
      <c r="J790" s="159">
        <v>2024</v>
      </c>
      <c r="K790" s="159">
        <v>2025</v>
      </c>
      <c r="L790" s="159">
        <v>2026</v>
      </c>
      <c r="M790" s="159">
        <v>2027</v>
      </c>
      <c r="N790" s="159">
        <v>2028</v>
      </c>
    </row>
    <row r="791" spans="1:14" x14ac:dyDescent="0.25">
      <c r="A791" s="18" t="s">
        <v>476</v>
      </c>
      <c r="B791" s="279"/>
      <c r="C791" s="279"/>
      <c r="D791" s="279"/>
      <c r="E791" s="279"/>
      <c r="F791" s="279"/>
      <c r="G791" s="279"/>
      <c r="H791" s="279"/>
      <c r="I791" s="279"/>
      <c r="J791" s="19"/>
      <c r="K791" s="19"/>
      <c r="L791" s="19"/>
      <c r="M791" s="19"/>
      <c r="N791" s="63"/>
    </row>
    <row r="792" spans="1:14" x14ac:dyDescent="0.25">
      <c r="A792" s="39" t="s">
        <v>475</v>
      </c>
      <c r="N792" s="64"/>
    </row>
    <row r="793" spans="1:14" x14ac:dyDescent="0.25">
      <c r="A793" s="39" t="s">
        <v>477</v>
      </c>
      <c r="N793" s="64"/>
    </row>
    <row r="794" spans="1:14" x14ac:dyDescent="0.25">
      <c r="A794" s="39" t="s">
        <v>711</v>
      </c>
      <c r="N794" s="64"/>
    </row>
    <row r="795" spans="1:14" x14ac:dyDescent="0.25">
      <c r="A795" s="39" t="s">
        <v>1028</v>
      </c>
      <c r="N795" s="64"/>
    </row>
    <row r="796" spans="1:14" x14ac:dyDescent="0.25">
      <c r="A796" s="39" t="s">
        <v>1104</v>
      </c>
      <c r="N796" s="64"/>
    </row>
    <row r="797" spans="1:14" x14ac:dyDescent="0.25">
      <c r="A797" s="42" t="s">
        <v>1268</v>
      </c>
      <c r="B797" s="34"/>
      <c r="C797" s="34"/>
      <c r="D797" s="34"/>
      <c r="E797" s="34"/>
      <c r="F797" s="34"/>
      <c r="G797" s="34"/>
      <c r="H797" s="34"/>
      <c r="I797" s="34"/>
      <c r="J797" s="34"/>
      <c r="K797" s="34"/>
      <c r="L797" s="34"/>
      <c r="M797" s="34"/>
      <c r="N797" s="48"/>
    </row>
    <row r="799" spans="1:14" x14ac:dyDescent="0.25">
      <c r="A799" s="6" t="s">
        <v>14</v>
      </c>
      <c r="B799" s="173" t="s">
        <v>623</v>
      </c>
      <c r="C799" s="7" t="s">
        <v>15</v>
      </c>
    </row>
    <row r="800" spans="1:14" x14ac:dyDescent="0.25">
      <c r="A800" s="41" t="s">
        <v>16</v>
      </c>
      <c r="B800" s="274">
        <v>2014</v>
      </c>
      <c r="C800" s="154">
        <v>2015</v>
      </c>
      <c r="D800" s="154">
        <v>2016</v>
      </c>
      <c r="E800" s="154">
        <v>2017</v>
      </c>
      <c r="F800" s="154">
        <v>2018</v>
      </c>
      <c r="G800" s="154">
        <v>2019</v>
      </c>
      <c r="H800" s="154">
        <v>2020</v>
      </c>
      <c r="I800" s="154">
        <v>2021</v>
      </c>
      <c r="J800" s="154">
        <v>2022</v>
      </c>
      <c r="K800" s="154">
        <v>2023</v>
      </c>
      <c r="L800" s="154">
        <v>2024</v>
      </c>
      <c r="M800" s="283">
        <v>2025</v>
      </c>
    </row>
    <row r="801" spans="1:13" x14ac:dyDescent="0.25">
      <c r="A801" s="10" t="s">
        <v>17</v>
      </c>
      <c r="B801" s="275">
        <v>6718</v>
      </c>
      <c r="C801" s="275">
        <v>6718</v>
      </c>
      <c r="D801" s="275">
        <v>6718</v>
      </c>
      <c r="E801" s="275">
        <v>6718</v>
      </c>
      <c r="F801" s="275">
        <v>6718</v>
      </c>
      <c r="G801" s="275">
        <v>6718</v>
      </c>
      <c r="H801" s="275">
        <v>6718</v>
      </c>
      <c r="I801" s="12">
        <v>6718</v>
      </c>
      <c r="J801" s="12">
        <v>6718</v>
      </c>
      <c r="K801" s="12">
        <v>6717.33</v>
      </c>
      <c r="L801" s="12">
        <v>6717.33</v>
      </c>
      <c r="M801" s="90">
        <v>7408.33</v>
      </c>
    </row>
    <row r="802" spans="1:13" x14ac:dyDescent="0.25">
      <c r="A802" s="10" t="s">
        <v>18</v>
      </c>
      <c r="B802" s="275">
        <v>7887.5</v>
      </c>
      <c r="C802" s="275">
        <v>7897.5</v>
      </c>
      <c r="D802" s="275">
        <v>7390.7</v>
      </c>
      <c r="E802" s="275">
        <v>7425.7</v>
      </c>
      <c r="F802" s="275">
        <v>7385.7</v>
      </c>
      <c r="G802" s="275">
        <v>7385.7</v>
      </c>
      <c r="H802" s="275">
        <f>H801+F801*0.15-100-40</f>
        <v>7585.7</v>
      </c>
      <c r="I802" s="275">
        <f>I801+0.15*G801-40-200-0.67</f>
        <v>7485.03</v>
      </c>
      <c r="J802" s="275">
        <f>J801+0.15*H801-40-250-0.0001*J801</f>
        <v>7435.0281999999997</v>
      </c>
      <c r="K802" s="275">
        <f>K801+0.15*I801-327</f>
        <v>7398.03</v>
      </c>
      <c r="L802" s="275">
        <f>L801+0.15*J801-280-40</f>
        <v>7405.03</v>
      </c>
      <c r="M802" s="90">
        <v>7302.37</v>
      </c>
    </row>
    <row r="803" spans="1:13" ht="39.6" x14ac:dyDescent="0.25">
      <c r="A803" s="10" t="s">
        <v>19</v>
      </c>
      <c r="B803" s="276" t="s">
        <v>53</v>
      </c>
      <c r="C803" s="276" t="s">
        <v>54</v>
      </c>
      <c r="D803" s="276" t="s">
        <v>55</v>
      </c>
      <c r="E803" s="277" t="s">
        <v>56</v>
      </c>
      <c r="F803" s="277" t="s">
        <v>57</v>
      </c>
      <c r="G803" s="277" t="s">
        <v>58</v>
      </c>
      <c r="H803" s="277" t="s">
        <v>517</v>
      </c>
      <c r="I803" s="284" t="s">
        <v>518</v>
      </c>
      <c r="J803" s="284" t="s">
        <v>637</v>
      </c>
      <c r="K803" s="284" t="s">
        <v>1004</v>
      </c>
      <c r="L803" s="284" t="s">
        <v>1175</v>
      </c>
      <c r="M803" s="285" t="s">
        <v>1176</v>
      </c>
    </row>
    <row r="804" spans="1:13" s="269" customFormat="1" x14ac:dyDescent="0.25">
      <c r="A804" s="286" t="s">
        <v>20</v>
      </c>
      <c r="B804" s="12">
        <v>5020.43</v>
      </c>
      <c r="C804" s="12">
        <v>5449.08</v>
      </c>
      <c r="D804" s="12">
        <v>5765.63</v>
      </c>
      <c r="E804" s="12">
        <v>5573.6610000000001</v>
      </c>
      <c r="F804" s="12">
        <v>4966.4159999999993</v>
      </c>
      <c r="G804" s="12">
        <v>5740.2240000000002</v>
      </c>
      <c r="H804" s="12">
        <v>5960.2599999999993</v>
      </c>
      <c r="I804" s="12">
        <v>5522.9264400000002</v>
      </c>
      <c r="J804" s="12">
        <v>5527.68</v>
      </c>
      <c r="K804" s="12">
        <v>7263.99</v>
      </c>
      <c r="L804" s="12">
        <v>6685.085</v>
      </c>
      <c r="M804" s="131"/>
    </row>
    <row r="805" spans="1:13" x14ac:dyDescent="0.25">
      <c r="A805" s="10" t="s">
        <v>21</v>
      </c>
      <c r="B805" s="12">
        <v>2867.0699999999997</v>
      </c>
      <c r="C805" s="12">
        <v>2448.42</v>
      </c>
      <c r="D805" s="12">
        <v>1625.0699999999997</v>
      </c>
      <c r="E805" s="12">
        <v>1852.039</v>
      </c>
      <c r="F805" s="12">
        <v>2419.2840000000006</v>
      </c>
      <c r="G805" s="12">
        <v>1645.4759999999997</v>
      </c>
      <c r="H805" s="12">
        <f>H802-H804</f>
        <v>1625.4400000000005</v>
      </c>
      <c r="I805" s="12">
        <f>I802-I804</f>
        <v>1962.1035599999996</v>
      </c>
      <c r="J805" s="12">
        <f>J802-J804</f>
        <v>1907.3481999999995</v>
      </c>
      <c r="K805" s="12">
        <f>K802-K804</f>
        <v>134.03999999999996</v>
      </c>
      <c r="L805" s="12">
        <f>L802-L804</f>
        <v>719.94499999999971</v>
      </c>
      <c r="M805" s="90"/>
    </row>
    <row r="806" spans="1:13" x14ac:dyDescent="0.25">
      <c r="A806" s="16" t="s">
        <v>22</v>
      </c>
      <c r="B806" s="159">
        <v>2016</v>
      </c>
      <c r="C806" s="159">
        <v>2017</v>
      </c>
      <c r="D806" s="159">
        <v>2018</v>
      </c>
      <c r="E806" s="159">
        <v>2019</v>
      </c>
      <c r="F806" s="159">
        <v>2020</v>
      </c>
      <c r="G806" s="159">
        <v>2021</v>
      </c>
      <c r="H806" s="159">
        <v>2022</v>
      </c>
      <c r="I806" s="159">
        <v>2023</v>
      </c>
      <c r="J806" s="159">
        <v>2024</v>
      </c>
      <c r="K806" s="159">
        <v>2025</v>
      </c>
      <c r="L806" s="159">
        <v>2025</v>
      </c>
      <c r="M806" s="90">
        <v>2025</v>
      </c>
    </row>
    <row r="807" spans="1:13" x14ac:dyDescent="0.25">
      <c r="A807" s="18" t="s">
        <v>479</v>
      </c>
      <c r="B807" s="287"/>
      <c r="C807" s="287"/>
      <c r="D807" s="287"/>
      <c r="E807" s="287"/>
      <c r="F807" s="287"/>
      <c r="G807" s="287"/>
      <c r="H807" s="287"/>
      <c r="I807" s="287"/>
      <c r="J807" s="19"/>
      <c r="K807" s="19"/>
      <c r="L807" s="19"/>
      <c r="M807" s="63"/>
    </row>
    <row r="808" spans="1:13" x14ac:dyDescent="0.25">
      <c r="A808" s="39" t="s">
        <v>519</v>
      </c>
      <c r="B808" s="2"/>
      <c r="C808" s="2"/>
      <c r="D808" s="2"/>
      <c r="E808" s="2"/>
      <c r="F808" s="2"/>
      <c r="G808" s="2"/>
      <c r="H808" s="2"/>
      <c r="I808" s="2"/>
      <c r="M808" s="64"/>
    </row>
    <row r="809" spans="1:13" x14ac:dyDescent="0.25">
      <c r="A809" s="39" t="s">
        <v>480</v>
      </c>
      <c r="B809" s="2"/>
      <c r="C809" s="2"/>
      <c r="D809" s="2"/>
      <c r="E809" s="2"/>
      <c r="F809" s="2"/>
      <c r="G809" s="2"/>
      <c r="H809" s="2"/>
      <c r="I809" s="2"/>
      <c r="M809" s="64"/>
    </row>
    <row r="810" spans="1:13" x14ac:dyDescent="0.25">
      <c r="A810" s="39" t="s">
        <v>520</v>
      </c>
      <c r="B810" s="2"/>
      <c r="C810" s="2"/>
      <c r="D810" s="2"/>
      <c r="E810" s="2"/>
      <c r="F810" s="2"/>
      <c r="G810" s="2"/>
      <c r="H810" s="2"/>
      <c r="I810" s="2"/>
      <c r="M810" s="64"/>
    </row>
    <row r="811" spans="1:13" x14ac:dyDescent="0.25">
      <c r="A811" s="39" t="s">
        <v>481</v>
      </c>
      <c r="B811" s="2"/>
      <c r="C811" s="2"/>
      <c r="D811" s="2"/>
      <c r="E811" s="2"/>
      <c r="F811" s="2"/>
      <c r="G811" s="2"/>
      <c r="H811" s="2"/>
      <c r="I811" s="2"/>
      <c r="M811" s="64"/>
    </row>
    <row r="812" spans="1:13" x14ac:dyDescent="0.25">
      <c r="A812" s="39" t="s">
        <v>483</v>
      </c>
      <c r="B812" s="2"/>
      <c r="C812" s="2"/>
      <c r="D812" s="2"/>
      <c r="E812" s="2"/>
      <c r="F812" s="2"/>
      <c r="G812" s="2"/>
      <c r="H812" s="2"/>
      <c r="I812" s="2"/>
      <c r="M812" s="64"/>
    </row>
    <row r="813" spans="1:13" x14ac:dyDescent="0.25">
      <c r="A813" s="39" t="s">
        <v>482</v>
      </c>
      <c r="B813" s="2"/>
      <c r="C813" s="2"/>
      <c r="D813" s="2"/>
      <c r="E813" s="2"/>
      <c r="F813" s="2"/>
      <c r="G813" s="2"/>
      <c r="H813" s="2"/>
      <c r="I813" s="2"/>
      <c r="M813" s="64"/>
    </row>
    <row r="814" spans="1:13" ht="44.25" customHeight="1" x14ac:dyDescent="0.25">
      <c r="A814" s="682" t="s">
        <v>636</v>
      </c>
      <c r="B814" s="683"/>
      <c r="C814" s="683"/>
      <c r="D814" s="683"/>
      <c r="E814" s="683"/>
      <c r="F814" s="683"/>
      <c r="G814" s="683"/>
      <c r="H814" s="683"/>
      <c r="I814" s="683"/>
      <c r="J814" s="683"/>
      <c r="K814" s="683"/>
      <c r="L814" s="683"/>
      <c r="M814" s="64"/>
    </row>
    <row r="815" spans="1:13" x14ac:dyDescent="0.25">
      <c r="A815" s="161" t="s">
        <v>1002</v>
      </c>
      <c r="B815" s="32"/>
      <c r="C815" s="32"/>
      <c r="D815" s="32"/>
      <c r="E815" s="32"/>
      <c r="F815" s="32"/>
      <c r="G815" s="32"/>
      <c r="H815" s="32"/>
      <c r="I815" s="32"/>
      <c r="J815" s="32"/>
      <c r="M815" s="64"/>
    </row>
    <row r="816" spans="1:13" x14ac:dyDescent="0.25">
      <c r="A816" s="288" t="s">
        <v>1005</v>
      </c>
      <c r="B816" s="289"/>
      <c r="C816" s="289"/>
      <c r="D816" s="289"/>
      <c r="E816" s="289"/>
      <c r="F816" s="289"/>
      <c r="G816" s="289"/>
      <c r="H816" s="289"/>
      <c r="I816" s="289"/>
      <c r="J816" s="34"/>
      <c r="K816" s="34"/>
      <c r="L816" s="34"/>
      <c r="M816" s="48"/>
    </row>
    <row r="818" spans="1:13" x14ac:dyDescent="0.25">
      <c r="A818" s="6" t="s">
        <v>14</v>
      </c>
      <c r="B818" s="173" t="s">
        <v>641</v>
      </c>
      <c r="C818" s="7" t="s">
        <v>15</v>
      </c>
    </row>
    <row r="819" spans="1:13" x14ac:dyDescent="0.25">
      <c r="A819" s="41" t="s">
        <v>16</v>
      </c>
      <c r="B819" s="274">
        <v>2014</v>
      </c>
      <c r="C819" s="154">
        <v>2015</v>
      </c>
      <c r="D819" s="154">
        <v>2016</v>
      </c>
      <c r="E819" s="154">
        <v>2017</v>
      </c>
      <c r="F819" s="154">
        <v>2018</v>
      </c>
      <c r="G819" s="154">
        <v>2019</v>
      </c>
      <c r="H819" s="154">
        <v>2020</v>
      </c>
      <c r="I819" s="154">
        <v>2021</v>
      </c>
      <c r="J819" s="154">
        <v>2022</v>
      </c>
      <c r="K819" s="154">
        <v>2023</v>
      </c>
      <c r="L819" s="154">
        <v>2024</v>
      </c>
      <c r="M819" s="154">
        <v>2025</v>
      </c>
    </row>
    <row r="820" spans="1:13" x14ac:dyDescent="0.25">
      <c r="A820" s="10" t="s">
        <v>17</v>
      </c>
      <c r="B820" s="275">
        <v>4824</v>
      </c>
      <c r="C820" s="275">
        <v>4824</v>
      </c>
      <c r="D820" s="275">
        <v>4824</v>
      </c>
      <c r="E820" s="275">
        <v>4824</v>
      </c>
      <c r="F820" s="275">
        <v>4824</v>
      </c>
      <c r="G820" s="275">
        <v>4824</v>
      </c>
      <c r="H820" s="275">
        <v>4824</v>
      </c>
      <c r="I820" s="275">
        <v>4824</v>
      </c>
      <c r="J820" s="275">
        <v>4824</v>
      </c>
      <c r="K820" s="275">
        <v>4824</v>
      </c>
      <c r="L820" s="275">
        <v>4824</v>
      </c>
      <c r="M820" s="290">
        <v>4824</v>
      </c>
    </row>
    <row r="821" spans="1:13" x14ac:dyDescent="0.25">
      <c r="A821" s="10" t="s">
        <v>18</v>
      </c>
      <c r="B821" s="275">
        <v>5141.7</v>
      </c>
      <c r="C821" s="275">
        <v>5695.4</v>
      </c>
      <c r="D821" s="275">
        <v>5601.06</v>
      </c>
      <c r="E821" s="275">
        <v>5224.38</v>
      </c>
      <c r="F821" s="275">
        <v>4963.5200000000004</v>
      </c>
      <c r="G821" s="275">
        <v>4928.1499999999996</v>
      </c>
      <c r="H821" s="275">
        <v>5011.2030000000004</v>
      </c>
      <c r="I821" s="275">
        <f>I820+G824</f>
        <v>5243.19</v>
      </c>
      <c r="J821" s="275">
        <f>J820+H824</f>
        <v>5085.0014400000018</v>
      </c>
      <c r="K821" s="275">
        <f>K820+0.1*I820</f>
        <v>5306.4</v>
      </c>
      <c r="L821" s="275">
        <f>L820+0.1*J820</f>
        <v>5306.4</v>
      </c>
      <c r="M821" s="290">
        <f>K824+M820</f>
        <v>4852.4709999999995</v>
      </c>
    </row>
    <row r="822" spans="1:13" ht="26.4" x14ac:dyDescent="0.25">
      <c r="A822" s="10" t="s">
        <v>19</v>
      </c>
      <c r="B822" s="276" t="s">
        <v>59</v>
      </c>
      <c r="C822" s="276" t="s">
        <v>60</v>
      </c>
      <c r="D822" s="276" t="s">
        <v>61</v>
      </c>
      <c r="E822" s="291" t="s">
        <v>62</v>
      </c>
      <c r="F822" s="291" t="s">
        <v>63</v>
      </c>
      <c r="G822" s="291" t="s">
        <v>64</v>
      </c>
      <c r="H822" s="291" t="s">
        <v>65</v>
      </c>
      <c r="I822" s="195" t="s">
        <v>264</v>
      </c>
      <c r="J822" s="195" t="s">
        <v>487</v>
      </c>
      <c r="K822" s="195" t="s">
        <v>879</v>
      </c>
      <c r="L822" s="195" t="s">
        <v>1007</v>
      </c>
      <c r="M822" s="292" t="s">
        <v>1177</v>
      </c>
    </row>
    <row r="823" spans="1:13" s="269" customFormat="1" x14ac:dyDescent="0.25">
      <c r="A823" s="286" t="s">
        <v>20</v>
      </c>
      <c r="B823" s="12">
        <v>4364.6400000000003</v>
      </c>
      <c r="C823" s="12">
        <v>5295.02</v>
      </c>
      <c r="D823" s="12">
        <v>5461.54</v>
      </c>
      <c r="E823" s="12">
        <v>5120.2</v>
      </c>
      <c r="F823" s="12">
        <v>4776.317</v>
      </c>
      <c r="G823" s="12">
        <v>4508.96</v>
      </c>
      <c r="H823" s="12">
        <v>4750.2015599999986</v>
      </c>
      <c r="I823" s="12">
        <v>4695.1249299999999</v>
      </c>
      <c r="J823" s="12">
        <v>3802.12</v>
      </c>
      <c r="K823" s="12">
        <v>5277.9290000000001</v>
      </c>
      <c r="L823" s="12">
        <v>4818.67</v>
      </c>
      <c r="M823" s="293"/>
    </row>
    <row r="824" spans="1:13" x14ac:dyDescent="0.25">
      <c r="A824" s="10" t="s">
        <v>21</v>
      </c>
      <c r="B824" s="12">
        <v>777.06</v>
      </c>
      <c r="C824" s="12">
        <v>400.38</v>
      </c>
      <c r="D824" s="12">
        <v>139.52000000000001</v>
      </c>
      <c r="E824" s="12">
        <v>104.2</v>
      </c>
      <c r="F824" s="12">
        <v>187.20300000000043</v>
      </c>
      <c r="G824" s="12">
        <v>419.1899999999996</v>
      </c>
      <c r="H824" s="12">
        <v>261.00144000000182</v>
      </c>
      <c r="I824" s="12">
        <f>I821-I823</f>
        <v>548.06506999999965</v>
      </c>
      <c r="J824" s="12">
        <f>J821-J823</f>
        <v>1282.8814400000019</v>
      </c>
      <c r="K824" s="12">
        <f>K821-K823</f>
        <v>28.470999999999549</v>
      </c>
      <c r="L824" s="12">
        <f>L821-L823</f>
        <v>487.72999999999956</v>
      </c>
      <c r="M824" s="294"/>
    </row>
    <row r="825" spans="1:13" x14ac:dyDescent="0.25">
      <c r="A825" s="16" t="s">
        <v>22</v>
      </c>
      <c r="B825" s="159">
        <v>2016</v>
      </c>
      <c r="C825" s="159">
        <v>2017</v>
      </c>
      <c r="D825" s="159">
        <v>2018</v>
      </c>
      <c r="E825" s="159">
        <v>2019</v>
      </c>
      <c r="F825" s="159">
        <v>2020</v>
      </c>
      <c r="G825" s="159">
        <v>2021</v>
      </c>
      <c r="H825" s="159">
        <v>2022</v>
      </c>
      <c r="I825" s="159">
        <v>2023</v>
      </c>
      <c r="J825" s="159">
        <v>2024</v>
      </c>
      <c r="K825" s="159">
        <v>2025</v>
      </c>
      <c r="L825" s="159">
        <v>2026</v>
      </c>
      <c r="M825" s="295">
        <v>2027</v>
      </c>
    </row>
    <row r="826" spans="1:13" x14ac:dyDescent="0.25">
      <c r="A826" s="18" t="s">
        <v>484</v>
      </c>
      <c r="B826" s="279"/>
      <c r="C826" s="279"/>
      <c r="D826" s="279"/>
      <c r="E826" s="279"/>
      <c r="F826" s="279"/>
      <c r="G826" s="279"/>
      <c r="H826" s="279"/>
      <c r="I826" s="279"/>
      <c r="J826" s="19"/>
      <c r="K826" s="19"/>
      <c r="L826" s="19"/>
      <c r="M826" s="63"/>
    </row>
    <row r="827" spans="1:13" x14ac:dyDescent="0.25">
      <c r="A827" s="39" t="s">
        <v>485</v>
      </c>
      <c r="B827" s="280"/>
      <c r="C827" s="280"/>
      <c r="D827" s="280"/>
      <c r="E827" s="280"/>
      <c r="F827" s="280"/>
      <c r="G827" s="280"/>
      <c r="H827" s="280"/>
      <c r="I827" s="280"/>
      <c r="M827" s="64"/>
    </row>
    <row r="828" spans="1:13" x14ac:dyDescent="0.25">
      <c r="A828" s="39" t="s">
        <v>486</v>
      </c>
      <c r="B828" s="280"/>
      <c r="C828" s="280"/>
      <c r="D828" s="280"/>
      <c r="E828" s="280"/>
      <c r="F828" s="280"/>
      <c r="G828" s="280"/>
      <c r="H828" s="280"/>
      <c r="I828" s="280"/>
      <c r="M828" s="64"/>
    </row>
    <row r="829" spans="1:13" x14ac:dyDescent="0.25">
      <c r="A829" s="688" t="s">
        <v>878</v>
      </c>
      <c r="B829" s="689"/>
      <c r="C829" s="689"/>
      <c r="D829" s="689"/>
      <c r="E829" s="689"/>
      <c r="F829" s="689"/>
      <c r="G829" s="689"/>
      <c r="H829" s="689"/>
      <c r="I829" s="689"/>
      <c r="J829" s="689"/>
      <c r="M829" s="64"/>
    </row>
    <row r="830" spans="1:13" x14ac:dyDescent="0.25">
      <c r="A830" s="296" t="s">
        <v>1006</v>
      </c>
      <c r="B830" s="297"/>
      <c r="C830" s="297"/>
      <c r="D830" s="297"/>
      <c r="E830" s="297"/>
      <c r="F830" s="297"/>
      <c r="G830" s="297"/>
      <c r="H830" s="297"/>
      <c r="I830" s="297"/>
      <c r="J830" s="297"/>
      <c r="K830" s="34"/>
      <c r="L830" s="34"/>
      <c r="M830" s="48"/>
    </row>
    <row r="831" spans="1:13" s="50" customFormat="1" ht="14.4" x14ac:dyDescent="0.3">
      <c r="A831" s="3"/>
      <c r="B831" s="3"/>
      <c r="C831" s="3"/>
      <c r="D831" s="3"/>
      <c r="E831" s="3"/>
      <c r="F831" s="3"/>
      <c r="G831" s="3"/>
      <c r="H831" s="3"/>
      <c r="I831" s="3"/>
      <c r="J831" s="3"/>
      <c r="K831" s="3"/>
    </row>
    <row r="832" spans="1:13" s="50" customFormat="1" ht="14.4" x14ac:dyDescent="0.3">
      <c r="A832" s="6" t="s">
        <v>14</v>
      </c>
      <c r="B832" s="173" t="s">
        <v>642</v>
      </c>
      <c r="C832" s="7" t="s">
        <v>15</v>
      </c>
      <c r="D832" s="3"/>
      <c r="E832" s="3"/>
      <c r="F832" s="3"/>
      <c r="G832" s="3"/>
      <c r="H832" s="3"/>
      <c r="I832" s="3"/>
      <c r="J832" s="3"/>
      <c r="K832" s="3"/>
    </row>
    <row r="833" spans="1:11" s="50" customFormat="1" ht="14.4" x14ac:dyDescent="0.3">
      <c r="A833" s="41" t="s">
        <v>16</v>
      </c>
      <c r="B833" s="274">
        <v>2020</v>
      </c>
      <c r="C833" s="154">
        <v>2021</v>
      </c>
      <c r="D833" s="154">
        <v>2022</v>
      </c>
      <c r="E833" s="154">
        <v>2023</v>
      </c>
      <c r="F833" s="154">
        <v>2024</v>
      </c>
      <c r="G833" s="154">
        <v>2025</v>
      </c>
      <c r="H833" s="154">
        <v>2026</v>
      </c>
      <c r="I833" s="154"/>
      <c r="J833" s="154"/>
      <c r="K833" s="3"/>
    </row>
    <row r="834" spans="1:11" s="50" customFormat="1" ht="14.4" x14ac:dyDescent="0.3">
      <c r="A834" s="10" t="s">
        <v>17</v>
      </c>
      <c r="B834" s="298">
        <v>19460</v>
      </c>
      <c r="C834" s="298">
        <v>19460</v>
      </c>
      <c r="D834" s="298">
        <v>19460</v>
      </c>
      <c r="E834" s="275">
        <v>21503</v>
      </c>
      <c r="F834" s="275">
        <v>21503</v>
      </c>
      <c r="G834" s="275">
        <v>21503</v>
      </c>
      <c r="H834" s="275">
        <v>21503</v>
      </c>
      <c r="I834" s="11"/>
      <c r="J834" s="11"/>
      <c r="K834" s="3"/>
    </row>
    <row r="835" spans="1:11" s="50" customFormat="1" ht="14.4" x14ac:dyDescent="0.3">
      <c r="A835" s="10" t="s">
        <v>18</v>
      </c>
      <c r="B835" s="275"/>
      <c r="C835" s="275">
        <f>C834+B838-48.4</f>
        <v>19737.565544000001</v>
      </c>
      <c r="D835" s="12">
        <f>D834+C838-19360*0.0025</f>
        <v>19985.500093000002</v>
      </c>
      <c r="E835" s="275">
        <f>E834+0.05*D834</f>
        <v>22476</v>
      </c>
      <c r="F835" s="275">
        <f>F834+0.05*E834</f>
        <v>22578.15</v>
      </c>
      <c r="G835" s="275">
        <f>G834+0.05*F834</f>
        <v>22578.15</v>
      </c>
      <c r="H835" s="275">
        <f>H834+0.05*G834</f>
        <v>22578.15</v>
      </c>
      <c r="I835" s="12"/>
      <c r="J835" s="12"/>
      <c r="K835" s="3"/>
    </row>
    <row r="836" spans="1:11" s="50" customFormat="1" ht="27" x14ac:dyDescent="0.3">
      <c r="A836" s="10" t="s">
        <v>19</v>
      </c>
      <c r="B836" s="291"/>
      <c r="C836" s="195" t="s">
        <v>873</v>
      </c>
      <c r="D836" s="299" t="s">
        <v>874</v>
      </c>
      <c r="E836" s="291" t="s">
        <v>951</v>
      </c>
      <c r="F836" s="291" t="s">
        <v>1008</v>
      </c>
      <c r="G836" s="291" t="s">
        <v>1134</v>
      </c>
      <c r="H836" s="291" t="s">
        <v>1126</v>
      </c>
      <c r="I836" s="195"/>
      <c r="J836" s="195"/>
      <c r="K836" s="3"/>
    </row>
    <row r="837" spans="1:11" s="50" customFormat="1" ht="14.4" x14ac:dyDescent="0.3">
      <c r="A837" s="286" t="s">
        <v>20</v>
      </c>
      <c r="B837" s="12">
        <v>19134.034455999998</v>
      </c>
      <c r="C837" s="12">
        <v>19163.665450999997</v>
      </c>
      <c r="D837" s="12">
        <v>18950.900000000001</v>
      </c>
      <c r="E837" s="12">
        <v>21104.23</v>
      </c>
      <c r="F837" s="12">
        <v>20865.420999999998</v>
      </c>
      <c r="G837" s="12"/>
      <c r="H837" s="12"/>
      <c r="I837" s="12"/>
      <c r="J837" s="12"/>
      <c r="K837" s="3"/>
    </row>
    <row r="838" spans="1:11" s="50" customFormat="1" ht="14.4" x14ac:dyDescent="0.3">
      <c r="A838" s="286" t="s">
        <v>21</v>
      </c>
      <c r="B838" s="12">
        <f>B834-B837</f>
        <v>325.96554400000241</v>
      </c>
      <c r="C838" s="12">
        <f>C835-C837</f>
        <v>573.90009300000384</v>
      </c>
      <c r="D838" s="12">
        <f>D835-D837</f>
        <v>1034.6000930000009</v>
      </c>
      <c r="E838" s="12">
        <f>E835-E837</f>
        <v>1371.7700000000004</v>
      </c>
      <c r="F838" s="12">
        <f>F835-F837</f>
        <v>1712.729000000003</v>
      </c>
      <c r="G838" s="12"/>
      <c r="H838" s="12"/>
      <c r="I838" s="12"/>
      <c r="J838" s="12"/>
      <c r="K838" s="3"/>
    </row>
    <row r="839" spans="1:11" s="50" customFormat="1" ht="14.4" x14ac:dyDescent="0.3">
      <c r="A839" s="16" t="s">
        <v>22</v>
      </c>
      <c r="B839" s="159">
        <v>2021</v>
      </c>
      <c r="C839" s="159">
        <v>2022</v>
      </c>
      <c r="D839" s="159">
        <v>2023</v>
      </c>
      <c r="E839" s="300"/>
      <c r="F839" s="300"/>
      <c r="G839" s="300"/>
      <c r="H839" s="300"/>
      <c r="I839" s="300"/>
      <c r="J839" s="300"/>
      <c r="K839" s="3"/>
    </row>
    <row r="840" spans="1:11" s="50" customFormat="1" ht="14.4" x14ac:dyDescent="0.3">
      <c r="A840" s="18" t="s">
        <v>872</v>
      </c>
      <c r="B840" s="279"/>
      <c r="C840" s="279"/>
      <c r="D840" s="279"/>
      <c r="E840" s="279"/>
      <c r="F840" s="279"/>
      <c r="G840" s="279"/>
      <c r="H840" s="279"/>
      <c r="I840" s="279"/>
      <c r="J840" s="301"/>
      <c r="K840" s="3"/>
    </row>
    <row r="841" spans="1:11" s="50" customFormat="1" ht="14.4" x14ac:dyDescent="0.3">
      <c r="A841" s="39" t="s">
        <v>875</v>
      </c>
      <c r="B841" s="280"/>
      <c r="C841" s="280"/>
      <c r="D841" s="280"/>
      <c r="E841" s="280"/>
      <c r="F841" s="280"/>
      <c r="G841" s="280"/>
      <c r="H841" s="280"/>
      <c r="I841" s="280"/>
      <c r="J841" s="302"/>
      <c r="K841" s="3"/>
    </row>
    <row r="842" spans="1:11" s="50" customFormat="1" ht="14.4" x14ac:dyDescent="0.3">
      <c r="A842" s="39" t="s">
        <v>495</v>
      </c>
      <c r="B842" s="280"/>
      <c r="C842" s="280"/>
      <c r="D842" s="280"/>
      <c r="E842" s="280"/>
      <c r="F842" s="280"/>
      <c r="G842" s="280"/>
      <c r="H842" s="280"/>
      <c r="I842" s="280"/>
      <c r="J842" s="302"/>
      <c r="K842" s="3"/>
    </row>
    <row r="843" spans="1:11" s="50" customFormat="1" ht="14.4" x14ac:dyDescent="0.3">
      <c r="A843" s="39" t="s">
        <v>496</v>
      </c>
      <c r="B843" s="280"/>
      <c r="C843" s="280"/>
      <c r="D843" s="280"/>
      <c r="E843" s="280"/>
      <c r="F843" s="280"/>
      <c r="G843" s="280"/>
      <c r="H843" s="280"/>
      <c r="I843" s="280"/>
      <c r="J843" s="302"/>
      <c r="K843" s="3"/>
    </row>
    <row r="844" spans="1:11" s="50" customFormat="1" ht="14.4" x14ac:dyDescent="0.3">
      <c r="A844" s="39" t="s">
        <v>876</v>
      </c>
      <c r="B844" s="280"/>
      <c r="C844" s="280"/>
      <c r="D844" s="280"/>
      <c r="E844" s="280"/>
      <c r="F844" s="280"/>
      <c r="G844" s="280"/>
      <c r="H844" s="280"/>
      <c r="I844" s="280"/>
      <c r="J844" s="302"/>
      <c r="K844" s="3"/>
    </row>
    <row r="845" spans="1:11" s="50" customFormat="1" ht="14.4" x14ac:dyDescent="0.3">
      <c r="A845" s="303" t="s">
        <v>1009</v>
      </c>
      <c r="B845" s="304"/>
      <c r="C845" s="304"/>
      <c r="D845" s="304"/>
      <c r="E845" s="304"/>
      <c r="F845" s="304"/>
      <c r="G845" s="304"/>
      <c r="H845" s="304"/>
      <c r="I845" s="304"/>
      <c r="J845" s="305"/>
      <c r="K845" s="3"/>
    </row>
    <row r="846" spans="1:11" s="50" customFormat="1" ht="14.4" x14ac:dyDescent="0.3">
      <c r="A846" s="303" t="s">
        <v>1010</v>
      </c>
      <c r="B846" s="304"/>
      <c r="C846" s="304"/>
      <c r="D846" s="304"/>
      <c r="E846" s="304"/>
      <c r="F846" s="304"/>
      <c r="G846" s="304"/>
      <c r="H846" s="304"/>
      <c r="I846" s="304"/>
      <c r="J846" s="305"/>
      <c r="K846" s="3"/>
    </row>
    <row r="847" spans="1:11" s="59" customFormat="1" ht="14.4" x14ac:dyDescent="0.3">
      <c r="A847" s="306" t="s">
        <v>1178</v>
      </c>
      <c r="B847" s="307"/>
      <c r="C847" s="307"/>
      <c r="D847" s="307"/>
      <c r="E847" s="307"/>
      <c r="F847" s="307"/>
      <c r="G847" s="307"/>
      <c r="H847" s="307"/>
      <c r="I847" s="307"/>
      <c r="J847" s="308"/>
      <c r="K847" s="34"/>
    </row>
    <row r="849" spans="1:13" x14ac:dyDescent="0.25">
      <c r="A849" s="6" t="s">
        <v>14</v>
      </c>
      <c r="B849" s="173" t="s">
        <v>66</v>
      </c>
      <c r="C849" s="7" t="s">
        <v>15</v>
      </c>
    </row>
    <row r="850" spans="1:13" x14ac:dyDescent="0.25">
      <c r="A850" s="41" t="s">
        <v>16</v>
      </c>
      <c r="B850" s="274">
        <v>2014</v>
      </c>
      <c r="C850" s="154">
        <v>2015</v>
      </c>
      <c r="D850" s="154">
        <v>2016</v>
      </c>
      <c r="E850" s="154">
        <v>2017</v>
      </c>
      <c r="F850" s="154">
        <v>2018</v>
      </c>
      <c r="G850" s="154">
        <v>2019</v>
      </c>
      <c r="H850" s="154">
        <v>2020</v>
      </c>
      <c r="I850" s="154">
        <v>2021</v>
      </c>
      <c r="J850" s="154">
        <v>2022</v>
      </c>
      <c r="K850" s="154">
        <v>2023</v>
      </c>
      <c r="L850" s="154">
        <v>2024</v>
      </c>
      <c r="M850" s="154">
        <v>2025</v>
      </c>
    </row>
    <row r="851" spans="1:13" x14ac:dyDescent="0.25">
      <c r="A851" s="10" t="s">
        <v>17</v>
      </c>
      <c r="B851" s="275">
        <v>22667</v>
      </c>
      <c r="C851" s="275">
        <v>22667</v>
      </c>
      <c r="D851" s="275">
        <v>16989</v>
      </c>
      <c r="E851" s="275">
        <v>16989</v>
      </c>
      <c r="F851" s="275">
        <v>16989</v>
      </c>
      <c r="G851" s="275">
        <v>16989</v>
      </c>
      <c r="H851" s="309">
        <v>13421.3</v>
      </c>
      <c r="I851" s="11">
        <v>13206.57</v>
      </c>
      <c r="J851" s="11">
        <v>13313.94</v>
      </c>
      <c r="K851" s="11">
        <v>13313.94</v>
      </c>
      <c r="L851" s="12">
        <v>13313.93952</v>
      </c>
      <c r="M851" s="11">
        <v>13576.29</v>
      </c>
    </row>
    <row r="852" spans="1:13" x14ac:dyDescent="0.25">
      <c r="A852" s="10" t="s">
        <v>18</v>
      </c>
      <c r="B852" s="275">
        <v>29467.1</v>
      </c>
      <c r="C852" s="275">
        <v>29467.1</v>
      </c>
      <c r="D852" s="275">
        <v>23789.1</v>
      </c>
      <c r="E852" s="275">
        <v>20389.099999999999</v>
      </c>
      <c r="F852" s="275">
        <v>19537.400000000001</v>
      </c>
      <c r="G852" s="275">
        <v>17157.5</v>
      </c>
      <c r="H852" s="275">
        <f>H851+F855+300</f>
        <v>15842.646000000001</v>
      </c>
      <c r="I852" s="12">
        <f>I851+G855</f>
        <v>13453.544999999998</v>
      </c>
      <c r="J852" s="12">
        <f>J851+0.1*H851</f>
        <v>14656.07</v>
      </c>
      <c r="K852" s="12">
        <f>K851+0.1*I851</f>
        <v>14634.597000000002</v>
      </c>
      <c r="L852" s="12">
        <f>L851+0.1*J851</f>
        <v>14645.33352</v>
      </c>
      <c r="M852" s="12">
        <f>M851+0.1*K851</f>
        <v>14907.684000000001</v>
      </c>
    </row>
    <row r="853" spans="1:13" ht="26.4" x14ac:dyDescent="0.25">
      <c r="A853" s="10" t="s">
        <v>19</v>
      </c>
      <c r="B853" s="276" t="s">
        <v>67</v>
      </c>
      <c r="C853" s="276" t="s">
        <v>67</v>
      </c>
      <c r="D853" s="276" t="s">
        <v>68</v>
      </c>
      <c r="E853" s="291" t="s">
        <v>69</v>
      </c>
      <c r="F853" s="291" t="s">
        <v>70</v>
      </c>
      <c r="G853" s="291" t="s">
        <v>71</v>
      </c>
      <c r="H853" s="291" t="s">
        <v>265</v>
      </c>
      <c r="I853" s="195" t="s">
        <v>266</v>
      </c>
      <c r="J853" s="195" t="s">
        <v>582</v>
      </c>
      <c r="K853" s="195" t="s">
        <v>877</v>
      </c>
      <c r="L853" s="195" t="s">
        <v>1011</v>
      </c>
      <c r="M853" s="195" t="s">
        <v>1227</v>
      </c>
    </row>
    <row r="854" spans="1:13" x14ac:dyDescent="0.25">
      <c r="A854" s="286" t="s">
        <v>20</v>
      </c>
      <c r="B854" s="12">
        <v>18152.900000000001</v>
      </c>
      <c r="C854" s="12">
        <v>15741.23</v>
      </c>
      <c r="D854" s="12">
        <v>18059.400000000001</v>
      </c>
      <c r="E854" s="12">
        <v>20220.53</v>
      </c>
      <c r="F854" s="12">
        <v>17416.054</v>
      </c>
      <c r="G854" s="12">
        <v>16910.525000000001</v>
      </c>
      <c r="H854" s="12">
        <v>11285.478270000007</v>
      </c>
      <c r="I854" s="12">
        <v>11445.933670000008</v>
      </c>
      <c r="J854" s="12">
        <v>12588.91</v>
      </c>
      <c r="K854" s="12">
        <v>11864.06</v>
      </c>
      <c r="L854" s="12">
        <v>9157.4519999999993</v>
      </c>
      <c r="M854" s="12"/>
    </row>
    <row r="855" spans="1:13" x14ac:dyDescent="0.25">
      <c r="A855" s="310" t="s">
        <v>21</v>
      </c>
      <c r="B855" s="311">
        <v>11314.2</v>
      </c>
      <c r="C855" s="311">
        <v>13725.87</v>
      </c>
      <c r="D855" s="311">
        <v>5729.68</v>
      </c>
      <c r="E855" s="311">
        <v>168.52</v>
      </c>
      <c r="F855" s="311">
        <v>2121.3460000000014</v>
      </c>
      <c r="G855" s="311">
        <f t="shared" ref="G855:L855" si="39">G852-G854</f>
        <v>246.97499999999854</v>
      </c>
      <c r="H855" s="311">
        <f t="shared" si="39"/>
        <v>4557.1677299999938</v>
      </c>
      <c r="I855" s="311">
        <f t="shared" si="39"/>
        <v>2007.6113299999906</v>
      </c>
      <c r="J855" s="311">
        <f t="shared" si="39"/>
        <v>2067.16</v>
      </c>
      <c r="K855" s="311">
        <f t="shared" si="39"/>
        <v>2770.5370000000021</v>
      </c>
      <c r="L855" s="311">
        <f t="shared" si="39"/>
        <v>5487.8815200000008</v>
      </c>
      <c r="M855" s="311"/>
    </row>
    <row r="856" spans="1:13" x14ac:dyDescent="0.25">
      <c r="A856" s="17" t="s">
        <v>22</v>
      </c>
      <c r="B856" s="159">
        <v>2016</v>
      </c>
      <c r="C856" s="159">
        <v>2017</v>
      </c>
      <c r="D856" s="159">
        <v>2018</v>
      </c>
      <c r="E856" s="159">
        <v>2019</v>
      </c>
      <c r="F856" s="159" t="s">
        <v>72</v>
      </c>
      <c r="G856" s="159" t="s">
        <v>73</v>
      </c>
      <c r="H856" s="159">
        <v>2022</v>
      </c>
      <c r="I856" s="159">
        <v>2023</v>
      </c>
      <c r="J856" s="159">
        <v>2024</v>
      </c>
      <c r="K856" s="159">
        <v>2025</v>
      </c>
      <c r="L856" s="159">
        <v>2026</v>
      </c>
      <c r="M856" s="197">
        <v>2027</v>
      </c>
    </row>
    <row r="857" spans="1:13" x14ac:dyDescent="0.25">
      <c r="A857" s="18" t="s">
        <v>488</v>
      </c>
      <c r="B857" s="279"/>
      <c r="C857" s="279"/>
      <c r="D857" s="279"/>
      <c r="E857" s="279"/>
      <c r="F857" s="279"/>
      <c r="G857" s="279"/>
      <c r="H857" s="279"/>
      <c r="I857" s="279"/>
      <c r="J857" s="19"/>
      <c r="K857" s="19"/>
      <c r="L857" s="19"/>
      <c r="M857" s="63"/>
    </row>
    <row r="858" spans="1:13" x14ac:dyDescent="0.25">
      <c r="A858" s="39" t="s">
        <v>489</v>
      </c>
      <c r="B858" s="280"/>
      <c r="C858" s="280"/>
      <c r="D858" s="280"/>
      <c r="E858" s="280"/>
      <c r="F858" s="280"/>
      <c r="G858" s="280"/>
      <c r="H858" s="280"/>
      <c r="I858" s="280"/>
      <c r="M858" s="64"/>
    </row>
    <row r="859" spans="1:13" ht="14.4" x14ac:dyDescent="0.25">
      <c r="A859" s="39" t="s">
        <v>732</v>
      </c>
      <c r="B859" s="280"/>
      <c r="C859" s="280"/>
      <c r="D859" s="280"/>
      <c r="E859" s="280"/>
      <c r="F859" s="280"/>
      <c r="G859" s="280"/>
      <c r="H859" s="280"/>
      <c r="I859" s="280"/>
      <c r="M859" s="64"/>
    </row>
    <row r="860" spans="1:13" x14ac:dyDescent="0.25">
      <c r="A860" s="41" t="s">
        <v>583</v>
      </c>
      <c r="B860" s="281"/>
      <c r="C860" s="281"/>
      <c r="D860" s="281"/>
      <c r="E860" s="281"/>
      <c r="F860" s="281"/>
      <c r="G860" s="281"/>
      <c r="H860" s="281"/>
      <c r="I860" s="281"/>
      <c r="J860" s="34"/>
      <c r="K860" s="34"/>
      <c r="L860" s="34"/>
      <c r="M860" s="48"/>
    </row>
    <row r="861" spans="1:13" x14ac:dyDescent="0.25">
      <c r="B861" s="4"/>
      <c r="C861" s="4"/>
      <c r="D861" s="4"/>
      <c r="E861" s="4"/>
      <c r="F861" s="4"/>
      <c r="G861" s="4"/>
      <c r="H861" s="4"/>
      <c r="I861" s="4"/>
    </row>
    <row r="863" spans="1:13" x14ac:dyDescent="0.25">
      <c r="A863" s="6" t="s">
        <v>14</v>
      </c>
      <c r="B863" s="173" t="s">
        <v>74</v>
      </c>
      <c r="C863" s="7" t="s">
        <v>15</v>
      </c>
    </row>
    <row r="864" spans="1:13" x14ac:dyDescent="0.25">
      <c r="A864" s="41" t="s">
        <v>16</v>
      </c>
      <c r="B864" s="274">
        <v>2014</v>
      </c>
      <c r="C864" s="154">
        <v>2015</v>
      </c>
      <c r="D864" s="154">
        <v>2016</v>
      </c>
      <c r="E864" s="154">
        <v>2017</v>
      </c>
      <c r="F864" s="154">
        <v>2018</v>
      </c>
      <c r="G864" s="154">
        <v>2019</v>
      </c>
      <c r="H864" s="154">
        <v>2020</v>
      </c>
      <c r="I864" s="154">
        <v>2021</v>
      </c>
      <c r="J864" s="154">
        <v>2022</v>
      </c>
      <c r="K864" s="154">
        <v>2023</v>
      </c>
      <c r="L864" s="154">
        <v>2024</v>
      </c>
      <c r="M864" s="154">
        <v>2025</v>
      </c>
    </row>
    <row r="865" spans="1:13" x14ac:dyDescent="0.25">
      <c r="A865" s="10" t="s">
        <v>17</v>
      </c>
      <c r="B865" s="275">
        <v>480</v>
      </c>
      <c r="C865" s="275">
        <v>480</v>
      </c>
      <c r="D865" s="275">
        <v>480</v>
      </c>
      <c r="E865" s="275">
        <v>480</v>
      </c>
      <c r="F865" s="275">
        <v>480</v>
      </c>
      <c r="G865" s="275">
        <v>480</v>
      </c>
      <c r="H865" s="298">
        <v>403.8</v>
      </c>
      <c r="I865" s="11">
        <v>403.8</v>
      </c>
      <c r="J865" s="11">
        <v>403.8</v>
      </c>
      <c r="K865" s="11">
        <v>403.8</v>
      </c>
      <c r="L865" s="11">
        <v>403.8</v>
      </c>
      <c r="M865" s="90">
        <v>403.8</v>
      </c>
    </row>
    <row r="866" spans="1:13" x14ac:dyDescent="0.25">
      <c r="A866" s="10" t="s">
        <v>18</v>
      </c>
      <c r="B866" s="275">
        <v>480</v>
      </c>
      <c r="C866" s="275">
        <v>528</v>
      </c>
      <c r="D866" s="275">
        <v>407.63</v>
      </c>
      <c r="E866" s="275">
        <v>414.75</v>
      </c>
      <c r="F866" s="275">
        <v>462.75</v>
      </c>
      <c r="G866" s="275">
        <v>528</v>
      </c>
      <c r="H866" s="275">
        <v>449.8</v>
      </c>
      <c r="I866" s="11">
        <f>I865+0.1*G865-2</f>
        <v>449.8</v>
      </c>
      <c r="J866" s="11">
        <v>401.8</v>
      </c>
      <c r="K866" s="11">
        <v>401.8</v>
      </c>
      <c r="L866" s="11">
        <v>401.8</v>
      </c>
      <c r="M866" s="90">
        <v>401.8</v>
      </c>
    </row>
    <row r="867" spans="1:13" ht="26.4" x14ac:dyDescent="0.25">
      <c r="A867" s="10" t="s">
        <v>19</v>
      </c>
      <c r="B867" s="276">
        <v>480</v>
      </c>
      <c r="C867" s="276">
        <v>528</v>
      </c>
      <c r="D867" s="276" t="s">
        <v>75</v>
      </c>
      <c r="E867" s="291" t="s">
        <v>76</v>
      </c>
      <c r="F867" s="291" t="s">
        <v>77</v>
      </c>
      <c r="G867" s="291" t="s">
        <v>78</v>
      </c>
      <c r="H867" s="291" t="s">
        <v>267</v>
      </c>
      <c r="I867" s="299" t="s">
        <v>268</v>
      </c>
      <c r="J867" s="299" t="s">
        <v>490</v>
      </c>
      <c r="K867" s="299" t="s">
        <v>880</v>
      </c>
      <c r="L867" s="299" t="s">
        <v>1012</v>
      </c>
      <c r="M867" s="90" t="s">
        <v>1179</v>
      </c>
    </row>
    <row r="868" spans="1:13" x14ac:dyDescent="0.25">
      <c r="A868" s="10" t="s">
        <v>20</v>
      </c>
      <c r="B868" s="12">
        <v>552.37</v>
      </c>
      <c r="C868" s="12">
        <v>658.51</v>
      </c>
      <c r="D868" s="12">
        <v>355.07</v>
      </c>
      <c r="E868" s="12">
        <v>338.75</v>
      </c>
      <c r="F868" s="12">
        <v>120.791</v>
      </c>
      <c r="G868" s="12">
        <v>79.62</v>
      </c>
      <c r="H868" s="12">
        <v>138.81700000000001</v>
      </c>
      <c r="I868" s="11">
        <v>105.06</v>
      </c>
      <c r="J868" s="11">
        <v>282.19</v>
      </c>
      <c r="K868" s="11">
        <v>191.54</v>
      </c>
      <c r="L868" s="11">
        <v>135.71</v>
      </c>
      <c r="M868" s="90"/>
    </row>
    <row r="869" spans="1:13" x14ac:dyDescent="0.25">
      <c r="A869" s="10" t="s">
        <v>21</v>
      </c>
      <c r="B869" s="12">
        <v>-72.37</v>
      </c>
      <c r="C869" s="12">
        <v>-130.51</v>
      </c>
      <c r="D869" s="12">
        <f>D866-D868</f>
        <v>52.56</v>
      </c>
      <c r="E869" s="12">
        <f>E866-E868</f>
        <v>76</v>
      </c>
      <c r="F869" s="12">
        <v>341.959</v>
      </c>
      <c r="G869" s="12">
        <f t="shared" ref="G869:L869" si="40">G866-G868</f>
        <v>448.38</v>
      </c>
      <c r="H869" s="12">
        <f t="shared" si="40"/>
        <v>310.983</v>
      </c>
      <c r="I869" s="11">
        <f t="shared" si="40"/>
        <v>344.74</v>
      </c>
      <c r="J869" s="11">
        <f t="shared" si="40"/>
        <v>119.61000000000001</v>
      </c>
      <c r="K869" s="11">
        <f t="shared" si="40"/>
        <v>210.26000000000002</v>
      </c>
      <c r="L869" s="11">
        <f t="shared" si="40"/>
        <v>266.09000000000003</v>
      </c>
      <c r="M869" s="90"/>
    </row>
    <row r="870" spans="1:13" x14ac:dyDescent="0.25">
      <c r="A870" s="16" t="s">
        <v>22</v>
      </c>
      <c r="B870" s="159">
        <v>2016</v>
      </c>
      <c r="C870" s="159">
        <v>2017</v>
      </c>
      <c r="D870" s="159">
        <v>2018</v>
      </c>
      <c r="E870" s="159">
        <v>2019</v>
      </c>
      <c r="F870" s="159" t="s">
        <v>72</v>
      </c>
      <c r="G870" s="159" t="s">
        <v>73</v>
      </c>
      <c r="H870" s="159" t="s">
        <v>161</v>
      </c>
      <c r="I870" s="159" t="s">
        <v>161</v>
      </c>
      <c r="J870" s="159" t="s">
        <v>161</v>
      </c>
      <c r="K870" s="159" t="s">
        <v>161</v>
      </c>
      <c r="L870" s="159" t="s">
        <v>161</v>
      </c>
      <c r="M870" s="180" t="s">
        <v>161</v>
      </c>
    </row>
    <row r="871" spans="1:13" x14ac:dyDescent="0.25">
      <c r="A871" s="18" t="s">
        <v>491</v>
      </c>
      <c r="B871" s="279"/>
      <c r="C871" s="279"/>
      <c r="D871" s="279"/>
      <c r="E871" s="279"/>
      <c r="F871" s="279"/>
      <c r="G871" s="279"/>
      <c r="H871" s="279"/>
      <c r="I871" s="279"/>
      <c r="J871" s="279"/>
      <c r="K871" s="279"/>
      <c r="L871" s="279"/>
      <c r="M871" s="63"/>
    </row>
    <row r="872" spans="1:13" x14ac:dyDescent="0.25">
      <c r="A872" s="39" t="s">
        <v>492</v>
      </c>
      <c r="B872" s="280"/>
      <c r="C872" s="280"/>
      <c r="D872" s="280"/>
      <c r="E872" s="280"/>
      <c r="F872" s="280"/>
      <c r="G872" s="280"/>
      <c r="H872" s="280"/>
      <c r="I872" s="280"/>
      <c r="J872" s="280"/>
      <c r="K872" s="280"/>
      <c r="L872" s="280"/>
      <c r="M872" s="64"/>
    </row>
    <row r="873" spans="1:13" x14ac:dyDescent="0.25">
      <c r="A873" s="312" t="s">
        <v>1067</v>
      </c>
      <c r="B873" s="313"/>
      <c r="C873" s="313"/>
      <c r="D873" s="313"/>
      <c r="E873" s="313"/>
      <c r="F873" s="313"/>
      <c r="G873" s="313"/>
      <c r="H873" s="313"/>
      <c r="I873" s="34"/>
      <c r="J873" s="34"/>
      <c r="K873" s="34"/>
      <c r="L873" s="34"/>
      <c r="M873" s="48"/>
    </row>
    <row r="875" spans="1:13" x14ac:dyDescent="0.25">
      <c r="A875" s="6" t="s">
        <v>14</v>
      </c>
      <c r="B875" s="173" t="s">
        <v>79</v>
      </c>
      <c r="C875" s="7" t="s">
        <v>15</v>
      </c>
    </row>
    <row r="876" spans="1:13" x14ac:dyDescent="0.25">
      <c r="A876" s="41" t="s">
        <v>16</v>
      </c>
      <c r="B876" s="274">
        <v>2014</v>
      </c>
      <c r="C876" s="154">
        <v>2015</v>
      </c>
      <c r="D876" s="154">
        <v>2016</v>
      </c>
      <c r="E876" s="154">
        <v>2017</v>
      </c>
      <c r="F876" s="154">
        <v>2018</v>
      </c>
      <c r="G876" s="154">
        <v>2019</v>
      </c>
      <c r="H876" s="154">
        <v>2020</v>
      </c>
      <c r="I876" s="154">
        <v>2021</v>
      </c>
      <c r="J876" s="154">
        <v>2022</v>
      </c>
    </row>
    <row r="877" spans="1:13" x14ac:dyDescent="0.25">
      <c r="A877" s="10" t="s">
        <v>17</v>
      </c>
      <c r="B877" s="275">
        <v>50</v>
      </c>
      <c r="C877" s="275">
        <v>50</v>
      </c>
      <c r="D877" s="275">
        <v>50</v>
      </c>
      <c r="E877" s="275">
        <v>50</v>
      </c>
      <c r="F877" s="275">
        <v>50</v>
      </c>
      <c r="G877" s="275">
        <v>50</v>
      </c>
      <c r="H877" s="298">
        <v>50</v>
      </c>
      <c r="I877" s="12">
        <v>50</v>
      </c>
      <c r="J877" s="12">
        <v>50</v>
      </c>
    </row>
    <row r="878" spans="1:13" x14ac:dyDescent="0.25">
      <c r="A878" s="10" t="s">
        <v>18</v>
      </c>
      <c r="B878" s="275">
        <v>50</v>
      </c>
      <c r="C878" s="275">
        <v>52.5</v>
      </c>
      <c r="D878" s="275">
        <v>23.9</v>
      </c>
      <c r="E878" s="275">
        <v>23.9</v>
      </c>
      <c r="F878" s="275">
        <v>27.6</v>
      </c>
      <c r="G878" s="275">
        <v>27.6</v>
      </c>
      <c r="H878" s="275">
        <v>32.6</v>
      </c>
      <c r="I878" s="12">
        <v>55</v>
      </c>
      <c r="J878" s="12">
        <v>50</v>
      </c>
    </row>
    <row r="879" spans="1:13" ht="26.4" x14ac:dyDescent="0.25">
      <c r="A879" s="10" t="s">
        <v>19</v>
      </c>
      <c r="B879" s="314">
        <v>50</v>
      </c>
      <c r="C879" s="314">
        <v>52.5</v>
      </c>
      <c r="D879" s="276" t="s">
        <v>80</v>
      </c>
      <c r="E879" s="291" t="s">
        <v>81</v>
      </c>
      <c r="F879" s="291" t="s">
        <v>82</v>
      </c>
      <c r="G879" s="291" t="s">
        <v>83</v>
      </c>
      <c r="H879" s="291" t="s">
        <v>84</v>
      </c>
      <c r="I879" s="195" t="s">
        <v>269</v>
      </c>
      <c r="J879" s="195" t="s">
        <v>572</v>
      </c>
    </row>
    <row r="880" spans="1:13" x14ac:dyDescent="0.25">
      <c r="A880" s="10" t="s">
        <v>20</v>
      </c>
      <c r="B880" s="12">
        <v>102.21</v>
      </c>
      <c r="C880" s="12">
        <v>119.69</v>
      </c>
      <c r="D880" s="12">
        <v>101.54</v>
      </c>
      <c r="E880" s="12">
        <v>14.67</v>
      </c>
      <c r="F880" s="12">
        <v>0.17</v>
      </c>
      <c r="G880" s="12">
        <v>0.7</v>
      </c>
      <c r="H880" s="12">
        <v>3.0670000000000002</v>
      </c>
      <c r="I880" s="12">
        <v>14.32</v>
      </c>
      <c r="J880" s="12">
        <v>1.1000000000000001</v>
      </c>
    </row>
    <row r="881" spans="1:12" x14ac:dyDescent="0.25">
      <c r="A881" s="10" t="s">
        <v>21</v>
      </c>
      <c r="B881" s="12">
        <v>-52.21</v>
      </c>
      <c r="C881" s="12">
        <v>-67.19</v>
      </c>
      <c r="D881" s="12">
        <v>-77.640000000000015</v>
      </c>
      <c r="E881" s="12">
        <f t="shared" ref="E881:J881" si="41">E878-E880</f>
        <v>9.2299999999999986</v>
      </c>
      <c r="F881" s="12">
        <f t="shared" si="41"/>
        <v>27.43</v>
      </c>
      <c r="G881" s="12">
        <f t="shared" si="41"/>
        <v>26.900000000000002</v>
      </c>
      <c r="H881" s="12">
        <f t="shared" si="41"/>
        <v>29.533000000000001</v>
      </c>
      <c r="I881" s="12">
        <f t="shared" si="41"/>
        <v>40.68</v>
      </c>
      <c r="J881" s="12">
        <f t="shared" si="41"/>
        <v>48.9</v>
      </c>
    </row>
    <row r="882" spans="1:12" x14ac:dyDescent="0.25">
      <c r="A882" s="16" t="s">
        <v>22</v>
      </c>
      <c r="B882" s="159">
        <v>2016</v>
      </c>
      <c r="C882" s="159">
        <v>2017</v>
      </c>
      <c r="D882" s="159">
        <v>2018</v>
      </c>
      <c r="E882" s="159">
        <v>2019</v>
      </c>
      <c r="F882" s="159" t="s">
        <v>72</v>
      </c>
      <c r="G882" s="159" t="s">
        <v>73</v>
      </c>
      <c r="H882" s="159" t="s">
        <v>161</v>
      </c>
      <c r="I882" s="159" t="s">
        <v>161</v>
      </c>
      <c r="J882" s="159" t="s">
        <v>161</v>
      </c>
    </row>
    <row r="883" spans="1:12" x14ac:dyDescent="0.25">
      <c r="A883" s="16" t="s">
        <v>493</v>
      </c>
      <c r="B883" s="178"/>
      <c r="C883" s="178"/>
      <c r="D883" s="178"/>
      <c r="E883" s="178"/>
      <c r="F883" s="178"/>
      <c r="G883" s="178"/>
      <c r="H883" s="178"/>
      <c r="I883" s="178"/>
      <c r="J883" s="179"/>
    </row>
    <row r="884" spans="1:12" x14ac:dyDescent="0.25">
      <c r="A884" s="312" t="s">
        <v>494</v>
      </c>
      <c r="B884" s="313"/>
      <c r="C884" s="313"/>
      <c r="D884" s="313"/>
      <c r="E884" s="313"/>
      <c r="F884" s="313"/>
      <c r="G884" s="313"/>
      <c r="H884" s="313"/>
      <c r="I884" s="313"/>
      <c r="J884" s="48"/>
    </row>
    <row r="885" spans="1:12" x14ac:dyDescent="0.25">
      <c r="A885" s="315"/>
      <c r="B885" s="315"/>
      <c r="C885" s="315"/>
      <c r="D885" s="315"/>
      <c r="E885" s="315"/>
      <c r="F885" s="315"/>
      <c r="G885" s="315"/>
      <c r="H885" s="315"/>
      <c r="I885" s="315"/>
    </row>
    <row r="887" spans="1:12" x14ac:dyDescent="0.25">
      <c r="A887" s="6" t="s">
        <v>11</v>
      </c>
      <c r="B887" s="7" t="s">
        <v>361</v>
      </c>
      <c r="C887" s="2"/>
    </row>
    <row r="888" spans="1:12" x14ac:dyDescent="0.25">
      <c r="A888" s="151" t="s">
        <v>1</v>
      </c>
      <c r="B888" s="24" t="s">
        <v>624</v>
      </c>
      <c r="C888" s="9" t="s">
        <v>2</v>
      </c>
    </row>
    <row r="889" spans="1:12" x14ac:dyDescent="0.25">
      <c r="A889" s="10" t="s">
        <v>3</v>
      </c>
      <c r="B889" s="154">
        <v>2015</v>
      </c>
      <c r="C889" s="154">
        <v>2016</v>
      </c>
      <c r="D889" s="172">
        <v>2017</v>
      </c>
      <c r="E889" s="154">
        <v>2018</v>
      </c>
      <c r="F889" s="154">
        <v>2019</v>
      </c>
      <c r="G889" s="154">
        <v>2020</v>
      </c>
      <c r="H889" s="154">
        <v>2021</v>
      </c>
      <c r="I889" s="154">
        <v>2022</v>
      </c>
      <c r="J889" s="154">
        <v>2023</v>
      </c>
      <c r="K889" s="154">
        <v>2024</v>
      </c>
      <c r="L889" s="154">
        <v>2025</v>
      </c>
    </row>
    <row r="890" spans="1:12" x14ac:dyDescent="0.25">
      <c r="A890" s="10" t="s">
        <v>4</v>
      </c>
      <c r="B890" s="156">
        <v>200</v>
      </c>
      <c r="C890" s="174">
        <v>200</v>
      </c>
      <c r="D890" s="156">
        <v>200</v>
      </c>
      <c r="E890" s="175">
        <v>200</v>
      </c>
      <c r="F890" s="175">
        <v>215</v>
      </c>
      <c r="G890" s="175">
        <v>215</v>
      </c>
      <c r="H890" s="175">
        <v>242</v>
      </c>
      <c r="I890" s="175">
        <v>242</v>
      </c>
      <c r="J890" s="175">
        <v>242</v>
      </c>
      <c r="K890" s="175">
        <v>302</v>
      </c>
      <c r="L890" s="175">
        <v>302</v>
      </c>
    </row>
    <row r="891" spans="1:12" x14ac:dyDescent="0.25">
      <c r="A891" s="10" t="s">
        <v>5</v>
      </c>
      <c r="B891" s="156">
        <f>200+(200*25%)</f>
        <v>250</v>
      </c>
      <c r="C891" s="156">
        <f>200+(200*25%)</f>
        <v>250</v>
      </c>
      <c r="D891" s="156">
        <f>200+(200*25%)</f>
        <v>250</v>
      </c>
      <c r="E891" s="156">
        <f>200+(200*25%)</f>
        <v>250</v>
      </c>
      <c r="F891" s="175">
        <f t="shared" ref="F891:J891" si="42">F890+0.25*E890</f>
        <v>265</v>
      </c>
      <c r="G891" s="175">
        <f t="shared" si="42"/>
        <v>268.75</v>
      </c>
      <c r="H891" s="175">
        <f t="shared" si="42"/>
        <v>295.75</v>
      </c>
      <c r="I891" s="175">
        <f t="shared" si="42"/>
        <v>302.5</v>
      </c>
      <c r="J891" s="175">
        <f t="shared" si="42"/>
        <v>302.5</v>
      </c>
      <c r="K891" s="175">
        <f>K890+0.25*J890</f>
        <v>362.5</v>
      </c>
      <c r="L891" s="175">
        <f>L890+0.25*K890</f>
        <v>377.5</v>
      </c>
    </row>
    <row r="892" spans="1:12" x14ac:dyDescent="0.25">
      <c r="A892" s="10" t="s">
        <v>6</v>
      </c>
      <c r="B892" s="13">
        <v>2</v>
      </c>
      <c r="C892" s="316">
        <v>3</v>
      </c>
      <c r="D892" s="13">
        <v>4</v>
      </c>
      <c r="E892" s="317">
        <v>5</v>
      </c>
      <c r="F892" s="317">
        <v>6</v>
      </c>
      <c r="G892" s="13">
        <v>7</v>
      </c>
      <c r="H892" s="13">
        <v>8</v>
      </c>
      <c r="I892" s="13">
        <v>9</v>
      </c>
      <c r="J892" s="13">
        <v>10</v>
      </c>
      <c r="K892" s="13">
        <v>11</v>
      </c>
      <c r="L892" s="13">
        <v>12</v>
      </c>
    </row>
    <row r="893" spans="1:12" x14ac:dyDescent="0.25">
      <c r="A893" s="10" t="s">
        <v>7</v>
      </c>
      <c r="B893" s="12">
        <v>0</v>
      </c>
      <c r="C893" s="188">
        <v>0</v>
      </c>
      <c r="D893" s="12">
        <v>0</v>
      </c>
      <c r="E893" s="189">
        <v>0</v>
      </c>
      <c r="F893" s="189">
        <v>0</v>
      </c>
      <c r="G893" s="12">
        <v>0</v>
      </c>
      <c r="H893" s="12">
        <v>0</v>
      </c>
      <c r="I893" s="12">
        <v>0</v>
      </c>
      <c r="J893" s="12">
        <v>0</v>
      </c>
      <c r="K893" s="12">
        <v>0</v>
      </c>
      <c r="L893" s="12"/>
    </row>
    <row r="894" spans="1:12" x14ac:dyDescent="0.25">
      <c r="A894" s="10" t="s">
        <v>8</v>
      </c>
      <c r="B894" s="156">
        <f>B891-B893</f>
        <v>250</v>
      </c>
      <c r="C894" s="156">
        <f>C891-C893</f>
        <v>250</v>
      </c>
      <c r="D894" s="156">
        <f>D891-D893</f>
        <v>250</v>
      </c>
      <c r="E894" s="175">
        <v>250</v>
      </c>
      <c r="F894" s="175">
        <f t="shared" ref="F894:J894" si="43">F891-F893</f>
        <v>265</v>
      </c>
      <c r="G894" s="175">
        <f t="shared" si="43"/>
        <v>268.75</v>
      </c>
      <c r="H894" s="175">
        <f t="shared" si="43"/>
        <v>295.75</v>
      </c>
      <c r="I894" s="175">
        <f t="shared" si="43"/>
        <v>302.5</v>
      </c>
      <c r="J894" s="175">
        <f t="shared" si="43"/>
        <v>302.5</v>
      </c>
      <c r="K894" s="175">
        <f>K891-K893</f>
        <v>362.5</v>
      </c>
      <c r="L894" s="175"/>
    </row>
    <row r="895" spans="1:12" x14ac:dyDescent="0.25">
      <c r="A895" s="10" t="s">
        <v>9</v>
      </c>
      <c r="B895" s="318">
        <v>2016</v>
      </c>
      <c r="C895" s="318">
        <v>2017</v>
      </c>
      <c r="D895" s="318">
        <v>2018</v>
      </c>
      <c r="E895" s="318">
        <v>2019</v>
      </c>
      <c r="F895" s="318">
        <v>2020</v>
      </c>
      <c r="G895" s="318">
        <v>2021</v>
      </c>
      <c r="H895" s="318">
        <v>2022</v>
      </c>
      <c r="I895" s="318">
        <v>2023</v>
      </c>
      <c r="J895" s="318">
        <v>2024</v>
      </c>
      <c r="K895" s="318">
        <v>2025</v>
      </c>
      <c r="L895" s="319">
        <v>2026</v>
      </c>
    </row>
    <row r="896" spans="1:12" x14ac:dyDescent="0.25">
      <c r="A896" s="16" t="s">
        <v>10</v>
      </c>
      <c r="B896" s="16"/>
      <c r="C896" s="46"/>
      <c r="D896" s="46"/>
      <c r="E896" s="46"/>
      <c r="F896" s="46"/>
      <c r="G896" s="47"/>
      <c r="H896" s="47"/>
      <c r="I896" s="47"/>
      <c r="J896" s="47"/>
      <c r="K896" s="47"/>
      <c r="L896" s="90"/>
    </row>
    <row r="897" spans="1:12" x14ac:dyDescent="0.25">
      <c r="A897" s="18" t="s">
        <v>362</v>
      </c>
      <c r="B897" s="19"/>
      <c r="C897" s="19"/>
      <c r="D897" s="19"/>
      <c r="E897" s="19"/>
      <c r="F897" s="19"/>
      <c r="G897" s="19"/>
      <c r="H897" s="19"/>
      <c r="I897" s="19"/>
      <c r="J897" s="19"/>
      <c r="K897" s="19"/>
      <c r="L897" s="63"/>
    </row>
    <row r="898" spans="1:12" x14ac:dyDescent="0.25">
      <c r="A898" s="39" t="s">
        <v>793</v>
      </c>
      <c r="L898" s="64"/>
    </row>
    <row r="899" spans="1:12" x14ac:dyDescent="0.25">
      <c r="A899" s="39" t="s">
        <v>794</v>
      </c>
      <c r="L899" s="64"/>
    </row>
    <row r="900" spans="1:12" x14ac:dyDescent="0.25">
      <c r="A900" s="39" t="s">
        <v>795</v>
      </c>
      <c r="L900" s="64"/>
    </row>
    <row r="901" spans="1:12" x14ac:dyDescent="0.25">
      <c r="A901" s="39" t="s">
        <v>796</v>
      </c>
      <c r="L901" s="64"/>
    </row>
    <row r="902" spans="1:12" x14ac:dyDescent="0.25">
      <c r="A902" s="39" t="s">
        <v>797</v>
      </c>
      <c r="L902" s="64"/>
    </row>
    <row r="903" spans="1:12" x14ac:dyDescent="0.25">
      <c r="A903" s="39" t="s">
        <v>798</v>
      </c>
      <c r="L903" s="64"/>
    </row>
    <row r="904" spans="1:12" x14ac:dyDescent="0.25">
      <c r="A904" s="39" t="s">
        <v>799</v>
      </c>
      <c r="L904" s="64"/>
    </row>
    <row r="905" spans="1:12" x14ac:dyDescent="0.25">
      <c r="A905" s="39" t="s">
        <v>800</v>
      </c>
      <c r="L905" s="64"/>
    </row>
    <row r="906" spans="1:12" x14ac:dyDescent="0.25">
      <c r="A906" s="39" t="s">
        <v>801</v>
      </c>
      <c r="L906" s="64"/>
    </row>
    <row r="907" spans="1:12" x14ac:dyDescent="0.25">
      <c r="A907" s="39" t="s">
        <v>969</v>
      </c>
      <c r="L907" s="64"/>
    </row>
    <row r="908" spans="1:12" x14ac:dyDescent="0.25">
      <c r="A908" s="42" t="s">
        <v>1258</v>
      </c>
      <c r="B908" s="34"/>
      <c r="C908" s="34"/>
      <c r="D908" s="34"/>
      <c r="E908" s="34"/>
      <c r="F908" s="34"/>
      <c r="G908" s="34"/>
      <c r="H908" s="34"/>
      <c r="I908" s="34"/>
      <c r="J908" s="34"/>
      <c r="K908" s="34"/>
      <c r="L908" s="48"/>
    </row>
    <row r="910" spans="1:12" s="4" customFormat="1" x14ac:dyDescent="0.25">
      <c r="A910" s="320" t="s">
        <v>1</v>
      </c>
      <c r="B910" s="321" t="s">
        <v>623</v>
      </c>
      <c r="C910" s="322" t="s">
        <v>2</v>
      </c>
    </row>
    <row r="911" spans="1:12" s="4" customFormat="1" x14ac:dyDescent="0.25">
      <c r="A911" s="323" t="s">
        <v>3</v>
      </c>
      <c r="B911" s="324">
        <v>2015</v>
      </c>
      <c r="C911" s="324">
        <v>2016</v>
      </c>
      <c r="D911" s="325">
        <v>2017</v>
      </c>
      <c r="E911" s="324">
        <v>2018</v>
      </c>
      <c r="F911" s="324">
        <v>2019</v>
      </c>
      <c r="G911" s="324">
        <v>2020</v>
      </c>
      <c r="H911" s="324">
        <v>2021</v>
      </c>
      <c r="I911" s="324">
        <v>2022</v>
      </c>
      <c r="J911" s="324">
        <v>2023</v>
      </c>
      <c r="K911" s="324">
        <v>2024</v>
      </c>
      <c r="L911" s="324">
        <v>2025</v>
      </c>
    </row>
    <row r="912" spans="1:12" s="4" customFormat="1" x14ac:dyDescent="0.25">
      <c r="A912" s="323" t="s">
        <v>4</v>
      </c>
      <c r="B912" s="284">
        <v>40</v>
      </c>
      <c r="C912" s="284">
        <v>40</v>
      </c>
      <c r="D912" s="326">
        <v>40</v>
      </c>
      <c r="E912" s="284">
        <v>40</v>
      </c>
      <c r="F912" s="327">
        <v>40</v>
      </c>
      <c r="G912" s="327">
        <v>40</v>
      </c>
      <c r="H912" s="327">
        <v>40</v>
      </c>
      <c r="I912" s="327">
        <v>40</v>
      </c>
      <c r="J912" s="327">
        <v>40</v>
      </c>
      <c r="K912" s="327">
        <v>40</v>
      </c>
      <c r="L912" s="327">
        <v>40</v>
      </c>
    </row>
    <row r="913" spans="1:12" s="4" customFormat="1" x14ac:dyDescent="0.25">
      <c r="A913" s="323" t="s">
        <v>5</v>
      </c>
      <c r="B913" s="284">
        <f>40+(40*50%)+40</f>
        <v>100</v>
      </c>
      <c r="C913" s="284">
        <f>40+(40*50%)+40</f>
        <v>100</v>
      </c>
      <c r="D913" s="284">
        <v>112.75</v>
      </c>
      <c r="E913" s="284">
        <v>108.75</v>
      </c>
      <c r="F913" s="284">
        <v>108.75</v>
      </c>
      <c r="G913" s="284">
        <v>108.75</v>
      </c>
      <c r="H913" s="284">
        <v>108.75</v>
      </c>
      <c r="I913" s="284">
        <f>I912+0.4*G912+40</f>
        <v>96</v>
      </c>
      <c r="J913" s="328">
        <v>96</v>
      </c>
      <c r="K913" s="284">
        <f>K912+0.4*I912+40</f>
        <v>96</v>
      </c>
      <c r="L913" s="284">
        <f>L912+0.4*J912+40</f>
        <v>96</v>
      </c>
    </row>
    <row r="914" spans="1:12" s="4" customFormat="1" x14ac:dyDescent="0.25">
      <c r="A914" s="323" t="s">
        <v>6</v>
      </c>
      <c r="B914" s="195">
        <v>1</v>
      </c>
      <c r="C914" s="195">
        <v>2</v>
      </c>
      <c r="D914" s="329">
        <v>3</v>
      </c>
      <c r="E914" s="195">
        <v>4</v>
      </c>
      <c r="F914" s="330">
        <v>5</v>
      </c>
      <c r="G914" s="195">
        <v>6</v>
      </c>
      <c r="H914" s="195">
        <v>7</v>
      </c>
      <c r="I914" s="195">
        <v>8</v>
      </c>
      <c r="J914" s="195">
        <v>9</v>
      </c>
      <c r="K914" s="195">
        <v>10</v>
      </c>
      <c r="L914" s="195">
        <v>11</v>
      </c>
    </row>
    <row r="915" spans="1:12" s="4" customFormat="1" x14ac:dyDescent="0.25">
      <c r="A915" s="323" t="s">
        <v>7</v>
      </c>
      <c r="B915" s="284">
        <v>0</v>
      </c>
      <c r="C915" s="284">
        <v>0</v>
      </c>
      <c r="D915" s="326">
        <v>0</v>
      </c>
      <c r="E915" s="284">
        <v>0</v>
      </c>
      <c r="F915" s="327">
        <v>0</v>
      </c>
      <c r="G915" s="284">
        <v>0</v>
      </c>
      <c r="H915" s="284">
        <v>0</v>
      </c>
      <c r="I915" s="284">
        <v>78</v>
      </c>
      <c r="J915" s="284">
        <v>0</v>
      </c>
      <c r="K915" s="284">
        <v>0</v>
      </c>
      <c r="L915" s="284"/>
    </row>
    <row r="916" spans="1:12" s="4" customFormat="1" x14ac:dyDescent="0.25">
      <c r="A916" s="323" t="s">
        <v>8</v>
      </c>
      <c r="B916" s="284">
        <f t="shared" ref="B916:G916" si="44">B913-B915</f>
        <v>100</v>
      </c>
      <c r="C916" s="284">
        <f t="shared" si="44"/>
        <v>100</v>
      </c>
      <c r="D916" s="284">
        <f t="shared" si="44"/>
        <v>112.75</v>
      </c>
      <c r="E916" s="284">
        <f t="shared" si="44"/>
        <v>108.75</v>
      </c>
      <c r="F916" s="284">
        <f t="shared" si="44"/>
        <v>108.75</v>
      </c>
      <c r="G916" s="284">
        <f t="shared" si="44"/>
        <v>108.75</v>
      </c>
      <c r="H916" s="284">
        <v>108.75</v>
      </c>
      <c r="I916" s="284">
        <f>I913-I915</f>
        <v>18</v>
      </c>
      <c r="J916" s="284">
        <f>J913-J915</f>
        <v>96</v>
      </c>
      <c r="K916" s="284">
        <f>K913-K915</f>
        <v>96</v>
      </c>
      <c r="L916" s="284">
        <f>L913-L915</f>
        <v>96</v>
      </c>
    </row>
    <row r="917" spans="1:12" s="4" customFormat="1" x14ac:dyDescent="0.25">
      <c r="A917" s="331" t="s">
        <v>9</v>
      </c>
      <c r="B917" s="332">
        <v>2017</v>
      </c>
      <c r="C917" s="332">
        <v>2018</v>
      </c>
      <c r="D917" s="332">
        <v>2019</v>
      </c>
      <c r="E917" s="332">
        <v>2020</v>
      </c>
      <c r="F917" s="332">
        <v>2021</v>
      </c>
      <c r="G917" s="332">
        <v>2022</v>
      </c>
      <c r="H917" s="332">
        <v>2023</v>
      </c>
      <c r="I917" s="332">
        <v>2024</v>
      </c>
      <c r="J917" s="332">
        <v>2025</v>
      </c>
      <c r="K917" s="332">
        <v>2026</v>
      </c>
      <c r="L917" s="332">
        <v>2027</v>
      </c>
    </row>
    <row r="918" spans="1:12" s="4" customFormat="1" x14ac:dyDescent="0.25">
      <c r="A918" s="694" t="s">
        <v>10</v>
      </c>
      <c r="B918" s="695"/>
      <c r="C918" s="695"/>
      <c r="D918" s="695"/>
      <c r="E918" s="695"/>
      <c r="F918" s="695"/>
      <c r="G918" s="585"/>
      <c r="H918" s="585"/>
      <c r="I918" s="585"/>
      <c r="J918" s="585"/>
      <c r="K918" s="585"/>
      <c r="L918" s="670"/>
    </row>
    <row r="919" spans="1:12" s="4" customFormat="1" x14ac:dyDescent="0.25">
      <c r="A919" s="672" t="s">
        <v>362</v>
      </c>
      <c r="B919" s="585"/>
      <c r="C919" s="585"/>
      <c r="D919" s="585"/>
      <c r="E919" s="585"/>
      <c r="F919" s="585"/>
      <c r="G919" s="585"/>
      <c r="H919" s="585"/>
      <c r="I919" s="585"/>
      <c r="J919" s="585"/>
      <c r="K919" s="585"/>
      <c r="L919" s="670"/>
    </row>
    <row r="920" spans="1:12" s="4" customFormat="1" x14ac:dyDescent="0.25">
      <c r="A920" s="682" t="s">
        <v>363</v>
      </c>
      <c r="B920" s="683"/>
      <c r="C920" s="683"/>
      <c r="D920" s="683"/>
      <c r="E920" s="683"/>
      <c r="F920" s="683"/>
      <c r="L920" s="333"/>
    </row>
    <row r="921" spans="1:12" s="4" customFormat="1" x14ac:dyDescent="0.25">
      <c r="A921" s="682" t="s">
        <v>364</v>
      </c>
      <c r="B921" s="683"/>
      <c r="C921" s="683"/>
      <c r="D921" s="683"/>
      <c r="E921" s="683"/>
      <c r="F921" s="683"/>
      <c r="L921" s="333"/>
    </row>
    <row r="922" spans="1:12" s="4" customFormat="1" ht="45" customHeight="1" x14ac:dyDescent="0.25">
      <c r="A922" s="682" t="s">
        <v>365</v>
      </c>
      <c r="B922" s="683"/>
      <c r="C922" s="683"/>
      <c r="D922" s="683"/>
      <c r="E922" s="683"/>
      <c r="F922" s="683"/>
      <c r="G922" s="683"/>
      <c r="L922" s="333"/>
    </row>
    <row r="923" spans="1:12" s="4" customFormat="1" ht="30" customHeight="1" x14ac:dyDescent="0.25">
      <c r="A923" s="682" t="s">
        <v>974</v>
      </c>
      <c r="B923" s="683"/>
      <c r="C923" s="683"/>
      <c r="D923" s="683"/>
      <c r="E923" s="683"/>
      <c r="F923" s="683"/>
      <c r="G923" s="683"/>
      <c r="L923" s="333"/>
    </row>
    <row r="924" spans="1:12" s="4" customFormat="1" ht="30" customHeight="1" x14ac:dyDescent="0.25">
      <c r="A924" s="682" t="s">
        <v>973</v>
      </c>
      <c r="B924" s="683"/>
      <c r="C924" s="683"/>
      <c r="D924" s="683"/>
      <c r="E924" s="683"/>
      <c r="F924" s="683"/>
      <c r="G924" s="683"/>
      <c r="L924" s="333"/>
    </row>
    <row r="925" spans="1:12" s="4" customFormat="1" ht="30" customHeight="1" x14ac:dyDescent="0.25">
      <c r="A925" s="682" t="s">
        <v>972</v>
      </c>
      <c r="B925" s="683"/>
      <c r="C925" s="683"/>
      <c r="D925" s="683"/>
      <c r="E925" s="683"/>
      <c r="F925" s="683"/>
      <c r="G925" s="683"/>
      <c r="L925" s="333"/>
    </row>
    <row r="926" spans="1:12" s="4" customFormat="1" ht="30" customHeight="1" x14ac:dyDescent="0.25">
      <c r="A926" s="682" t="s">
        <v>971</v>
      </c>
      <c r="B926" s="683"/>
      <c r="C926" s="683"/>
      <c r="D926" s="683"/>
      <c r="E926" s="683"/>
      <c r="F926" s="683"/>
      <c r="G926" s="683"/>
      <c r="L926" s="333"/>
    </row>
    <row r="927" spans="1:12" s="4" customFormat="1" ht="30" customHeight="1" x14ac:dyDescent="0.25">
      <c r="A927" s="161" t="s">
        <v>970</v>
      </c>
      <c r="B927" s="32"/>
      <c r="C927" s="32"/>
      <c r="D927" s="32"/>
      <c r="E927" s="32"/>
      <c r="F927" s="32"/>
      <c r="G927" s="32"/>
      <c r="L927" s="333"/>
    </row>
    <row r="928" spans="1:12" s="335" customFormat="1" ht="30" customHeight="1" x14ac:dyDescent="0.25">
      <c r="A928" s="334" t="s">
        <v>1146</v>
      </c>
      <c r="B928" s="671"/>
      <c r="C928" s="671"/>
      <c r="D928" s="671"/>
      <c r="E928" s="671"/>
      <c r="F928" s="671"/>
      <c r="G928" s="671"/>
      <c r="L928" s="336"/>
    </row>
    <row r="929" spans="1:12" s="335" customFormat="1" ht="30" customHeight="1" x14ac:dyDescent="0.25">
      <c r="A929" s="334" t="s">
        <v>975</v>
      </c>
      <c r="B929" s="671"/>
      <c r="C929" s="671"/>
      <c r="D929" s="671"/>
      <c r="E929" s="671"/>
      <c r="F929" s="671"/>
      <c r="G929" s="671"/>
      <c r="L929" s="336"/>
    </row>
    <row r="930" spans="1:12" s="4" customFormat="1" ht="30" customHeight="1" x14ac:dyDescent="0.25">
      <c r="A930" s="702" t="s">
        <v>1257</v>
      </c>
      <c r="B930" s="703"/>
      <c r="C930" s="703"/>
      <c r="D930" s="703"/>
      <c r="E930" s="703"/>
      <c r="F930" s="703"/>
      <c r="G930" s="703"/>
      <c r="H930" s="337"/>
      <c r="I930" s="337"/>
      <c r="J930" s="337"/>
      <c r="K930" s="337"/>
      <c r="L930" s="338"/>
    </row>
    <row r="932" spans="1:12" x14ac:dyDescent="0.25">
      <c r="A932" s="6" t="s">
        <v>1</v>
      </c>
      <c r="B932" s="7" t="s">
        <v>645</v>
      </c>
      <c r="C932" s="322" t="s">
        <v>2</v>
      </c>
    </row>
    <row r="933" spans="1:12" x14ac:dyDescent="0.25">
      <c r="A933" s="10" t="s">
        <v>3</v>
      </c>
      <c r="B933" s="154">
        <v>2015</v>
      </c>
      <c r="C933" s="154">
        <v>2016</v>
      </c>
      <c r="D933" s="172">
        <v>2017</v>
      </c>
      <c r="E933" s="154">
        <v>2018</v>
      </c>
      <c r="F933" s="154">
        <v>2019</v>
      </c>
      <c r="G933" s="154">
        <v>2020</v>
      </c>
      <c r="H933" s="154">
        <v>2021</v>
      </c>
      <c r="I933" s="154">
        <v>2022</v>
      </c>
      <c r="J933" s="154">
        <v>2023</v>
      </c>
      <c r="K933" s="154">
        <v>2024</v>
      </c>
    </row>
    <row r="934" spans="1:12" x14ac:dyDescent="0.25">
      <c r="A934" s="10" t="s">
        <v>4</v>
      </c>
      <c r="B934" s="12">
        <v>4.51</v>
      </c>
      <c r="C934" s="12">
        <v>4.51</v>
      </c>
      <c r="D934" s="188">
        <v>4.51</v>
      </c>
      <c r="E934" s="12">
        <v>5.31</v>
      </c>
      <c r="F934" s="189">
        <v>5.31</v>
      </c>
      <c r="G934" s="12">
        <v>5.31</v>
      </c>
      <c r="H934" s="12">
        <v>5.31</v>
      </c>
      <c r="I934" s="12">
        <v>6.18</v>
      </c>
      <c r="J934" s="12">
        <v>6.18</v>
      </c>
      <c r="K934" s="12">
        <v>6.18</v>
      </c>
    </row>
    <row r="935" spans="1:12" x14ac:dyDescent="0.25">
      <c r="A935" s="10" t="s">
        <v>5</v>
      </c>
      <c r="B935" s="12">
        <v>8.51</v>
      </c>
      <c r="C935" s="12">
        <v>9.02</v>
      </c>
      <c r="D935" s="12">
        <v>4.1899999999999995</v>
      </c>
      <c r="E935" s="12">
        <v>9.5</v>
      </c>
      <c r="F935" s="12">
        <f>2*F934-9.62</f>
        <v>1</v>
      </c>
      <c r="G935" s="12">
        <f>G934+F938-4.78</f>
        <v>1.5299999999999994</v>
      </c>
      <c r="H935" s="12">
        <f>H934+G938-4.78</f>
        <v>2.0599999999999987</v>
      </c>
      <c r="I935" s="12">
        <f>I934+H938-4.78</f>
        <v>3.4599999999999982</v>
      </c>
      <c r="J935" s="12">
        <f>J934+I938-5.18</f>
        <v>4.4599999999999973</v>
      </c>
      <c r="K935" s="12">
        <f>K934+J938</f>
        <v>10.639999999999997</v>
      </c>
    </row>
    <row r="936" spans="1:12" x14ac:dyDescent="0.25">
      <c r="A936" s="10" t="s">
        <v>6</v>
      </c>
      <c r="B936" s="11">
        <v>1</v>
      </c>
      <c r="C936" s="11">
        <v>2</v>
      </c>
      <c r="D936" s="36">
        <v>3</v>
      </c>
      <c r="E936" s="11">
        <v>4</v>
      </c>
      <c r="F936" s="37">
        <v>5</v>
      </c>
      <c r="G936" s="11">
        <v>6</v>
      </c>
      <c r="H936" s="11">
        <v>7</v>
      </c>
      <c r="I936" s="11">
        <v>8</v>
      </c>
      <c r="J936" s="11">
        <v>9</v>
      </c>
      <c r="K936" s="11">
        <v>10</v>
      </c>
    </row>
    <row r="937" spans="1:12" x14ac:dyDescent="0.25">
      <c r="A937" s="10" t="s">
        <v>7</v>
      </c>
      <c r="B937" s="12">
        <v>0.17</v>
      </c>
      <c r="C937" s="12">
        <v>9.34</v>
      </c>
      <c r="D937" s="188">
        <v>0</v>
      </c>
      <c r="E937" s="12">
        <v>0</v>
      </c>
      <c r="F937" s="189">
        <v>0</v>
      </c>
      <c r="G937" s="12">
        <v>0</v>
      </c>
      <c r="H937" s="12">
        <v>0</v>
      </c>
      <c r="I937" s="12">
        <v>0</v>
      </c>
      <c r="J937" s="12">
        <v>0</v>
      </c>
      <c r="K937" s="12">
        <v>0</v>
      </c>
    </row>
    <row r="938" spans="1:12" x14ac:dyDescent="0.25">
      <c r="A938" s="10" t="s">
        <v>8</v>
      </c>
      <c r="B938" s="12">
        <v>8.34</v>
      </c>
      <c r="C938" s="12">
        <v>-0.32000000000000028</v>
      </c>
      <c r="D938" s="12">
        <v>4.1899999999999995</v>
      </c>
      <c r="E938" s="12">
        <v>9.5</v>
      </c>
      <c r="F938" s="189">
        <f>F935-F937</f>
        <v>1</v>
      </c>
      <c r="G938" s="12">
        <f>G935</f>
        <v>1.5299999999999994</v>
      </c>
      <c r="H938" s="12">
        <f>H935</f>
        <v>2.0599999999999987</v>
      </c>
      <c r="I938" s="12">
        <f>I935-I937</f>
        <v>3.4599999999999982</v>
      </c>
      <c r="J938" s="12">
        <f>J935-J937</f>
        <v>4.4599999999999973</v>
      </c>
      <c r="K938" s="12">
        <f>K935-K937</f>
        <v>10.639999999999997</v>
      </c>
    </row>
    <row r="939" spans="1:12" x14ac:dyDescent="0.25">
      <c r="A939" s="16" t="s">
        <v>9</v>
      </c>
      <c r="B939" s="17">
        <v>2016</v>
      </c>
      <c r="C939" s="17">
        <v>2017</v>
      </c>
      <c r="D939" s="17">
        <v>2018</v>
      </c>
      <c r="E939" s="17">
        <v>2019</v>
      </c>
      <c r="F939" s="17">
        <v>2020</v>
      </c>
      <c r="G939" s="17">
        <v>2021</v>
      </c>
      <c r="H939" s="17">
        <v>2022</v>
      </c>
      <c r="I939" s="17">
        <v>2023</v>
      </c>
      <c r="J939" s="17">
        <v>2024</v>
      </c>
      <c r="K939" s="17">
        <v>2025</v>
      </c>
    </row>
    <row r="940" spans="1:12" x14ac:dyDescent="0.25">
      <c r="A940" s="16" t="s">
        <v>10</v>
      </c>
      <c r="B940" s="46"/>
      <c r="C940" s="46"/>
      <c r="D940" s="46"/>
      <c r="E940" s="46"/>
      <c r="F940" s="46"/>
      <c r="G940" s="46"/>
      <c r="H940" s="46"/>
      <c r="I940" s="46"/>
      <c r="J940" s="47"/>
      <c r="K940" s="47"/>
    </row>
    <row r="941" spans="1:12" x14ac:dyDescent="0.25">
      <c r="A941" s="16" t="s">
        <v>366</v>
      </c>
      <c r="B941" s="46"/>
      <c r="C941" s="46"/>
      <c r="D941" s="46"/>
      <c r="E941" s="46"/>
      <c r="F941" s="46"/>
      <c r="G941" s="46"/>
      <c r="H941" s="46"/>
      <c r="I941" s="46"/>
      <c r="J941" s="46"/>
      <c r="K941" s="47"/>
    </row>
    <row r="942" spans="1:12" x14ac:dyDescent="0.25">
      <c r="A942" s="39" t="s">
        <v>367</v>
      </c>
      <c r="K942" s="64"/>
    </row>
    <row r="943" spans="1:12" x14ac:dyDescent="0.25">
      <c r="A943" s="39" t="s">
        <v>368</v>
      </c>
      <c r="K943" s="64"/>
    </row>
    <row r="944" spans="1:12" x14ac:dyDescent="0.25">
      <c r="A944" s="39" t="s">
        <v>369</v>
      </c>
      <c r="K944" s="64"/>
    </row>
    <row r="945" spans="1:11" x14ac:dyDescent="0.25">
      <c r="A945" s="39" t="s">
        <v>596</v>
      </c>
      <c r="K945" s="64"/>
    </row>
    <row r="946" spans="1:11" x14ac:dyDescent="0.25">
      <c r="A946" s="39" t="s">
        <v>589</v>
      </c>
      <c r="K946" s="64"/>
    </row>
    <row r="947" spans="1:11" x14ac:dyDescent="0.25">
      <c r="A947" s="39" t="s">
        <v>588</v>
      </c>
      <c r="K947" s="64"/>
    </row>
    <row r="948" spans="1:11" x14ac:dyDescent="0.25">
      <c r="A948" s="39" t="s">
        <v>597</v>
      </c>
      <c r="K948" s="64"/>
    </row>
    <row r="949" spans="1:11" x14ac:dyDescent="0.25">
      <c r="A949" s="39" t="s">
        <v>802</v>
      </c>
      <c r="K949" s="64"/>
    </row>
    <row r="950" spans="1:11" x14ac:dyDescent="0.25">
      <c r="A950" s="41" t="s">
        <v>976</v>
      </c>
      <c r="B950" s="34"/>
      <c r="C950" s="34"/>
      <c r="D950" s="34"/>
      <c r="E950" s="34"/>
      <c r="F950" s="34"/>
      <c r="G950" s="34"/>
      <c r="H950" s="34"/>
      <c r="I950" s="34"/>
      <c r="J950" s="34"/>
      <c r="K950" s="48"/>
    </row>
    <row r="953" spans="1:11" x14ac:dyDescent="0.25">
      <c r="A953" s="98" t="s">
        <v>12</v>
      </c>
      <c r="B953" s="66" t="s">
        <v>249</v>
      </c>
      <c r="C953" s="339"/>
      <c r="D953" s="8"/>
      <c r="E953" s="8"/>
      <c r="F953" s="8"/>
    </row>
    <row r="954" spans="1:11" x14ac:dyDescent="0.25">
      <c r="A954" s="98" t="s">
        <v>14</v>
      </c>
      <c r="B954" s="66" t="s">
        <v>66</v>
      </c>
      <c r="C954" s="67" t="s">
        <v>15</v>
      </c>
      <c r="D954" s="8"/>
      <c r="E954" s="8"/>
      <c r="F954" s="8"/>
    </row>
    <row r="955" spans="1:11" x14ac:dyDescent="0.25">
      <c r="A955" s="68" t="s">
        <v>16</v>
      </c>
      <c r="B955" s="263">
        <v>2015</v>
      </c>
      <c r="C955" s="263">
        <v>2016</v>
      </c>
      <c r="D955" s="340">
        <v>2017</v>
      </c>
      <c r="E955" s="263">
        <v>2018</v>
      </c>
      <c r="F955" s="341">
        <v>2019</v>
      </c>
      <c r="G955" s="341">
        <v>2020</v>
      </c>
      <c r="H955" s="341">
        <v>2021</v>
      </c>
      <c r="I955" s="341">
        <v>2022</v>
      </c>
      <c r="J955" s="341">
        <v>2023</v>
      </c>
      <c r="K955" s="342">
        <v>2024</v>
      </c>
    </row>
    <row r="956" spans="1:11" x14ac:dyDescent="0.25">
      <c r="A956" s="68" t="s">
        <v>17</v>
      </c>
      <c r="B956" s="12">
        <v>4722</v>
      </c>
      <c r="C956" s="12">
        <v>4250</v>
      </c>
      <c r="D956" s="12">
        <v>4250</v>
      </c>
      <c r="E956" s="12">
        <v>4250</v>
      </c>
      <c r="F956" s="12">
        <v>4250</v>
      </c>
      <c r="G956" s="12">
        <v>3968.23</v>
      </c>
      <c r="H956" s="12">
        <v>3904.7383199999999</v>
      </c>
      <c r="I956" s="12">
        <v>3936.48416</v>
      </c>
      <c r="J956" s="12">
        <v>3936.48416</v>
      </c>
      <c r="K956" s="131">
        <v>3936.48416</v>
      </c>
    </row>
    <row r="957" spans="1:11" x14ac:dyDescent="0.25">
      <c r="A957" s="68" t="s">
        <v>18</v>
      </c>
      <c r="B957" s="12">
        <v>6614.6</v>
      </c>
      <c r="C957" s="12">
        <f>C956+70+583-337</f>
        <v>4566</v>
      </c>
      <c r="D957" s="12">
        <f>D956-337+70+B960+C960</f>
        <v>4433.3230000000003</v>
      </c>
      <c r="E957" s="12">
        <f>E956-337+70</f>
        <v>3983</v>
      </c>
      <c r="F957" s="12">
        <f>F956+70+D960</f>
        <v>4667.3230000000003</v>
      </c>
      <c r="G957" s="12">
        <f>G956+E960</f>
        <v>4380.2299999999996</v>
      </c>
      <c r="H957" s="12">
        <f>H956+425</f>
        <v>4329.7383200000004</v>
      </c>
      <c r="I957" s="12">
        <f>I956+396.82</f>
        <v>4333.3041599999997</v>
      </c>
      <c r="J957" s="12">
        <v>4326.9541600000002</v>
      </c>
      <c r="K957" s="131">
        <v>4330.1319999999996</v>
      </c>
    </row>
    <row r="958" spans="1:11" x14ac:dyDescent="0.25">
      <c r="A958" s="68" t="s">
        <v>19</v>
      </c>
      <c r="B958" s="13"/>
      <c r="C958" s="13">
        <v>1</v>
      </c>
      <c r="D958" s="13">
        <v>2</v>
      </c>
      <c r="E958" s="13">
        <v>3</v>
      </c>
      <c r="F958" s="13">
        <v>4</v>
      </c>
      <c r="G958" s="13">
        <v>5</v>
      </c>
      <c r="H958" s="13">
        <v>6</v>
      </c>
      <c r="I958" s="13">
        <v>7</v>
      </c>
      <c r="J958" s="13">
        <v>8</v>
      </c>
      <c r="K958" s="343">
        <v>9</v>
      </c>
    </row>
    <row r="959" spans="1:11" x14ac:dyDescent="0.25">
      <c r="A959" s="68" t="s">
        <v>20</v>
      </c>
      <c r="B959" s="12">
        <v>5917.6769999999997</v>
      </c>
      <c r="C959" s="12">
        <v>4812.6000000000004</v>
      </c>
      <c r="D959" s="12">
        <v>4086</v>
      </c>
      <c r="E959" s="12">
        <v>3571</v>
      </c>
      <c r="F959" s="12">
        <v>2864.5</v>
      </c>
      <c r="G959" s="12">
        <v>2932.5</v>
      </c>
      <c r="H959" s="12">
        <v>1925</v>
      </c>
      <c r="I959" s="12">
        <v>3672</v>
      </c>
      <c r="J959" s="12">
        <v>2371</v>
      </c>
      <c r="K959" s="131">
        <v>2345</v>
      </c>
    </row>
    <row r="960" spans="1:11" x14ac:dyDescent="0.25">
      <c r="A960" s="68" t="s">
        <v>21</v>
      </c>
      <c r="B960" s="12">
        <f t="shared" ref="B960:H960" si="45">B957-B959</f>
        <v>696.92300000000068</v>
      </c>
      <c r="C960" s="12">
        <f t="shared" si="45"/>
        <v>-246.60000000000036</v>
      </c>
      <c r="D960" s="12">
        <f t="shared" si="45"/>
        <v>347.32300000000032</v>
      </c>
      <c r="E960" s="12">
        <f t="shared" si="45"/>
        <v>412</v>
      </c>
      <c r="F960" s="12">
        <f t="shared" si="45"/>
        <v>1802.8230000000003</v>
      </c>
      <c r="G960" s="12">
        <f t="shared" si="45"/>
        <v>1447.7299999999996</v>
      </c>
      <c r="H960" s="12">
        <f t="shared" si="45"/>
        <v>2404.7383200000004</v>
      </c>
      <c r="I960" s="12">
        <f>I957-I959</f>
        <v>661.30415999999968</v>
      </c>
      <c r="J960" s="12">
        <f>J957-J959</f>
        <v>1955.9541600000002</v>
      </c>
      <c r="K960" s="131">
        <f>K957-K959</f>
        <v>1985.1319999999996</v>
      </c>
    </row>
    <row r="961" spans="1:12" x14ac:dyDescent="0.25">
      <c r="A961" s="73" t="s">
        <v>22</v>
      </c>
      <c r="B961" s="344">
        <v>2017</v>
      </c>
      <c r="C961" s="344">
        <v>2018</v>
      </c>
      <c r="D961" s="344">
        <v>2019</v>
      </c>
      <c r="E961" s="344">
        <v>2020</v>
      </c>
      <c r="F961" s="344">
        <v>2021</v>
      </c>
      <c r="G961" s="344">
        <v>2022</v>
      </c>
      <c r="H961" s="344">
        <v>2023</v>
      </c>
      <c r="I961" s="344">
        <v>2024</v>
      </c>
      <c r="J961" s="344">
        <v>2025</v>
      </c>
      <c r="K961" s="345">
        <v>2026</v>
      </c>
    </row>
    <row r="962" spans="1:12" x14ac:dyDescent="0.25">
      <c r="A962" s="346"/>
      <c r="B962" s="19"/>
      <c r="C962" s="347"/>
      <c r="D962" s="19"/>
      <c r="E962" s="19"/>
      <c r="F962" s="19"/>
      <c r="G962" s="19"/>
      <c r="H962" s="19"/>
      <c r="I962" s="19"/>
      <c r="J962" s="19"/>
      <c r="K962" s="63"/>
    </row>
    <row r="963" spans="1:12" x14ac:dyDescent="0.25">
      <c r="A963" s="39" t="s">
        <v>598</v>
      </c>
      <c r="K963" s="64"/>
    </row>
    <row r="964" spans="1:12" x14ac:dyDescent="0.25">
      <c r="A964" s="39" t="s">
        <v>599</v>
      </c>
      <c r="K964" s="64"/>
    </row>
    <row r="965" spans="1:12" x14ac:dyDescent="0.25">
      <c r="A965" s="39" t="s">
        <v>600</v>
      </c>
      <c r="C965" s="348"/>
      <c r="K965" s="64"/>
    </row>
    <row r="966" spans="1:12" x14ac:dyDescent="0.25">
      <c r="A966" s="39" t="s">
        <v>601</v>
      </c>
      <c r="C966" s="348"/>
      <c r="K966" s="64"/>
    </row>
    <row r="967" spans="1:12" x14ac:dyDescent="0.25">
      <c r="A967" s="39" t="s">
        <v>602</v>
      </c>
      <c r="C967" s="348"/>
      <c r="K967" s="64"/>
    </row>
    <row r="968" spans="1:12" x14ac:dyDescent="0.25">
      <c r="A968" s="39" t="s">
        <v>501</v>
      </c>
      <c r="K968" s="64"/>
    </row>
    <row r="969" spans="1:12" x14ac:dyDescent="0.25">
      <c r="A969" s="39" t="s">
        <v>736</v>
      </c>
      <c r="K969" s="64"/>
    </row>
    <row r="970" spans="1:12" x14ac:dyDescent="0.25">
      <c r="A970" s="39" t="s">
        <v>735</v>
      </c>
      <c r="K970" s="64"/>
    </row>
    <row r="971" spans="1:12" x14ac:dyDescent="0.25">
      <c r="A971" s="39" t="s">
        <v>979</v>
      </c>
      <c r="K971" s="64"/>
    </row>
    <row r="972" spans="1:12" x14ac:dyDescent="0.25">
      <c r="A972" s="42" t="s">
        <v>1180</v>
      </c>
      <c r="B972" s="34"/>
      <c r="C972" s="34"/>
      <c r="D972" s="34"/>
      <c r="E972" s="34"/>
      <c r="F972" s="34"/>
      <c r="G972" s="34"/>
      <c r="H972" s="34"/>
      <c r="I972" s="34"/>
      <c r="J972" s="34"/>
      <c r="K972" s="48"/>
    </row>
    <row r="974" spans="1:12" ht="13.8" x14ac:dyDescent="0.3">
      <c r="A974" s="1"/>
      <c r="B974" s="2"/>
      <c r="C974" s="2"/>
      <c r="D974" s="2"/>
      <c r="E974" s="2"/>
      <c r="F974" s="1"/>
      <c r="G974" s="2"/>
    </row>
    <row r="975" spans="1:12" x14ac:dyDescent="0.25">
      <c r="A975" s="6" t="s">
        <v>12</v>
      </c>
      <c r="B975" s="7" t="s">
        <v>941</v>
      </c>
      <c r="C975" s="8"/>
    </row>
    <row r="976" spans="1:12" s="50" customFormat="1" ht="14.4" x14ac:dyDescent="0.3">
      <c r="A976" s="9" t="s">
        <v>14</v>
      </c>
      <c r="B976" s="9" t="s">
        <v>623</v>
      </c>
      <c r="C976" s="9" t="s">
        <v>15</v>
      </c>
      <c r="D976" s="49"/>
      <c r="E976" s="49"/>
      <c r="F976" s="49"/>
      <c r="G976" s="49"/>
      <c r="H976" s="49"/>
      <c r="I976" s="49"/>
      <c r="J976" s="49"/>
      <c r="K976" s="349"/>
      <c r="L976" s="349"/>
    </row>
    <row r="977" spans="1:12" s="50" customFormat="1" ht="14.4" x14ac:dyDescent="0.3">
      <c r="A977" s="11" t="s">
        <v>16</v>
      </c>
      <c r="B977" s="9">
        <v>2016</v>
      </c>
      <c r="C977" s="639">
        <v>2017</v>
      </c>
      <c r="D977" s="9">
        <v>2018</v>
      </c>
      <c r="E977" s="639">
        <v>2019</v>
      </c>
      <c r="F977" s="9">
        <v>2020</v>
      </c>
      <c r="G977" s="639">
        <v>2021</v>
      </c>
      <c r="H977" s="639">
        <v>2022</v>
      </c>
      <c r="I977" s="639">
        <v>2023</v>
      </c>
      <c r="J977" s="639">
        <v>2024</v>
      </c>
      <c r="K977" s="640">
        <v>2025</v>
      </c>
    </row>
    <row r="978" spans="1:12" s="50" customFormat="1" ht="14.4" x14ac:dyDescent="0.3">
      <c r="A978" s="11" t="s">
        <v>17</v>
      </c>
      <c r="B978" s="12">
        <v>0</v>
      </c>
      <c r="C978" s="12">
        <v>0</v>
      </c>
      <c r="D978" s="12">
        <v>0</v>
      </c>
      <c r="E978" s="12">
        <v>0</v>
      </c>
      <c r="F978" s="12">
        <v>0</v>
      </c>
      <c r="G978" s="12">
        <v>0</v>
      </c>
      <c r="H978" s="12">
        <v>0</v>
      </c>
      <c r="I978" s="12">
        <v>0</v>
      </c>
      <c r="J978" s="12">
        <v>0</v>
      </c>
      <c r="K978" s="131">
        <v>0</v>
      </c>
    </row>
    <row r="979" spans="1:12" s="50" customFormat="1" ht="14.4" x14ac:dyDescent="0.3">
      <c r="A979" s="11" t="s">
        <v>18</v>
      </c>
      <c r="B979" s="12"/>
      <c r="C979" s="12">
        <f>C978+B982</f>
        <v>-28.55546</v>
      </c>
      <c r="D979" s="12">
        <f>D978+C982</f>
        <v>-64.828410000000005</v>
      </c>
      <c r="E979" s="12">
        <f>E978+D982</f>
        <v>-100.71838</v>
      </c>
      <c r="F979" s="12">
        <f>F978+E982</f>
        <v>-122.58440999999999</v>
      </c>
      <c r="G979" s="12">
        <f>G978+F982</f>
        <v>-137.94472999999999</v>
      </c>
      <c r="H979" s="12">
        <f>H978+(G982)</f>
        <v>-142.25473</v>
      </c>
      <c r="I979" s="12">
        <f>I978+(H982)</f>
        <v>-149.03372999999999</v>
      </c>
      <c r="J979" s="12">
        <f>J978+(I982)</f>
        <v>-165.23183999999998</v>
      </c>
      <c r="K979" s="131">
        <f>K978+(J982)</f>
        <v>-171.79183999999998</v>
      </c>
    </row>
    <row r="980" spans="1:12" s="50" customFormat="1" ht="14.4" x14ac:dyDescent="0.3">
      <c r="A980" s="11" t="s">
        <v>19</v>
      </c>
      <c r="B980" s="11"/>
      <c r="C980" s="11">
        <v>1</v>
      </c>
      <c r="D980" s="11">
        <v>2</v>
      </c>
      <c r="E980" s="11">
        <v>3</v>
      </c>
      <c r="F980" s="11">
        <v>4</v>
      </c>
      <c r="G980" s="11">
        <v>5</v>
      </c>
      <c r="H980" s="11">
        <v>6</v>
      </c>
      <c r="I980" s="11">
        <v>7</v>
      </c>
      <c r="J980" s="11">
        <v>8</v>
      </c>
      <c r="K980" s="362">
        <v>9</v>
      </c>
    </row>
    <row r="981" spans="1:12" s="50" customFormat="1" ht="15" x14ac:dyDescent="0.3">
      <c r="A981" s="11" t="s">
        <v>20</v>
      </c>
      <c r="B981" s="350">
        <v>28.55546</v>
      </c>
      <c r="C981" s="350">
        <v>36.272950000000002</v>
      </c>
      <c r="D981" s="350">
        <v>35.889969999999998</v>
      </c>
      <c r="E981" s="350">
        <v>21.866029999999999</v>
      </c>
      <c r="F981" s="350">
        <v>15.36032</v>
      </c>
      <c r="G981" s="350">
        <v>4.3099999999999996</v>
      </c>
      <c r="H981" s="350">
        <v>6.7789999999999999</v>
      </c>
      <c r="I981" s="351">
        <v>16.19811</v>
      </c>
      <c r="J981" s="351">
        <v>6.56</v>
      </c>
      <c r="K981" s="362"/>
    </row>
    <row r="982" spans="1:12" s="50" customFormat="1" ht="14.4" x14ac:dyDescent="0.3">
      <c r="A982" s="11" t="s">
        <v>21</v>
      </c>
      <c r="B982" s="12">
        <f>B978-B981</f>
        <v>-28.55546</v>
      </c>
      <c r="C982" s="12">
        <f t="shared" ref="C982:J982" si="46">C979-C981</f>
        <v>-64.828410000000005</v>
      </c>
      <c r="D982" s="12">
        <f t="shared" si="46"/>
        <v>-100.71838</v>
      </c>
      <c r="E982" s="12">
        <f t="shared" si="46"/>
        <v>-122.58440999999999</v>
      </c>
      <c r="F982" s="12">
        <f t="shared" si="46"/>
        <v>-137.94472999999999</v>
      </c>
      <c r="G982" s="12">
        <f t="shared" si="46"/>
        <v>-142.25473</v>
      </c>
      <c r="H982" s="12">
        <f t="shared" si="46"/>
        <v>-149.03372999999999</v>
      </c>
      <c r="I982" s="12">
        <f t="shared" si="46"/>
        <v>-165.23183999999998</v>
      </c>
      <c r="J982" s="12">
        <f t="shared" si="46"/>
        <v>-171.79183999999998</v>
      </c>
      <c r="K982" s="362"/>
    </row>
    <row r="983" spans="1:12" s="50" customFormat="1" ht="14.4" x14ac:dyDescent="0.3">
      <c r="A983" s="62" t="s">
        <v>22</v>
      </c>
      <c r="B983" s="62">
        <v>2017</v>
      </c>
      <c r="C983" s="62">
        <v>2018</v>
      </c>
      <c r="D983" s="62">
        <v>2019</v>
      </c>
      <c r="E983" s="62">
        <v>2020</v>
      </c>
      <c r="F983" s="62">
        <v>2021</v>
      </c>
      <c r="G983" s="62">
        <v>2022</v>
      </c>
      <c r="H983" s="62">
        <v>2023</v>
      </c>
      <c r="I983" s="62">
        <v>2024</v>
      </c>
      <c r="J983" s="62">
        <v>2025</v>
      </c>
      <c r="K983" s="611"/>
    </row>
    <row r="984" spans="1:12" s="50" customFormat="1" ht="14.4" x14ac:dyDescent="0.3">
      <c r="A984" s="18">
        <v>1</v>
      </c>
      <c r="B984" s="53" t="s">
        <v>942</v>
      </c>
      <c r="C984" s="19"/>
      <c r="D984" s="19"/>
      <c r="E984" s="19"/>
      <c r="F984" s="19"/>
      <c r="G984" s="19"/>
      <c r="H984" s="19"/>
      <c r="I984" s="19"/>
      <c r="J984" s="19"/>
      <c r="K984" s="55"/>
      <c r="L984" s="3"/>
    </row>
    <row r="985" spans="1:12" s="50" customFormat="1" ht="14.4" x14ac:dyDescent="0.3">
      <c r="A985" s="39">
        <v>2</v>
      </c>
      <c r="B985" s="49" t="s">
        <v>943</v>
      </c>
      <c r="C985" s="3"/>
      <c r="D985" s="3"/>
      <c r="E985" s="3"/>
      <c r="F985" s="3"/>
      <c r="G985" s="3"/>
      <c r="H985" s="3"/>
      <c r="I985" s="3"/>
      <c r="J985" s="3"/>
      <c r="K985" s="57"/>
      <c r="L985" s="3"/>
    </row>
    <row r="986" spans="1:12" s="50" customFormat="1" ht="14.4" x14ac:dyDescent="0.3">
      <c r="A986" s="39">
        <v>3</v>
      </c>
      <c r="B986" s="49" t="s">
        <v>944</v>
      </c>
      <c r="C986" s="3"/>
      <c r="D986" s="3"/>
      <c r="E986" s="3"/>
      <c r="F986" s="3"/>
      <c r="G986" s="3"/>
      <c r="H986" s="3"/>
      <c r="I986" s="3"/>
      <c r="J986" s="3"/>
      <c r="K986" s="57"/>
      <c r="L986" s="3"/>
    </row>
    <row r="987" spans="1:12" s="50" customFormat="1" ht="14.4" x14ac:dyDescent="0.3">
      <c r="A987" s="39">
        <v>4</v>
      </c>
      <c r="B987" s="49" t="s">
        <v>945</v>
      </c>
      <c r="C987" s="3"/>
      <c r="D987" s="3"/>
      <c r="E987" s="3"/>
      <c r="F987" s="3"/>
      <c r="G987" s="3"/>
      <c r="H987" s="3"/>
      <c r="I987" s="3"/>
      <c r="J987" s="3"/>
      <c r="K987" s="57"/>
      <c r="L987" s="3"/>
    </row>
    <row r="988" spans="1:12" s="50" customFormat="1" ht="14.4" x14ac:dyDescent="0.3">
      <c r="A988" s="39">
        <v>5</v>
      </c>
      <c r="B988" s="49" t="s">
        <v>946</v>
      </c>
      <c r="C988" s="3"/>
      <c r="D988" s="3"/>
      <c r="E988" s="3"/>
      <c r="F988" s="3"/>
      <c r="G988" s="3"/>
      <c r="H988" s="3"/>
      <c r="I988" s="3"/>
      <c r="J988" s="3"/>
      <c r="K988" s="57"/>
      <c r="L988" s="3"/>
    </row>
    <row r="989" spans="1:12" s="50" customFormat="1" ht="14.4" x14ac:dyDescent="0.3">
      <c r="A989" s="39">
        <v>6</v>
      </c>
      <c r="B989" s="49" t="s">
        <v>949</v>
      </c>
      <c r="C989" s="3"/>
      <c r="D989" s="3"/>
      <c r="E989" s="3"/>
      <c r="F989" s="3"/>
      <c r="G989" s="3"/>
      <c r="H989" s="3"/>
      <c r="I989" s="3"/>
      <c r="J989" s="3"/>
      <c r="K989" s="57"/>
      <c r="L989" s="3"/>
    </row>
    <row r="990" spans="1:12" s="50" customFormat="1" ht="14.4" x14ac:dyDescent="0.3">
      <c r="A990" s="39">
        <v>7</v>
      </c>
      <c r="B990" s="49" t="s">
        <v>950</v>
      </c>
      <c r="C990" s="3"/>
      <c r="D990" s="3"/>
      <c r="E990" s="3"/>
      <c r="F990" s="3"/>
      <c r="G990" s="3"/>
      <c r="H990" s="3"/>
      <c r="I990" s="3"/>
      <c r="J990" s="3"/>
      <c r="K990" s="57"/>
      <c r="L990" s="3"/>
    </row>
    <row r="991" spans="1:12" s="50" customFormat="1" ht="14.4" x14ac:dyDescent="0.3">
      <c r="A991" s="39">
        <v>8</v>
      </c>
      <c r="B991" s="49" t="s">
        <v>1092</v>
      </c>
      <c r="C991" s="3"/>
      <c r="D991" s="3"/>
      <c r="E991" s="3"/>
      <c r="F991" s="3"/>
      <c r="G991" s="3"/>
      <c r="H991" s="3"/>
      <c r="I991" s="3"/>
      <c r="J991" s="3"/>
      <c r="K991" s="57"/>
      <c r="L991" s="3"/>
    </row>
    <row r="992" spans="1:12" s="582" customFormat="1" ht="14.4" x14ac:dyDescent="0.3">
      <c r="A992" s="42">
        <v>9</v>
      </c>
      <c r="B992" s="141" t="s">
        <v>1132</v>
      </c>
      <c r="C992" s="43"/>
      <c r="D992" s="43"/>
      <c r="E992" s="43"/>
      <c r="F992" s="43"/>
      <c r="G992" s="43"/>
      <c r="H992" s="43"/>
      <c r="I992" s="43"/>
      <c r="J992" s="43"/>
      <c r="K992" s="641"/>
      <c r="L992" s="45"/>
    </row>
    <row r="994" spans="1:12" s="50" customFormat="1" ht="14.4" x14ac:dyDescent="0.3">
      <c r="A994" s="9" t="s">
        <v>14</v>
      </c>
      <c r="B994" s="9" t="s">
        <v>74</v>
      </c>
      <c r="C994" s="9" t="s">
        <v>15</v>
      </c>
      <c r="D994" s="49"/>
      <c r="E994" s="49"/>
      <c r="F994" s="49"/>
      <c r="G994" s="49"/>
      <c r="H994" s="49"/>
      <c r="I994" s="49"/>
      <c r="J994" s="49"/>
      <c r="K994" s="349"/>
      <c r="L994" s="349"/>
    </row>
    <row r="995" spans="1:12" s="50" customFormat="1" ht="14.4" x14ac:dyDescent="0.3">
      <c r="A995" s="11" t="s">
        <v>16</v>
      </c>
      <c r="B995" s="11">
        <v>2016</v>
      </c>
      <c r="C995" s="51">
        <v>2017</v>
      </c>
      <c r="D995" s="11">
        <v>2018</v>
      </c>
      <c r="E995" s="51">
        <v>2019</v>
      </c>
      <c r="F995" s="11">
        <v>2020</v>
      </c>
      <c r="G995" s="51">
        <v>2021</v>
      </c>
      <c r="H995" s="51">
        <v>2022</v>
      </c>
      <c r="I995" s="51">
        <v>2023</v>
      </c>
      <c r="J995" s="51">
        <v>2024</v>
      </c>
      <c r="K995" s="51">
        <v>2025</v>
      </c>
    </row>
    <row r="996" spans="1:12" s="50" customFormat="1" ht="14.4" x14ac:dyDescent="0.3">
      <c r="A996" s="11" t="s">
        <v>17</v>
      </c>
      <c r="B996" s="12">
        <v>10</v>
      </c>
      <c r="C996" s="12">
        <v>10</v>
      </c>
      <c r="D996" s="12">
        <v>10</v>
      </c>
      <c r="E996" s="12">
        <v>10</v>
      </c>
      <c r="F996" s="12">
        <v>10</v>
      </c>
      <c r="G996" s="12">
        <v>10</v>
      </c>
      <c r="H996" s="12">
        <v>10</v>
      </c>
      <c r="I996" s="12">
        <v>10</v>
      </c>
      <c r="J996" s="12">
        <v>10</v>
      </c>
      <c r="K996" s="12">
        <v>10</v>
      </c>
    </row>
    <row r="997" spans="1:12" s="50" customFormat="1" ht="14.4" x14ac:dyDescent="0.3">
      <c r="A997" s="11" t="s">
        <v>18</v>
      </c>
      <c r="B997" s="12"/>
      <c r="C997" s="12">
        <f>C996+B1000</f>
        <v>-32.61403</v>
      </c>
      <c r="D997" s="12">
        <f>D996+C1000</f>
        <v>-76.433140000000009</v>
      </c>
      <c r="E997" s="12">
        <f>E996+D1000</f>
        <v>-128.10641000000001</v>
      </c>
      <c r="F997" s="12">
        <f>F996+E1000</f>
        <v>-187.27213</v>
      </c>
      <c r="G997" s="12">
        <f>G996+F1000</f>
        <v>-226.22134</v>
      </c>
      <c r="H997" s="12">
        <f>H996+(1.25*G1000)</f>
        <v>-295.64792499999999</v>
      </c>
      <c r="I997" s="12">
        <f>I996+(H1000)</f>
        <v>-304.77292499999999</v>
      </c>
      <c r="J997" s="12">
        <f>J996+(I1000)</f>
        <v>-363.07112499999999</v>
      </c>
      <c r="K997" s="12">
        <f>K996+(J1000)</f>
        <v>-379.58112499999999</v>
      </c>
    </row>
    <row r="998" spans="1:12" s="50" customFormat="1" ht="14.4" x14ac:dyDescent="0.3">
      <c r="A998" s="11" t="s">
        <v>19</v>
      </c>
      <c r="B998" s="11"/>
      <c r="C998" s="11">
        <v>1</v>
      </c>
      <c r="D998" s="11">
        <v>2</v>
      </c>
      <c r="E998" s="11">
        <v>3</v>
      </c>
      <c r="F998" s="11">
        <v>4</v>
      </c>
      <c r="G998" s="11">
        <v>5</v>
      </c>
      <c r="H998" s="11">
        <v>6</v>
      </c>
      <c r="I998" s="11">
        <v>7</v>
      </c>
      <c r="J998" s="11">
        <v>8</v>
      </c>
      <c r="K998" s="11">
        <v>9</v>
      </c>
    </row>
    <row r="999" spans="1:12" s="50" customFormat="1" ht="15" x14ac:dyDescent="0.3">
      <c r="A999" s="11" t="s">
        <v>20</v>
      </c>
      <c r="B999" s="350">
        <v>52.61403</v>
      </c>
      <c r="C999" s="350">
        <v>53.819110000000002</v>
      </c>
      <c r="D999" s="350">
        <v>61.673270000000002</v>
      </c>
      <c r="E999" s="350">
        <v>69.165719999999993</v>
      </c>
      <c r="F999" s="350">
        <v>48.949210000000001</v>
      </c>
      <c r="G999" s="350">
        <v>18.297000000000001</v>
      </c>
      <c r="H999" s="350">
        <v>19.125</v>
      </c>
      <c r="I999" s="351">
        <v>68.298199999999994</v>
      </c>
      <c r="J999" s="351">
        <v>26.51</v>
      </c>
      <c r="K999" s="351"/>
    </row>
    <row r="1000" spans="1:12" s="50" customFormat="1" ht="14.4" x14ac:dyDescent="0.3">
      <c r="A1000" s="11" t="s">
        <v>21</v>
      </c>
      <c r="B1000" s="12">
        <f>B996-B999</f>
        <v>-42.61403</v>
      </c>
      <c r="C1000" s="12">
        <f>C997-C999</f>
        <v>-86.433140000000009</v>
      </c>
      <c r="D1000" s="12">
        <f t="shared" ref="D1000:J1000" si="47">D997-D999</f>
        <v>-138.10641000000001</v>
      </c>
      <c r="E1000" s="12">
        <f t="shared" si="47"/>
        <v>-197.27213</v>
      </c>
      <c r="F1000" s="12">
        <f t="shared" si="47"/>
        <v>-236.22134</v>
      </c>
      <c r="G1000" s="12">
        <f t="shared" si="47"/>
        <v>-244.51833999999999</v>
      </c>
      <c r="H1000" s="12">
        <f t="shared" si="47"/>
        <v>-314.77292499999999</v>
      </c>
      <c r="I1000" s="12">
        <f t="shared" si="47"/>
        <v>-373.07112499999999</v>
      </c>
      <c r="J1000" s="12">
        <f t="shared" si="47"/>
        <v>-389.58112499999999</v>
      </c>
      <c r="K1000" s="12"/>
    </row>
    <row r="1001" spans="1:12" s="50" customFormat="1" ht="14.4" x14ac:dyDescent="0.3">
      <c r="A1001" s="62" t="s">
        <v>22</v>
      </c>
      <c r="B1001" s="62">
        <v>2017</v>
      </c>
      <c r="C1001" s="62">
        <v>2018</v>
      </c>
      <c r="D1001" s="62">
        <v>2019</v>
      </c>
      <c r="E1001" s="62">
        <v>2020</v>
      </c>
      <c r="F1001" s="62">
        <v>2021</v>
      </c>
      <c r="G1001" s="62">
        <v>2022</v>
      </c>
      <c r="H1001" s="62">
        <v>2023</v>
      </c>
      <c r="I1001" s="62">
        <v>2024</v>
      </c>
      <c r="J1001" s="62">
        <v>2025</v>
      </c>
      <c r="K1001" s="62">
        <v>2026</v>
      </c>
    </row>
    <row r="1002" spans="1:12" s="50" customFormat="1" ht="14.4" x14ac:dyDescent="0.3">
      <c r="A1002" s="18">
        <v>1</v>
      </c>
      <c r="B1002" s="53" t="s">
        <v>942</v>
      </c>
      <c r="C1002" s="19"/>
      <c r="D1002" s="19"/>
      <c r="E1002" s="19"/>
      <c r="F1002" s="19"/>
      <c r="G1002" s="19"/>
      <c r="H1002" s="19"/>
      <c r="I1002" s="19"/>
      <c r="J1002" s="19"/>
      <c r="K1002" s="55"/>
      <c r="L1002" s="3"/>
    </row>
    <row r="1003" spans="1:12" s="50" customFormat="1" ht="14.4" x14ac:dyDescent="0.3">
      <c r="A1003" s="39">
        <v>2</v>
      </c>
      <c r="B1003" s="49" t="s">
        <v>943</v>
      </c>
      <c r="C1003" s="3"/>
      <c r="D1003" s="3"/>
      <c r="E1003" s="3"/>
      <c r="F1003" s="3"/>
      <c r="G1003" s="3"/>
      <c r="H1003" s="3"/>
      <c r="I1003" s="3"/>
      <c r="J1003" s="3"/>
      <c r="K1003" s="57"/>
      <c r="L1003" s="3"/>
    </row>
    <row r="1004" spans="1:12" s="50" customFormat="1" ht="14.4" x14ac:dyDescent="0.3">
      <c r="A1004" s="39">
        <v>3</v>
      </c>
      <c r="B1004" s="49" t="s">
        <v>944</v>
      </c>
      <c r="C1004" s="3"/>
      <c r="D1004" s="3"/>
      <c r="E1004" s="3"/>
      <c r="F1004" s="3"/>
      <c r="G1004" s="3"/>
      <c r="H1004" s="3"/>
      <c r="I1004" s="3"/>
      <c r="J1004" s="3"/>
      <c r="K1004" s="57"/>
      <c r="L1004" s="3"/>
    </row>
    <row r="1005" spans="1:12" s="50" customFormat="1" ht="14.4" x14ac:dyDescent="0.3">
      <c r="A1005" s="39">
        <v>4</v>
      </c>
      <c r="B1005" s="49" t="s">
        <v>945</v>
      </c>
      <c r="C1005" s="3"/>
      <c r="D1005" s="3"/>
      <c r="E1005" s="3"/>
      <c r="F1005" s="3"/>
      <c r="G1005" s="3"/>
      <c r="H1005" s="3"/>
      <c r="I1005" s="3"/>
      <c r="J1005" s="3"/>
      <c r="K1005" s="57"/>
      <c r="L1005" s="3"/>
    </row>
    <row r="1006" spans="1:12" s="50" customFormat="1" ht="14.4" x14ac:dyDescent="0.3">
      <c r="A1006" s="39">
        <v>5</v>
      </c>
      <c r="B1006" s="49" t="s">
        <v>946</v>
      </c>
      <c r="C1006" s="3"/>
      <c r="D1006" s="3"/>
      <c r="E1006" s="3"/>
      <c r="F1006" s="3"/>
      <c r="G1006" s="3"/>
      <c r="H1006" s="3"/>
      <c r="I1006" s="3"/>
      <c r="J1006" s="3"/>
      <c r="K1006" s="57"/>
      <c r="L1006" s="3"/>
    </row>
    <row r="1007" spans="1:12" s="50" customFormat="1" ht="14.4" x14ac:dyDescent="0.3">
      <c r="A1007" s="39">
        <v>6</v>
      </c>
      <c r="B1007" s="49" t="s">
        <v>947</v>
      </c>
      <c r="C1007" s="3"/>
      <c r="D1007" s="3"/>
      <c r="E1007" s="3"/>
      <c r="F1007" s="3"/>
      <c r="G1007" s="3"/>
      <c r="H1007" s="3"/>
      <c r="I1007" s="3"/>
      <c r="J1007" s="3"/>
      <c r="K1007" s="57"/>
      <c r="L1007" s="3"/>
    </row>
    <row r="1008" spans="1:12" s="50" customFormat="1" ht="14.4" x14ac:dyDescent="0.3">
      <c r="A1008" s="39">
        <v>7</v>
      </c>
      <c r="B1008" s="49" t="s">
        <v>950</v>
      </c>
      <c r="C1008" s="3"/>
      <c r="D1008" s="3"/>
      <c r="E1008" s="3"/>
      <c r="F1008" s="3"/>
      <c r="G1008" s="3"/>
      <c r="H1008" s="3"/>
      <c r="I1008" s="3"/>
      <c r="J1008" s="3"/>
      <c r="K1008" s="57"/>
      <c r="L1008" s="3"/>
    </row>
    <row r="1009" spans="1:12" s="50" customFormat="1" ht="14.4" x14ac:dyDescent="0.3">
      <c r="A1009" s="39">
        <v>8</v>
      </c>
      <c r="B1009" s="49" t="s">
        <v>1092</v>
      </c>
      <c r="C1009" s="3"/>
      <c r="D1009" s="3"/>
      <c r="E1009" s="3"/>
      <c r="F1009" s="3"/>
      <c r="G1009" s="3"/>
      <c r="H1009" s="3"/>
      <c r="I1009" s="3"/>
      <c r="J1009" s="3"/>
      <c r="K1009" s="57"/>
      <c r="L1009" s="3"/>
    </row>
    <row r="1010" spans="1:12" s="59" customFormat="1" ht="14.4" x14ac:dyDescent="0.3">
      <c r="A1010" s="41">
        <v>9</v>
      </c>
      <c r="B1010" s="58" t="s">
        <v>1132</v>
      </c>
      <c r="C1010" s="34"/>
      <c r="D1010" s="34"/>
      <c r="E1010" s="34"/>
      <c r="F1010" s="34"/>
      <c r="G1010" s="34"/>
      <c r="H1010" s="34"/>
      <c r="I1010" s="34"/>
      <c r="J1010" s="34"/>
      <c r="K1010" s="60"/>
      <c r="L1010" s="34"/>
    </row>
    <row r="1012" spans="1:12" s="50" customFormat="1" ht="14.4" x14ac:dyDescent="0.3">
      <c r="A1012" s="9" t="s">
        <v>14</v>
      </c>
      <c r="B1012" s="9" t="s">
        <v>79</v>
      </c>
      <c r="C1012" s="9" t="s">
        <v>15</v>
      </c>
      <c r="D1012" s="49"/>
      <c r="E1012" s="49"/>
      <c r="F1012" s="49"/>
      <c r="G1012" s="49"/>
      <c r="H1012" s="49"/>
      <c r="I1012" s="49"/>
      <c r="J1012" s="49"/>
      <c r="K1012" s="349"/>
      <c r="L1012" s="349"/>
    </row>
    <row r="1013" spans="1:12" s="50" customFormat="1" ht="14.4" x14ac:dyDescent="0.3">
      <c r="A1013" s="11" t="s">
        <v>16</v>
      </c>
      <c r="B1013" s="11">
        <v>2016</v>
      </c>
      <c r="C1013" s="51">
        <v>2017</v>
      </c>
      <c r="D1013" s="11">
        <v>2018</v>
      </c>
      <c r="E1013" s="51">
        <v>2019</v>
      </c>
      <c r="F1013" s="11">
        <v>2020</v>
      </c>
      <c r="G1013" s="51">
        <v>2021</v>
      </c>
      <c r="H1013" s="51">
        <v>2022</v>
      </c>
      <c r="I1013" s="51">
        <v>2023</v>
      </c>
      <c r="J1013" s="51">
        <v>2024</v>
      </c>
      <c r="K1013" s="51">
        <v>2025</v>
      </c>
    </row>
    <row r="1014" spans="1:12" s="50" customFormat="1" ht="14.4" x14ac:dyDescent="0.3">
      <c r="A1014" s="11" t="s">
        <v>17</v>
      </c>
      <c r="B1014" s="12">
        <v>2</v>
      </c>
      <c r="C1014" s="12">
        <v>2</v>
      </c>
      <c r="D1014" s="12">
        <v>2</v>
      </c>
      <c r="E1014" s="12">
        <v>2</v>
      </c>
      <c r="F1014" s="12">
        <v>2</v>
      </c>
      <c r="G1014" s="12">
        <v>2</v>
      </c>
      <c r="H1014" s="12">
        <v>2</v>
      </c>
      <c r="I1014" s="12">
        <v>2</v>
      </c>
      <c r="J1014" s="12">
        <v>2</v>
      </c>
      <c r="K1014" s="12">
        <v>2</v>
      </c>
    </row>
    <row r="1015" spans="1:12" s="50" customFormat="1" ht="14.4" x14ac:dyDescent="0.3">
      <c r="A1015" s="11" t="s">
        <v>18</v>
      </c>
      <c r="B1015" s="12"/>
      <c r="C1015" s="12">
        <f>C1014+B1018</f>
        <v>-11.25929</v>
      </c>
      <c r="D1015" s="12">
        <f>D1014+C1018</f>
        <v>-18.250970000000002</v>
      </c>
      <c r="E1015" s="12">
        <f>E1014+D1018</f>
        <v>-26.929000000000002</v>
      </c>
      <c r="F1015" s="12">
        <f>F1014+E1018</f>
        <v>-43.615989999999996</v>
      </c>
      <c r="G1015" s="12">
        <f>G1014+F1018</f>
        <v>-55.136309999999995</v>
      </c>
      <c r="H1015" s="12">
        <f>H1014+(1.25*G1018)</f>
        <v>-68.606637499999991</v>
      </c>
      <c r="I1015" s="12">
        <f>I1014+(H1018)</f>
        <v>-71.317637499999989</v>
      </c>
      <c r="J1015" s="12">
        <f>J1014+(I1018)</f>
        <v>-81.973067499999985</v>
      </c>
      <c r="K1015" s="12">
        <f>K1014+(J1018)</f>
        <v>-84.527911499999988</v>
      </c>
    </row>
    <row r="1016" spans="1:12" s="50" customFormat="1" ht="14.4" x14ac:dyDescent="0.3">
      <c r="A1016" s="11" t="s">
        <v>19</v>
      </c>
      <c r="B1016" s="11"/>
      <c r="C1016" s="11">
        <v>1</v>
      </c>
      <c r="D1016" s="11">
        <v>2</v>
      </c>
      <c r="E1016" s="11">
        <v>3</v>
      </c>
      <c r="F1016" s="11">
        <v>4</v>
      </c>
      <c r="G1016" s="11">
        <v>5</v>
      </c>
      <c r="H1016" s="11">
        <v>6</v>
      </c>
      <c r="I1016" s="11">
        <v>7</v>
      </c>
      <c r="J1016" s="11">
        <v>8</v>
      </c>
      <c r="K1016" s="11">
        <v>9</v>
      </c>
    </row>
    <row r="1017" spans="1:12" s="50" customFormat="1" ht="15" x14ac:dyDescent="0.3">
      <c r="A1017" s="11" t="s">
        <v>20</v>
      </c>
      <c r="B1017" s="350">
        <v>15.25929</v>
      </c>
      <c r="C1017" s="350">
        <v>8.9916800000000006</v>
      </c>
      <c r="D1017" s="350">
        <v>10.67803</v>
      </c>
      <c r="E1017" s="350">
        <v>18.686989999999998</v>
      </c>
      <c r="F1017" s="350">
        <v>13.52032</v>
      </c>
      <c r="G1017" s="350">
        <v>1.349</v>
      </c>
      <c r="H1017" s="350">
        <v>4.7110000000000003</v>
      </c>
      <c r="I1017" s="351">
        <v>12.655430000000001</v>
      </c>
      <c r="J1017" s="351">
        <v>4.5548440000000001</v>
      </c>
      <c r="K1017" s="351"/>
    </row>
    <row r="1018" spans="1:12" s="50" customFormat="1" ht="14.4" x14ac:dyDescent="0.3">
      <c r="A1018" s="11" t="s">
        <v>21</v>
      </c>
      <c r="B1018" s="12">
        <f>B1014-B1017</f>
        <v>-13.25929</v>
      </c>
      <c r="C1018" s="12">
        <f>C1015-C1017</f>
        <v>-20.250970000000002</v>
      </c>
      <c r="D1018" s="12">
        <f t="shared" ref="D1018:J1018" si="48">D1015-D1017</f>
        <v>-28.929000000000002</v>
      </c>
      <c r="E1018" s="12">
        <f t="shared" si="48"/>
        <v>-45.615989999999996</v>
      </c>
      <c r="F1018" s="12">
        <f t="shared" si="48"/>
        <v>-57.136309999999995</v>
      </c>
      <c r="G1018" s="12">
        <f t="shared" si="48"/>
        <v>-56.485309999999991</v>
      </c>
      <c r="H1018" s="12">
        <f t="shared" si="48"/>
        <v>-73.317637499999989</v>
      </c>
      <c r="I1018" s="12">
        <f t="shared" si="48"/>
        <v>-83.973067499999985</v>
      </c>
      <c r="J1018" s="12">
        <f t="shared" si="48"/>
        <v>-86.527911499999988</v>
      </c>
      <c r="K1018" s="12"/>
    </row>
    <row r="1019" spans="1:12" s="50" customFormat="1" ht="14.4" x14ac:dyDescent="0.3">
      <c r="A1019" s="62" t="s">
        <v>22</v>
      </c>
      <c r="B1019" s="62">
        <v>2017</v>
      </c>
      <c r="C1019" s="62">
        <v>2018</v>
      </c>
      <c r="D1019" s="62">
        <v>2019</v>
      </c>
      <c r="E1019" s="62">
        <v>2020</v>
      </c>
      <c r="F1019" s="62">
        <v>2021</v>
      </c>
      <c r="G1019" s="62">
        <v>2022</v>
      </c>
      <c r="H1019" s="62">
        <v>2023</v>
      </c>
      <c r="I1019" s="62">
        <v>2024</v>
      </c>
      <c r="J1019" s="62">
        <v>2025</v>
      </c>
      <c r="K1019" s="62">
        <v>2026</v>
      </c>
    </row>
    <row r="1020" spans="1:12" s="50" customFormat="1" ht="14.4" x14ac:dyDescent="0.3">
      <c r="A1020" s="18">
        <v>1</v>
      </c>
      <c r="B1020" s="53" t="s">
        <v>942</v>
      </c>
      <c r="C1020" s="19"/>
      <c r="D1020" s="19"/>
      <c r="E1020" s="19"/>
      <c r="F1020" s="19"/>
      <c r="G1020" s="19"/>
      <c r="H1020" s="19"/>
      <c r="I1020" s="19"/>
      <c r="J1020" s="19"/>
      <c r="K1020" s="55"/>
      <c r="L1020" s="3"/>
    </row>
    <row r="1021" spans="1:12" s="50" customFormat="1" ht="14.4" x14ac:dyDescent="0.3">
      <c r="A1021" s="39">
        <v>2</v>
      </c>
      <c r="B1021" s="49" t="s">
        <v>943</v>
      </c>
      <c r="C1021" s="3"/>
      <c r="D1021" s="3"/>
      <c r="E1021" s="3"/>
      <c r="F1021" s="3"/>
      <c r="G1021" s="3"/>
      <c r="H1021" s="3"/>
      <c r="I1021" s="3"/>
      <c r="J1021" s="3"/>
      <c r="K1021" s="57"/>
      <c r="L1021" s="3"/>
    </row>
    <row r="1022" spans="1:12" s="50" customFormat="1" ht="14.4" x14ac:dyDescent="0.3">
      <c r="A1022" s="39">
        <v>3</v>
      </c>
      <c r="B1022" s="49" t="s">
        <v>944</v>
      </c>
      <c r="C1022" s="3"/>
      <c r="D1022" s="3"/>
      <c r="E1022" s="3"/>
      <c r="F1022" s="3"/>
      <c r="G1022" s="3"/>
      <c r="H1022" s="3"/>
      <c r="I1022" s="3"/>
      <c r="J1022" s="3"/>
      <c r="K1022" s="57"/>
      <c r="L1022" s="3"/>
    </row>
    <row r="1023" spans="1:12" s="50" customFormat="1" ht="14.4" x14ac:dyDescent="0.3">
      <c r="A1023" s="39">
        <v>4</v>
      </c>
      <c r="B1023" s="49" t="s">
        <v>945</v>
      </c>
      <c r="C1023" s="3"/>
      <c r="D1023" s="3"/>
      <c r="E1023" s="3"/>
      <c r="F1023" s="3"/>
      <c r="G1023" s="3"/>
      <c r="H1023" s="3"/>
      <c r="I1023" s="3"/>
      <c r="J1023" s="3"/>
      <c r="K1023" s="57"/>
      <c r="L1023" s="3"/>
    </row>
    <row r="1024" spans="1:12" s="50" customFormat="1" ht="14.4" x14ac:dyDescent="0.3">
      <c r="A1024" s="39">
        <v>5</v>
      </c>
      <c r="B1024" s="49" t="s">
        <v>946</v>
      </c>
      <c r="C1024" s="3"/>
      <c r="D1024" s="3"/>
      <c r="E1024" s="3"/>
      <c r="F1024" s="3"/>
      <c r="G1024" s="3"/>
      <c r="H1024" s="3"/>
      <c r="I1024" s="3"/>
      <c r="J1024" s="3"/>
      <c r="K1024" s="57"/>
      <c r="L1024" s="3"/>
    </row>
    <row r="1025" spans="1:19" s="50" customFormat="1" ht="14.4" x14ac:dyDescent="0.3">
      <c r="A1025" s="39">
        <v>6</v>
      </c>
      <c r="B1025" s="49" t="s">
        <v>947</v>
      </c>
      <c r="C1025" s="3"/>
      <c r="D1025" s="3"/>
      <c r="E1025" s="3"/>
      <c r="F1025" s="3"/>
      <c r="G1025" s="3"/>
      <c r="H1025" s="3"/>
      <c r="I1025" s="3"/>
      <c r="J1025" s="3"/>
      <c r="K1025" s="57"/>
      <c r="L1025" s="3"/>
    </row>
    <row r="1026" spans="1:19" s="50" customFormat="1" ht="14.4" x14ac:dyDescent="0.3">
      <c r="A1026" s="39">
        <v>7</v>
      </c>
      <c r="B1026" s="49" t="s">
        <v>948</v>
      </c>
      <c r="C1026" s="3"/>
      <c r="D1026" s="3"/>
      <c r="E1026" s="3"/>
      <c r="F1026" s="3"/>
      <c r="G1026" s="3"/>
      <c r="H1026" s="3"/>
      <c r="I1026" s="3"/>
      <c r="J1026" s="3"/>
      <c r="K1026" s="57"/>
      <c r="L1026" s="3"/>
    </row>
    <row r="1027" spans="1:19" s="50" customFormat="1" ht="14.4" x14ac:dyDescent="0.3">
      <c r="A1027" s="39">
        <v>8</v>
      </c>
      <c r="B1027" s="49" t="s">
        <v>1092</v>
      </c>
      <c r="C1027" s="3"/>
      <c r="D1027" s="3"/>
      <c r="E1027" s="3"/>
      <c r="F1027" s="3"/>
      <c r="G1027" s="3"/>
      <c r="H1027" s="3"/>
      <c r="I1027" s="3"/>
      <c r="J1027" s="3"/>
      <c r="K1027" s="57"/>
      <c r="L1027" s="3"/>
    </row>
    <row r="1028" spans="1:19" s="59" customFormat="1" ht="14.4" x14ac:dyDescent="0.3">
      <c r="A1028" s="41">
        <v>9</v>
      </c>
      <c r="B1028" s="58" t="s">
        <v>1092</v>
      </c>
      <c r="C1028" s="34"/>
      <c r="D1028" s="34"/>
      <c r="E1028" s="34"/>
      <c r="F1028" s="34"/>
      <c r="G1028" s="34"/>
      <c r="H1028" s="34"/>
      <c r="I1028" s="34"/>
      <c r="J1028" s="34"/>
      <c r="K1028" s="60"/>
      <c r="L1028" s="34"/>
    </row>
    <row r="1030" spans="1:19" x14ac:dyDescent="0.25">
      <c r="A1030" s="315"/>
      <c r="C1030" s="348"/>
    </row>
    <row r="1031" spans="1:19" x14ac:dyDescent="0.25">
      <c r="A1031" s="352" t="s">
        <v>12</v>
      </c>
      <c r="B1031" s="353" t="s">
        <v>173</v>
      </c>
      <c r="C1031" s="354" t="s">
        <v>1042</v>
      </c>
      <c r="D1031" s="339"/>
      <c r="E1031" s="339"/>
      <c r="F1031" s="339"/>
      <c r="G1031" s="339"/>
      <c r="H1031" s="339"/>
      <c r="I1031" s="339"/>
      <c r="J1031" s="339"/>
      <c r="K1031" s="339"/>
      <c r="L1031" s="339"/>
    </row>
    <row r="1032" spans="1:19" x14ac:dyDescent="0.25">
      <c r="A1032" s="355" t="s">
        <v>14</v>
      </c>
      <c r="B1032" s="356" t="s">
        <v>624</v>
      </c>
      <c r="C1032" s="353" t="s">
        <v>15</v>
      </c>
      <c r="D1032" s="339"/>
      <c r="E1032" s="339"/>
      <c r="F1032" s="339"/>
      <c r="G1032" s="339"/>
      <c r="H1032" s="339"/>
      <c r="I1032" s="339"/>
      <c r="J1032" s="339"/>
      <c r="K1032" s="339"/>
      <c r="L1032" s="339"/>
    </row>
    <row r="1033" spans="1:19" s="50" customFormat="1" ht="14.4" x14ac:dyDescent="0.3">
      <c r="A1033" s="357" t="s">
        <v>16</v>
      </c>
      <c r="B1033" s="358">
        <v>2009</v>
      </c>
      <c r="C1033" s="359">
        <v>2010</v>
      </c>
      <c r="D1033" s="359">
        <v>2011</v>
      </c>
      <c r="E1033" s="359">
        <v>2012</v>
      </c>
      <c r="F1033" s="359">
        <v>2013</v>
      </c>
      <c r="G1033" s="359">
        <v>2014</v>
      </c>
      <c r="H1033" s="359">
        <v>2015</v>
      </c>
      <c r="I1033" s="359">
        <v>2016</v>
      </c>
      <c r="J1033" s="359">
        <v>2017</v>
      </c>
      <c r="K1033" s="359">
        <v>2018</v>
      </c>
      <c r="L1033" s="359">
        <v>2019</v>
      </c>
      <c r="M1033" s="359">
        <v>2020</v>
      </c>
      <c r="N1033" s="359">
        <v>2021</v>
      </c>
      <c r="O1033" s="359">
        <v>2022</v>
      </c>
      <c r="P1033" s="359">
        <v>2023</v>
      </c>
      <c r="Q1033" s="359">
        <v>2024</v>
      </c>
      <c r="R1033" s="359">
        <v>2025</v>
      </c>
      <c r="S1033" s="359">
        <v>2026</v>
      </c>
    </row>
    <row r="1034" spans="1:19" s="50" customFormat="1" ht="14.4" x14ac:dyDescent="0.3">
      <c r="A1034" s="360" t="s">
        <v>17</v>
      </c>
      <c r="B1034" s="361"/>
      <c r="C1034" s="361"/>
      <c r="D1034" s="361"/>
      <c r="E1034" s="361"/>
      <c r="F1034" s="361"/>
      <c r="G1034" s="361"/>
      <c r="H1034" s="361"/>
      <c r="I1034" s="361"/>
      <c r="J1034" s="361"/>
      <c r="K1034" s="361"/>
      <c r="L1034" s="361"/>
      <c r="M1034" s="361"/>
      <c r="N1034" s="361"/>
      <c r="O1034" s="361"/>
      <c r="P1034" s="361"/>
      <c r="Q1034" s="362"/>
      <c r="R1034" s="362"/>
      <c r="S1034" s="362"/>
    </row>
    <row r="1035" spans="1:19" s="50" customFormat="1" ht="14.4" x14ac:dyDescent="0.3">
      <c r="A1035" s="360" t="s">
        <v>18</v>
      </c>
      <c r="B1035" s="361">
        <v>525.11158760000001</v>
      </c>
      <c r="C1035" s="361">
        <v>516.79334119999999</v>
      </c>
      <c r="D1035" s="361">
        <v>478.68400000000003</v>
      </c>
      <c r="E1035" s="361">
        <v>638.87599999999998</v>
      </c>
      <c r="F1035" s="361">
        <v>573.67999999999995</v>
      </c>
      <c r="G1035" s="361">
        <v>503.80800000000005</v>
      </c>
      <c r="H1035" s="361">
        <v>407.19200000000001</v>
      </c>
      <c r="I1035" s="361">
        <v>449.52</v>
      </c>
      <c r="J1035" s="361">
        <v>394.88799999999998</v>
      </c>
      <c r="K1035" s="361">
        <v>393.98364000000004</v>
      </c>
      <c r="L1035" s="361">
        <v>397.32737956000005</v>
      </c>
      <c r="M1035" s="361">
        <v>371.77199999999999</v>
      </c>
      <c r="N1035" s="361">
        <v>505.18</v>
      </c>
      <c r="O1035" s="361">
        <v>556.85249999999996</v>
      </c>
      <c r="P1035" s="361">
        <v>601.17999999999995</v>
      </c>
      <c r="Q1035" s="363">
        <v>496.62</v>
      </c>
      <c r="R1035" s="362" t="s">
        <v>1137</v>
      </c>
      <c r="S1035" s="362" t="s">
        <v>1137</v>
      </c>
    </row>
    <row r="1036" spans="1:19" s="50" customFormat="1" ht="14.4" x14ac:dyDescent="0.3">
      <c r="A1036" s="360" t="s">
        <v>19</v>
      </c>
      <c r="B1036" s="361"/>
      <c r="C1036" s="361"/>
      <c r="D1036" s="361"/>
      <c r="E1036" s="361"/>
      <c r="F1036" s="361"/>
      <c r="G1036" s="361"/>
      <c r="H1036" s="361"/>
      <c r="I1036" s="361"/>
      <c r="J1036" s="361"/>
      <c r="K1036" s="361"/>
      <c r="L1036" s="361"/>
      <c r="M1036" s="361"/>
      <c r="N1036" s="361"/>
      <c r="O1036" s="361"/>
      <c r="P1036" s="361"/>
      <c r="Q1036" s="363"/>
      <c r="R1036" s="362"/>
      <c r="S1036" s="362"/>
    </row>
    <row r="1037" spans="1:19" s="50" customFormat="1" ht="14.4" x14ac:dyDescent="0.3">
      <c r="A1037" s="360" t="s">
        <v>20</v>
      </c>
      <c r="B1037" s="361">
        <v>419.55900000000003</v>
      </c>
      <c r="C1037" s="361">
        <v>483.41500000000002</v>
      </c>
      <c r="D1037" s="361">
        <v>285.3</v>
      </c>
      <c r="E1037" s="361">
        <v>1822.1</v>
      </c>
      <c r="F1037" s="361">
        <v>266.39999999999998</v>
      </c>
      <c r="G1037" s="361">
        <v>305.2</v>
      </c>
      <c r="H1037" s="361">
        <v>329.8</v>
      </c>
      <c r="I1037" s="361">
        <v>254.9</v>
      </c>
      <c r="J1037" s="361">
        <v>335</v>
      </c>
      <c r="K1037" s="361">
        <v>210.6</v>
      </c>
      <c r="L1037" s="361">
        <v>319.27300000000002</v>
      </c>
      <c r="M1037" s="361">
        <v>282.8</v>
      </c>
      <c r="N1037" s="361">
        <v>223.4</v>
      </c>
      <c r="O1037" s="361">
        <v>241.6</v>
      </c>
      <c r="P1037" s="361">
        <v>219.1</v>
      </c>
      <c r="Q1037" s="363">
        <v>194</v>
      </c>
      <c r="R1037" s="362" t="s">
        <v>1137</v>
      </c>
      <c r="S1037" s="362" t="s">
        <v>1137</v>
      </c>
    </row>
    <row r="1038" spans="1:19" s="50" customFormat="1" ht="14.4" x14ac:dyDescent="0.3">
      <c r="A1038" s="366" t="s">
        <v>21</v>
      </c>
      <c r="B1038" s="608">
        <v>105.55258759999998</v>
      </c>
      <c r="C1038" s="608">
        <v>33.378341199999966</v>
      </c>
      <c r="D1038" s="608">
        <v>193.38400000000001</v>
      </c>
      <c r="E1038" s="609">
        <v>-1183.2239999999999</v>
      </c>
      <c r="F1038" s="608">
        <v>307.28000000000009</v>
      </c>
      <c r="G1038" s="608">
        <v>198.60800000000006</v>
      </c>
      <c r="H1038" s="608">
        <v>77.391999999999996</v>
      </c>
      <c r="I1038" s="608">
        <v>194.61999999999998</v>
      </c>
      <c r="J1038" s="608">
        <v>59.888000000000034</v>
      </c>
      <c r="K1038" s="608">
        <v>183.38364000000004</v>
      </c>
      <c r="L1038" s="608">
        <v>78.054379560000029</v>
      </c>
      <c r="M1038" s="608">
        <v>88.971999999999994</v>
      </c>
      <c r="N1038" s="608">
        <f>N1035-N1037</f>
        <v>281.77999999999997</v>
      </c>
      <c r="O1038" s="608">
        <f>O1035-O1037</f>
        <v>315.25249999999994</v>
      </c>
      <c r="P1038" s="608">
        <v>382.07999999999993</v>
      </c>
      <c r="Q1038" s="610">
        <v>302.62</v>
      </c>
      <c r="R1038" s="611" t="s">
        <v>1137</v>
      </c>
      <c r="S1038" s="611" t="s">
        <v>1137</v>
      </c>
    </row>
    <row r="1039" spans="1:19" s="50" customFormat="1" ht="14.4" x14ac:dyDescent="0.3">
      <c r="A1039" s="366" t="s">
        <v>22</v>
      </c>
      <c r="B1039" s="367"/>
      <c r="C1039" s="367"/>
      <c r="D1039" s="367"/>
      <c r="E1039" s="367"/>
      <c r="F1039" s="367"/>
      <c r="G1039" s="367"/>
      <c r="H1039" s="367"/>
      <c r="I1039" s="367"/>
      <c r="J1039" s="367"/>
      <c r="K1039" s="367"/>
      <c r="L1039" s="367"/>
      <c r="M1039" s="367"/>
      <c r="N1039" s="367"/>
      <c r="O1039" s="367"/>
      <c r="P1039" s="367"/>
      <c r="Q1039" s="54"/>
      <c r="R1039" s="54"/>
      <c r="S1039" s="55"/>
    </row>
    <row r="1040" spans="1:19" s="50" customFormat="1" ht="14.4" x14ac:dyDescent="0.3">
      <c r="A1040" s="366" t="s">
        <v>23</v>
      </c>
      <c r="B1040" s="368"/>
      <c r="C1040" s="368"/>
      <c r="D1040" s="368"/>
      <c r="E1040" s="368"/>
      <c r="F1040" s="368"/>
      <c r="G1040" s="368"/>
      <c r="H1040" s="368"/>
      <c r="I1040" s="368"/>
      <c r="J1040" s="368"/>
      <c r="K1040" s="368"/>
      <c r="L1040" s="368"/>
      <c r="M1040" s="368"/>
      <c r="N1040" s="368"/>
      <c r="O1040" s="368"/>
      <c r="P1040" s="606"/>
      <c r="Q1040" s="54"/>
      <c r="R1040" s="54"/>
      <c r="S1040" s="55"/>
    </row>
    <row r="1041" spans="1:19" s="50" customFormat="1" ht="14.4" x14ac:dyDescent="0.3">
      <c r="A1041" s="369" t="s">
        <v>174</v>
      </c>
      <c r="B1041" s="339"/>
      <c r="C1041" s="339"/>
      <c r="D1041" s="339"/>
      <c r="E1041" s="339"/>
      <c r="F1041" s="339"/>
      <c r="G1041" s="339"/>
      <c r="H1041" s="339"/>
      <c r="I1041" s="339"/>
      <c r="J1041" s="339"/>
      <c r="K1041" s="339"/>
      <c r="L1041" s="339"/>
      <c r="M1041" s="339"/>
      <c r="N1041" s="339"/>
      <c r="O1041" s="339"/>
      <c r="P1041" s="607"/>
      <c r="S1041" s="57"/>
    </row>
    <row r="1042" spans="1:19" s="50" customFormat="1" ht="14.4" x14ac:dyDescent="0.3">
      <c r="A1042" s="39" t="s">
        <v>220</v>
      </c>
      <c r="B1042" s="339"/>
      <c r="C1042" s="339"/>
      <c r="D1042" s="339"/>
      <c r="E1042" s="339"/>
      <c r="F1042" s="339"/>
      <c r="G1042" s="339"/>
      <c r="H1042" s="339"/>
      <c r="I1042" s="339"/>
      <c r="J1042" s="339"/>
      <c r="K1042" s="339"/>
      <c r="L1042" s="339"/>
      <c r="M1042" s="339"/>
      <c r="N1042" s="339"/>
      <c r="O1042" s="339"/>
      <c r="P1042" s="607"/>
      <c r="S1042" s="57"/>
    </row>
    <row r="1043" spans="1:19" s="50" customFormat="1" ht="14.4" x14ac:dyDescent="0.3">
      <c r="A1043" s="369" t="s">
        <v>270</v>
      </c>
      <c r="B1043" s="339"/>
      <c r="C1043" s="339"/>
      <c r="D1043" s="339"/>
      <c r="E1043" s="339"/>
      <c r="F1043" s="339"/>
      <c r="G1043" s="339"/>
      <c r="H1043" s="339"/>
      <c r="I1043" s="339"/>
      <c r="J1043" s="339"/>
      <c r="K1043" s="339"/>
      <c r="L1043" s="339"/>
      <c r="M1043" s="339"/>
      <c r="N1043" s="339"/>
      <c r="O1043" s="339"/>
      <c r="P1043" s="607"/>
      <c r="S1043" s="57"/>
    </row>
    <row r="1044" spans="1:19" s="50" customFormat="1" ht="14.4" x14ac:dyDescent="0.3">
      <c r="A1044" s="369" t="s">
        <v>460</v>
      </c>
      <c r="B1044" s="339"/>
      <c r="C1044" s="339"/>
      <c r="D1044" s="339"/>
      <c r="E1044" s="339"/>
      <c r="F1044" s="339"/>
      <c r="G1044" s="339"/>
      <c r="H1044" s="339"/>
      <c r="I1044" s="339"/>
      <c r="J1044" s="339"/>
      <c r="K1044" s="339"/>
      <c r="L1044" s="339"/>
      <c r="M1044" s="339"/>
      <c r="N1044" s="339"/>
      <c r="O1044" s="339"/>
      <c r="P1044" s="607"/>
      <c r="S1044" s="57"/>
    </row>
    <row r="1045" spans="1:19" s="50" customFormat="1" ht="14.4" x14ac:dyDescent="0.3">
      <c r="A1045" s="369" t="s">
        <v>707</v>
      </c>
      <c r="B1045" s="339"/>
      <c r="C1045" s="339"/>
      <c r="D1045" s="339"/>
      <c r="E1045" s="339"/>
      <c r="F1045" s="339"/>
      <c r="G1045" s="339"/>
      <c r="H1045" s="339"/>
      <c r="I1045" s="339"/>
      <c r="J1045" s="339"/>
      <c r="K1045" s="339"/>
      <c r="L1045" s="339"/>
      <c r="M1045" s="339"/>
      <c r="N1045" s="339"/>
      <c r="O1045" s="339"/>
      <c r="P1045" s="607"/>
      <c r="S1045" s="57"/>
    </row>
    <row r="1046" spans="1:19" s="50" customFormat="1" ht="14.4" x14ac:dyDescent="0.3">
      <c r="A1046" s="369" t="s">
        <v>805</v>
      </c>
      <c r="B1046" s="339"/>
      <c r="C1046" s="339"/>
      <c r="D1046" s="339"/>
      <c r="E1046" s="339"/>
      <c r="F1046" s="339"/>
      <c r="G1046" s="339"/>
      <c r="H1046" s="339"/>
      <c r="I1046" s="339"/>
      <c r="J1046" s="339"/>
      <c r="K1046" s="339"/>
      <c r="L1046" s="339"/>
      <c r="M1046" s="339"/>
      <c r="N1046" s="339"/>
      <c r="O1046" s="339"/>
      <c r="P1046" s="607"/>
      <c r="S1046" s="57"/>
    </row>
    <row r="1047" spans="1:19" s="50" customFormat="1" ht="14.4" x14ac:dyDescent="0.3">
      <c r="A1047" s="369" t="s">
        <v>1035</v>
      </c>
      <c r="B1047" s="339"/>
      <c r="C1047" s="339"/>
      <c r="D1047" s="339"/>
      <c r="E1047" s="339"/>
      <c r="F1047" s="339"/>
      <c r="G1047" s="339"/>
      <c r="H1047" s="339"/>
      <c r="I1047" s="339"/>
      <c r="J1047" s="339"/>
      <c r="K1047" s="339"/>
      <c r="L1047" s="339"/>
      <c r="M1047" s="339"/>
      <c r="N1047" s="339"/>
      <c r="O1047" s="339"/>
      <c r="P1047" s="607"/>
      <c r="S1047" s="57"/>
    </row>
    <row r="1048" spans="1:19" s="50" customFormat="1" ht="14.4" x14ac:dyDescent="0.3">
      <c r="A1048" s="369" t="s">
        <v>1181</v>
      </c>
      <c r="B1048" s="339"/>
      <c r="C1048" s="339"/>
      <c r="D1048" s="339"/>
      <c r="E1048" s="339"/>
      <c r="F1048" s="339"/>
      <c r="G1048" s="339"/>
      <c r="H1048" s="339"/>
      <c r="I1048" s="339"/>
      <c r="J1048" s="339"/>
      <c r="K1048" s="339"/>
      <c r="L1048" s="339"/>
      <c r="M1048" s="339"/>
      <c r="N1048" s="339"/>
      <c r="O1048" s="339"/>
      <c r="P1048" s="607"/>
      <c r="S1048" s="57"/>
    </row>
    <row r="1049" spans="1:19" s="50" customFormat="1" ht="14.4" x14ac:dyDescent="0.3">
      <c r="A1049" s="369" t="s">
        <v>1182</v>
      </c>
      <c r="B1049" s="339"/>
      <c r="C1049" s="339"/>
      <c r="D1049" s="339"/>
      <c r="E1049" s="339"/>
      <c r="F1049" s="339"/>
      <c r="G1049" s="339"/>
      <c r="H1049" s="339"/>
      <c r="I1049" s="339"/>
      <c r="J1049" s="339"/>
      <c r="K1049" s="339"/>
      <c r="L1049" s="339"/>
      <c r="M1049" s="339"/>
      <c r="N1049" s="339"/>
      <c r="O1049" s="339"/>
      <c r="P1049" s="607"/>
      <c r="S1049" s="57"/>
    </row>
    <row r="1050" spans="1:19" s="411" customFormat="1" ht="13.8" x14ac:dyDescent="0.3">
      <c r="A1050" s="426" t="s">
        <v>1232</v>
      </c>
      <c r="B1050" s="339"/>
      <c r="C1050" s="339"/>
      <c r="D1050" s="339"/>
      <c r="E1050" s="339"/>
      <c r="F1050" s="339"/>
      <c r="G1050" s="339"/>
      <c r="H1050" s="339"/>
      <c r="I1050" s="339"/>
      <c r="J1050" s="339"/>
      <c r="K1050" s="339"/>
      <c r="L1050" s="3"/>
      <c r="M1050" s="3"/>
      <c r="N1050" s="339"/>
      <c r="O1050" s="339"/>
      <c r="S1050" s="605"/>
    </row>
    <row r="1051" spans="1:19" s="50" customFormat="1" ht="14.4" x14ac:dyDescent="0.3">
      <c r="A1051" s="369"/>
      <c r="B1051" s="339"/>
      <c r="C1051" s="339"/>
      <c r="D1051" s="339"/>
      <c r="E1051" s="339"/>
      <c r="F1051" s="339" t="s">
        <v>175</v>
      </c>
      <c r="G1051" s="339"/>
      <c r="H1051" s="339"/>
      <c r="I1051" s="339"/>
      <c r="J1051" s="339"/>
      <c r="K1051" s="339"/>
      <c r="L1051" s="339"/>
      <c r="M1051" s="339"/>
      <c r="N1051" s="339"/>
      <c r="O1051" s="339"/>
      <c r="P1051" s="607"/>
      <c r="S1051" s="57"/>
    </row>
    <row r="1052" spans="1:19" s="50" customFormat="1" ht="14.4" x14ac:dyDescent="0.3">
      <c r="A1052" s="369"/>
      <c r="B1052" s="370" t="s">
        <v>176</v>
      </c>
      <c r="C1052" s="371">
        <v>1.6354139265717185E-2</v>
      </c>
      <c r="D1052" s="3"/>
      <c r="E1052" s="339"/>
      <c r="F1052" s="339" t="s">
        <v>177</v>
      </c>
      <c r="G1052" s="372">
        <v>2019</v>
      </c>
      <c r="H1052" s="372">
        <v>2020</v>
      </c>
      <c r="I1052" s="372">
        <v>2021</v>
      </c>
      <c r="J1052" s="372">
        <v>2022</v>
      </c>
      <c r="K1052" s="372">
        <v>2023</v>
      </c>
      <c r="L1052" s="372">
        <v>2024</v>
      </c>
      <c r="M1052" s="372">
        <v>2025</v>
      </c>
      <c r="N1052" s="339">
        <v>2026</v>
      </c>
      <c r="O1052" s="339"/>
      <c r="P1052" s="607"/>
      <c r="S1052" s="57"/>
    </row>
    <row r="1053" spans="1:19" s="50" customFormat="1" ht="14.4" x14ac:dyDescent="0.3">
      <c r="A1053" s="369"/>
      <c r="B1053" s="339"/>
      <c r="C1053" s="339"/>
      <c r="D1053" s="339"/>
      <c r="E1053" s="339"/>
      <c r="F1053" s="339" t="s">
        <v>14</v>
      </c>
      <c r="G1053" s="372" t="s">
        <v>66</v>
      </c>
      <c r="H1053" s="372" t="s">
        <v>66</v>
      </c>
      <c r="I1053" s="372" t="s">
        <v>66</v>
      </c>
      <c r="J1053" s="372" t="s">
        <v>66</v>
      </c>
      <c r="K1053" s="372" t="s">
        <v>66</v>
      </c>
      <c r="L1053" s="372" t="s">
        <v>66</v>
      </c>
      <c r="M1053" s="372" t="s">
        <v>66</v>
      </c>
      <c r="N1053" s="339" t="s">
        <v>66</v>
      </c>
      <c r="O1053" s="339"/>
      <c r="P1053" s="607"/>
      <c r="S1053" s="57"/>
    </row>
    <row r="1054" spans="1:19" s="50" customFormat="1" ht="14.4" x14ac:dyDescent="0.3">
      <c r="A1054" s="369"/>
      <c r="B1054" s="339"/>
      <c r="C1054" s="339"/>
      <c r="D1054" s="339"/>
      <c r="E1054" s="339"/>
      <c r="F1054" s="339" t="s">
        <v>178</v>
      </c>
      <c r="G1054" s="613">
        <v>9933.1844890000011</v>
      </c>
      <c r="H1054" s="613">
        <v>9294.2999999999993</v>
      </c>
      <c r="I1054" s="613">
        <v>11226.4</v>
      </c>
      <c r="J1054" s="613">
        <v>12374.5</v>
      </c>
      <c r="K1054" s="613">
        <v>13359.6</v>
      </c>
      <c r="L1054" s="372">
        <v>11036</v>
      </c>
      <c r="M1054" s="372" t="s">
        <v>1137</v>
      </c>
      <c r="N1054" s="339" t="s">
        <v>1137</v>
      </c>
      <c r="O1054" s="339"/>
      <c r="P1054" s="607"/>
      <c r="S1054" s="57"/>
    </row>
    <row r="1055" spans="1:19" s="50" customFormat="1" ht="14.4" x14ac:dyDescent="0.3">
      <c r="A1055" s="357"/>
      <c r="B1055" s="373"/>
      <c r="C1055" s="373"/>
      <c r="D1055" s="373"/>
      <c r="E1055" s="373"/>
      <c r="F1055" s="373"/>
      <c r="G1055" s="373"/>
      <c r="H1055" s="373"/>
      <c r="I1055" s="373"/>
      <c r="J1055" s="373"/>
      <c r="K1055" s="373"/>
      <c r="L1055" s="373"/>
      <c r="M1055" s="373"/>
      <c r="N1055" s="373"/>
      <c r="O1055" s="373"/>
      <c r="P1055" s="374"/>
      <c r="Q1055" s="59"/>
      <c r="R1055" s="59"/>
      <c r="S1055" s="60"/>
    </row>
    <row r="1056" spans="1:19" x14ac:dyDescent="0.25">
      <c r="A1056" s="315"/>
      <c r="C1056" s="348"/>
    </row>
    <row r="1057" spans="1:19" x14ac:dyDescent="0.25">
      <c r="A1057" s="352" t="s">
        <v>14</v>
      </c>
      <c r="B1057" s="353" t="s">
        <v>638</v>
      </c>
      <c r="C1057" s="353" t="s">
        <v>15</v>
      </c>
      <c r="D1057" s="339"/>
      <c r="E1057" s="339"/>
      <c r="F1057" s="339"/>
      <c r="G1057" s="339"/>
      <c r="H1057" s="339"/>
      <c r="I1057" s="339"/>
      <c r="J1057" s="339"/>
      <c r="K1057" s="339"/>
      <c r="L1057" s="339"/>
      <c r="M1057" s="339"/>
      <c r="N1057" s="339"/>
      <c r="O1057" s="339"/>
      <c r="P1057" s="339"/>
      <c r="Q1057" s="339"/>
      <c r="R1057" s="339"/>
    </row>
    <row r="1058" spans="1:19" s="375" customFormat="1" ht="13.8" x14ac:dyDescent="0.25">
      <c r="A1058" s="357" t="s">
        <v>16</v>
      </c>
      <c r="B1058" s="358">
        <v>2009</v>
      </c>
      <c r="C1058" s="359">
        <v>2010</v>
      </c>
      <c r="D1058" s="359">
        <v>2011</v>
      </c>
      <c r="E1058" s="359">
        <v>2012</v>
      </c>
      <c r="F1058" s="359">
        <v>2013</v>
      </c>
      <c r="G1058" s="359">
        <v>2014</v>
      </c>
      <c r="H1058" s="359">
        <v>2015</v>
      </c>
      <c r="I1058" s="359">
        <v>2016</v>
      </c>
      <c r="J1058" s="359">
        <v>2017</v>
      </c>
      <c r="K1058" s="359">
        <v>2018</v>
      </c>
      <c r="L1058" s="359">
        <v>2019</v>
      </c>
      <c r="M1058" s="359">
        <v>2020</v>
      </c>
      <c r="N1058" s="359">
        <v>2021</v>
      </c>
      <c r="O1058" s="359">
        <v>2022</v>
      </c>
      <c r="P1058" s="359">
        <v>2023</v>
      </c>
      <c r="Q1058" s="359">
        <v>2024</v>
      </c>
      <c r="R1058" s="359">
        <v>2025</v>
      </c>
      <c r="S1058" s="359">
        <v>2026</v>
      </c>
    </row>
    <row r="1059" spans="1:19" s="375" customFormat="1" ht="13.8" x14ac:dyDescent="0.25">
      <c r="A1059" s="360" t="s">
        <v>17</v>
      </c>
      <c r="B1059" s="376"/>
      <c r="C1059" s="376"/>
      <c r="D1059" s="376"/>
      <c r="E1059" s="376"/>
      <c r="F1059" s="376"/>
      <c r="G1059" s="376">
        <v>1355</v>
      </c>
      <c r="H1059" s="376">
        <v>1355</v>
      </c>
      <c r="I1059" s="376">
        <v>1355</v>
      </c>
      <c r="J1059" s="376">
        <v>1355</v>
      </c>
      <c r="K1059" s="376">
        <v>1355</v>
      </c>
      <c r="L1059" s="376">
        <v>1355</v>
      </c>
      <c r="M1059" s="376">
        <v>1355</v>
      </c>
      <c r="N1059" s="376">
        <v>1355</v>
      </c>
      <c r="O1059" s="376">
        <v>1355</v>
      </c>
      <c r="P1059" s="376">
        <v>1630</v>
      </c>
      <c r="Q1059" s="376">
        <v>1630</v>
      </c>
      <c r="R1059" s="376">
        <v>1630</v>
      </c>
      <c r="S1059" s="376">
        <v>1630</v>
      </c>
    </row>
    <row r="1060" spans="1:19" s="375" customFormat="1" ht="13.8" x14ac:dyDescent="0.25">
      <c r="A1060" s="360" t="s">
        <v>18</v>
      </c>
      <c r="B1060" s="376">
        <v>237.31834029985683</v>
      </c>
      <c r="C1060" s="376">
        <v>315.5295404143024</v>
      </c>
      <c r="D1060" s="376">
        <v>275.05599999999998</v>
      </c>
      <c r="E1060" s="376">
        <v>415.68</v>
      </c>
      <c r="F1060" s="376">
        <v>341.67599999999999</v>
      </c>
      <c r="G1060" s="376">
        <v>1725</v>
      </c>
      <c r="H1060" s="376">
        <v>1555</v>
      </c>
      <c r="I1060" s="376">
        <v>1693.75</v>
      </c>
      <c r="J1060" s="376">
        <v>1717.1</v>
      </c>
      <c r="K1060" s="376">
        <v>1893.75</v>
      </c>
      <c r="L1060" s="376">
        <v>1936.3</v>
      </c>
      <c r="M1060" s="376">
        <v>2693.75</v>
      </c>
      <c r="N1060" s="376">
        <f>N1059+0.25*L1059</f>
        <v>1693.75</v>
      </c>
      <c r="O1060" s="376">
        <v>1693.75</v>
      </c>
      <c r="P1060" s="376">
        <f>P1059+N1063+300</f>
        <v>2136.15</v>
      </c>
      <c r="Q1060" s="376">
        <f>Q1059+O1063+100+100+100</f>
        <v>1882.55</v>
      </c>
      <c r="R1060" s="376">
        <f>R1059+P1063+100+100+100+148.15</f>
        <v>2337.5000000000005</v>
      </c>
      <c r="S1060" s="376">
        <v>2337.5</v>
      </c>
    </row>
    <row r="1061" spans="1:19" s="375" customFormat="1" ht="13.8" x14ac:dyDescent="0.25">
      <c r="A1061" s="360" t="s">
        <v>19</v>
      </c>
      <c r="B1061" s="376"/>
      <c r="C1061" s="376"/>
      <c r="D1061" s="376"/>
      <c r="E1061" s="376"/>
      <c r="F1061" s="376"/>
      <c r="G1061" s="376"/>
      <c r="H1061" s="376"/>
      <c r="I1061" s="376"/>
      <c r="J1061" s="376"/>
      <c r="K1061" s="376"/>
      <c r="L1061" s="376"/>
      <c r="M1061" s="376"/>
      <c r="N1061" s="376"/>
      <c r="O1061" s="376"/>
      <c r="P1061" s="376"/>
      <c r="Q1061" s="376"/>
      <c r="R1061" s="376"/>
      <c r="S1061" s="376"/>
    </row>
    <row r="1062" spans="1:19" s="375" customFormat="1" ht="13.8" x14ac:dyDescent="0.25">
      <c r="A1062" s="360" t="s">
        <v>20</v>
      </c>
      <c r="B1062" s="376">
        <v>958.10900000000004</v>
      </c>
      <c r="C1062" s="376">
        <v>1217.827</v>
      </c>
      <c r="D1062" s="376">
        <v>1776.4</v>
      </c>
      <c r="E1062" s="376">
        <v>3550.6</v>
      </c>
      <c r="F1062" s="376">
        <v>1713.8</v>
      </c>
      <c r="G1062" s="376">
        <v>1198.9000000000001</v>
      </c>
      <c r="H1062" s="376">
        <v>1392.9</v>
      </c>
      <c r="I1062" s="376">
        <v>1212.8</v>
      </c>
      <c r="J1062" s="376">
        <v>2135.8000000000002</v>
      </c>
      <c r="K1062" s="376">
        <v>1654.5</v>
      </c>
      <c r="L1062" s="376">
        <v>1465.57</v>
      </c>
      <c r="M1062" s="376">
        <v>1621.8</v>
      </c>
      <c r="N1062" s="376">
        <v>1487.6</v>
      </c>
      <c r="O1062" s="376">
        <v>1741.2</v>
      </c>
      <c r="P1062" s="376">
        <v>1876.8</v>
      </c>
      <c r="Q1062" s="376">
        <v>1861.5</v>
      </c>
      <c r="R1062" s="376" t="s">
        <v>1137</v>
      </c>
      <c r="S1062" s="376"/>
    </row>
    <row r="1063" spans="1:19" s="375" customFormat="1" ht="13.8" x14ac:dyDescent="0.25">
      <c r="A1063" s="360" t="s">
        <v>21</v>
      </c>
      <c r="B1063" s="376">
        <v>-720.79065970014324</v>
      </c>
      <c r="C1063" s="376">
        <v>-902.29745958569765</v>
      </c>
      <c r="D1063" s="376">
        <v>-1501.3440000000001</v>
      </c>
      <c r="E1063" s="376">
        <v>-3134.92</v>
      </c>
      <c r="F1063" s="376">
        <v>-1372.124</v>
      </c>
      <c r="G1063" s="376">
        <v>526.09999999999991</v>
      </c>
      <c r="H1063" s="376">
        <v>162.09999999999991</v>
      </c>
      <c r="I1063" s="376">
        <v>480.95000000000005</v>
      </c>
      <c r="J1063" s="376">
        <v>-418.70000000000027</v>
      </c>
      <c r="K1063" s="376">
        <v>239.25</v>
      </c>
      <c r="L1063" s="376">
        <v>470.73</v>
      </c>
      <c r="M1063" s="376">
        <v>1071.95</v>
      </c>
      <c r="N1063" s="376">
        <f>N1060-N1062</f>
        <v>206.15000000000009</v>
      </c>
      <c r="O1063" s="376">
        <f>O1060-O1062</f>
        <v>-47.450000000000045</v>
      </c>
      <c r="P1063" s="376">
        <f>P1060-P1062</f>
        <v>259.35000000000014</v>
      </c>
      <c r="Q1063" s="376">
        <v>21.049999999999955</v>
      </c>
      <c r="R1063" s="376" t="s">
        <v>1137</v>
      </c>
      <c r="S1063" s="376"/>
    </row>
    <row r="1064" spans="1:19" s="375" customFormat="1" ht="13.8" x14ac:dyDescent="0.25">
      <c r="A1064" s="364" t="s">
        <v>22</v>
      </c>
      <c r="B1064" s="377"/>
      <c r="C1064" s="377"/>
      <c r="D1064" s="377"/>
      <c r="E1064" s="377"/>
      <c r="F1064" s="377"/>
      <c r="G1064" s="378">
        <v>2016</v>
      </c>
      <c r="H1064" s="378">
        <v>2017</v>
      </c>
      <c r="I1064" s="378">
        <v>2018</v>
      </c>
      <c r="J1064" s="378">
        <v>2019</v>
      </c>
      <c r="K1064" s="378">
        <v>2020</v>
      </c>
      <c r="L1064" s="378">
        <v>2021</v>
      </c>
      <c r="M1064" s="378">
        <v>2022</v>
      </c>
      <c r="N1064" s="378">
        <v>2023</v>
      </c>
      <c r="O1064" s="378">
        <v>2024</v>
      </c>
      <c r="P1064" s="378">
        <v>2025</v>
      </c>
      <c r="Q1064" s="378">
        <v>2026</v>
      </c>
      <c r="R1064" s="378">
        <v>2027</v>
      </c>
      <c r="S1064" s="378">
        <v>2028</v>
      </c>
    </row>
    <row r="1065" spans="1:19" s="375" customFormat="1" ht="13.8" x14ac:dyDescent="0.25">
      <c r="A1065" s="379" t="s">
        <v>179</v>
      </c>
      <c r="B1065" s="380"/>
      <c r="C1065" s="380"/>
      <c r="D1065" s="380"/>
      <c r="E1065" s="380"/>
      <c r="F1065" s="380"/>
      <c r="G1065" s="380"/>
      <c r="H1065" s="380"/>
      <c r="I1065" s="380"/>
      <c r="J1065" s="380"/>
      <c r="K1065" s="380"/>
      <c r="L1065" s="380"/>
      <c r="M1065" s="380"/>
      <c r="N1065" s="380"/>
      <c r="O1065" s="380"/>
      <c r="P1065" s="380"/>
      <c r="Q1065" s="380"/>
      <c r="R1065" s="380"/>
      <c r="S1065" s="381"/>
    </row>
    <row r="1066" spans="1:19" s="375" customFormat="1" ht="13.8" x14ac:dyDescent="0.25">
      <c r="A1066" s="366" t="s">
        <v>180</v>
      </c>
      <c r="B1066" s="368"/>
      <c r="C1066" s="368"/>
      <c r="D1066" s="368"/>
      <c r="E1066" s="368"/>
      <c r="F1066" s="368"/>
      <c r="G1066" s="368"/>
      <c r="H1066" s="368"/>
      <c r="I1066" s="368"/>
      <c r="J1066" s="368"/>
      <c r="K1066" s="368"/>
      <c r="L1066" s="368"/>
      <c r="M1066" s="368"/>
      <c r="N1066" s="368"/>
      <c r="O1066" s="368"/>
      <c r="P1066" s="368"/>
      <c r="Q1066" s="368"/>
      <c r="R1066" s="368"/>
      <c r="S1066" s="382"/>
    </row>
    <row r="1067" spans="1:19" s="375" customFormat="1" ht="13.8" x14ac:dyDescent="0.25">
      <c r="A1067" s="369" t="s">
        <v>181</v>
      </c>
      <c r="B1067" s="339"/>
      <c r="C1067" s="339"/>
      <c r="D1067" s="339"/>
      <c r="E1067" s="339"/>
      <c r="F1067" s="339"/>
      <c r="G1067" s="339"/>
      <c r="H1067" s="339"/>
      <c r="I1067" s="339"/>
      <c r="J1067" s="339"/>
      <c r="K1067" s="339"/>
      <c r="L1067" s="339"/>
      <c r="M1067" s="339"/>
      <c r="N1067" s="339"/>
      <c r="O1067" s="339"/>
      <c r="P1067" s="339"/>
      <c r="Q1067" s="339"/>
      <c r="R1067" s="339"/>
      <c r="S1067" s="383"/>
    </row>
    <row r="1068" spans="1:19" s="375" customFormat="1" ht="13.8" x14ac:dyDescent="0.25">
      <c r="A1068" s="369" t="s">
        <v>182</v>
      </c>
      <c r="B1068" s="339"/>
      <c r="C1068" s="339"/>
      <c r="D1068" s="339"/>
      <c r="E1068" s="339"/>
      <c r="F1068" s="339"/>
      <c r="G1068" s="339"/>
      <c r="H1068" s="339"/>
      <c r="I1068" s="339"/>
      <c r="J1068" s="339"/>
      <c r="K1068" s="339"/>
      <c r="L1068" s="339"/>
      <c r="M1068" s="339"/>
      <c r="N1068" s="339"/>
      <c r="O1068" s="339"/>
      <c r="P1068" s="339"/>
      <c r="Q1068" s="339"/>
      <c r="R1068" s="339"/>
      <c r="S1068" s="383"/>
    </row>
    <row r="1069" spans="1:19" s="375" customFormat="1" ht="13.8" x14ac:dyDescent="0.25">
      <c r="A1069" s="369" t="s">
        <v>183</v>
      </c>
      <c r="B1069" s="370"/>
      <c r="C1069" s="372"/>
      <c r="D1069" s="371"/>
      <c r="E1069" s="339"/>
      <c r="F1069" s="339"/>
      <c r="G1069" s="372"/>
      <c r="H1069" s="339"/>
      <c r="I1069" s="339"/>
      <c r="J1069" s="339"/>
      <c r="K1069" s="339"/>
      <c r="L1069" s="339"/>
      <c r="M1069" s="339"/>
      <c r="N1069" s="339"/>
      <c r="O1069" s="339"/>
      <c r="P1069" s="339"/>
      <c r="Q1069" s="339"/>
      <c r="R1069" s="339"/>
      <c r="S1069" s="383"/>
    </row>
    <row r="1070" spans="1:19" s="375" customFormat="1" ht="13.8" x14ac:dyDescent="0.25">
      <c r="A1070" s="369" t="s">
        <v>184</v>
      </c>
      <c r="B1070" s="339"/>
      <c r="C1070" s="339"/>
      <c r="D1070" s="339"/>
      <c r="E1070" s="339"/>
      <c r="F1070" s="339"/>
      <c r="G1070" s="339"/>
      <c r="H1070" s="339"/>
      <c r="I1070" s="339"/>
      <c r="J1070" s="339"/>
      <c r="K1070" s="339"/>
      <c r="L1070" s="339"/>
      <c r="M1070" s="339"/>
      <c r="N1070" s="339"/>
      <c r="O1070" s="339"/>
      <c r="P1070" s="339"/>
      <c r="Q1070" s="339"/>
      <c r="R1070" s="339"/>
      <c r="S1070" s="383"/>
    </row>
    <row r="1071" spans="1:19" s="375" customFormat="1" ht="13.8" x14ac:dyDescent="0.25">
      <c r="A1071" s="369" t="s">
        <v>185</v>
      </c>
      <c r="B1071" s="339"/>
      <c r="C1071" s="339"/>
      <c r="D1071" s="339"/>
      <c r="E1071" s="339"/>
      <c r="F1071" s="339"/>
      <c r="G1071" s="339"/>
      <c r="H1071" s="339"/>
      <c r="I1071" s="339"/>
      <c r="J1071" s="339"/>
      <c r="K1071" s="339"/>
      <c r="L1071" s="339"/>
      <c r="M1071" s="339"/>
      <c r="N1071" s="339"/>
      <c r="O1071" s="339"/>
      <c r="P1071" s="339"/>
      <c r="Q1071" s="339"/>
      <c r="R1071" s="339"/>
      <c r="S1071" s="383"/>
    </row>
    <row r="1072" spans="1:19" s="375" customFormat="1" ht="13.8" x14ac:dyDescent="0.25">
      <c r="A1072" s="384" t="s">
        <v>221</v>
      </c>
      <c r="B1072" s="339"/>
      <c r="C1072" s="339"/>
      <c r="D1072" s="339"/>
      <c r="E1072" s="339"/>
      <c r="F1072" s="339"/>
      <c r="G1072" s="339"/>
      <c r="H1072" s="339"/>
      <c r="I1072" s="339"/>
      <c r="J1072" s="339"/>
      <c r="K1072" s="339"/>
      <c r="L1072" s="339"/>
      <c r="M1072" s="339"/>
      <c r="N1072" s="339"/>
      <c r="O1072" s="339"/>
      <c r="P1072" s="339"/>
      <c r="Q1072" s="339"/>
      <c r="R1072" s="339"/>
      <c r="S1072" s="383"/>
    </row>
    <row r="1073" spans="1:19" s="375" customFormat="1" ht="13.8" x14ac:dyDescent="0.25">
      <c r="A1073" s="369" t="s">
        <v>222</v>
      </c>
      <c r="B1073" s="339"/>
      <c r="C1073" s="339"/>
      <c r="D1073" s="339"/>
      <c r="E1073" s="339"/>
      <c r="F1073" s="339"/>
      <c r="G1073" s="372"/>
      <c r="H1073" s="339"/>
      <c r="I1073" s="339"/>
      <c r="J1073" s="339"/>
      <c r="K1073" s="339"/>
      <c r="L1073" s="339"/>
      <c r="M1073" s="339"/>
      <c r="N1073" s="339"/>
      <c r="O1073" s="339"/>
      <c r="P1073" s="339"/>
      <c r="Q1073" s="339"/>
      <c r="R1073" s="339"/>
      <c r="S1073" s="383"/>
    </row>
    <row r="1074" spans="1:19" s="387" customFormat="1" x14ac:dyDescent="0.25">
      <c r="A1074" s="369" t="s">
        <v>223</v>
      </c>
      <c r="B1074" s="354"/>
      <c r="C1074" s="354"/>
      <c r="D1074" s="354"/>
      <c r="E1074" s="354"/>
      <c r="F1074" s="354"/>
      <c r="G1074" s="385"/>
      <c r="H1074" s="354"/>
      <c r="I1074" s="354"/>
      <c r="J1074" s="354"/>
      <c r="K1074" s="354"/>
      <c r="L1074" s="354"/>
      <c r="M1074" s="354"/>
      <c r="N1074" s="354"/>
      <c r="O1074" s="354"/>
      <c r="P1074" s="354"/>
      <c r="Q1074" s="354"/>
      <c r="R1074" s="354"/>
      <c r="S1074" s="386"/>
    </row>
    <row r="1075" spans="1:19" s="387" customFormat="1" x14ac:dyDescent="0.25">
      <c r="A1075" s="369" t="s">
        <v>224</v>
      </c>
      <c r="B1075" s="354"/>
      <c r="C1075" s="354"/>
      <c r="D1075" s="354"/>
      <c r="E1075" s="354"/>
      <c r="F1075" s="354"/>
      <c r="G1075" s="388"/>
      <c r="H1075" s="354"/>
      <c r="I1075" s="354"/>
      <c r="J1075" s="354"/>
      <c r="K1075" s="354"/>
      <c r="L1075" s="354"/>
      <c r="M1075" s="354"/>
      <c r="N1075" s="354"/>
      <c r="O1075" s="354"/>
      <c r="P1075" s="354"/>
      <c r="Q1075" s="354"/>
      <c r="R1075" s="354"/>
      <c r="S1075" s="386"/>
    </row>
    <row r="1076" spans="1:19" s="387" customFormat="1" x14ac:dyDescent="0.25">
      <c r="A1076" s="369" t="s">
        <v>271</v>
      </c>
      <c r="B1076" s="354"/>
      <c r="C1076" s="354"/>
      <c r="D1076" s="354"/>
      <c r="E1076" s="354"/>
      <c r="F1076" s="354"/>
      <c r="G1076" s="388"/>
      <c r="H1076" s="354"/>
      <c r="I1076" s="354"/>
      <c r="J1076" s="354"/>
      <c r="K1076" s="354"/>
      <c r="L1076" s="354"/>
      <c r="M1076" s="354"/>
      <c r="N1076" s="354"/>
      <c r="O1076" s="354"/>
      <c r="P1076" s="354"/>
      <c r="Q1076" s="354"/>
      <c r="R1076" s="354"/>
      <c r="S1076" s="386"/>
    </row>
    <row r="1077" spans="1:19" s="375" customFormat="1" ht="13.8" x14ac:dyDescent="0.25">
      <c r="A1077" s="389" t="s">
        <v>225</v>
      </c>
      <c r="B1077" s="390"/>
      <c r="C1077" s="390"/>
      <c r="D1077" s="390"/>
      <c r="E1077" s="390"/>
      <c r="F1077" s="390"/>
      <c r="G1077" s="390"/>
      <c r="H1077" s="390"/>
      <c r="I1077" s="390"/>
      <c r="J1077" s="390"/>
      <c r="K1077" s="390"/>
      <c r="L1077" s="390"/>
      <c r="M1077" s="390"/>
      <c r="N1077" s="390"/>
      <c r="O1077" s="390"/>
      <c r="P1077" s="339"/>
      <c r="Q1077" s="339"/>
      <c r="R1077" s="339"/>
      <c r="S1077" s="383"/>
    </row>
    <row r="1078" spans="1:19" s="375" customFormat="1" ht="27" customHeight="1" x14ac:dyDescent="0.25">
      <c r="A1078" s="720" t="s">
        <v>347</v>
      </c>
      <c r="B1078" s="721"/>
      <c r="C1078" s="721"/>
      <c r="D1078" s="721"/>
      <c r="E1078" s="721"/>
      <c r="F1078" s="721"/>
      <c r="G1078" s="721"/>
      <c r="H1078" s="721"/>
      <c r="I1078" s="721"/>
      <c r="J1078" s="721"/>
      <c r="K1078" s="721"/>
      <c r="L1078" s="721"/>
      <c r="M1078" s="721"/>
      <c r="N1078" s="721"/>
      <c r="O1078" s="390"/>
      <c r="P1078" s="339"/>
      <c r="Q1078" s="339"/>
      <c r="R1078" s="339"/>
      <c r="S1078" s="383"/>
    </row>
    <row r="1079" spans="1:19" s="375" customFormat="1" ht="13.95" customHeight="1" x14ac:dyDescent="0.25">
      <c r="A1079" s="389" t="s">
        <v>406</v>
      </c>
      <c r="B1079" s="390"/>
      <c r="C1079" s="390"/>
      <c r="D1079" s="390"/>
      <c r="E1079" s="390"/>
      <c r="F1079" s="390"/>
      <c r="G1079" s="390"/>
      <c r="H1079" s="390"/>
      <c r="I1079" s="390"/>
      <c r="J1079" s="390"/>
      <c r="K1079" s="390"/>
      <c r="L1079" s="390"/>
      <c r="M1079" s="390"/>
      <c r="N1079" s="390"/>
      <c r="O1079" s="390"/>
      <c r="P1079" s="339"/>
      <c r="Q1079" s="339"/>
      <c r="R1079" s="339"/>
      <c r="S1079" s="383"/>
    </row>
    <row r="1080" spans="1:19" s="375" customFormat="1" ht="13.95" customHeight="1" x14ac:dyDescent="0.25">
      <c r="A1080" s="389" t="s">
        <v>639</v>
      </c>
      <c r="B1080" s="390"/>
      <c r="C1080" s="390"/>
      <c r="D1080" s="390"/>
      <c r="E1080" s="390"/>
      <c r="F1080" s="390"/>
      <c r="G1080" s="390"/>
      <c r="H1080" s="390"/>
      <c r="I1080" s="390"/>
      <c r="J1080" s="390"/>
      <c r="K1080" s="390"/>
      <c r="L1080" s="390"/>
      <c r="M1080" s="390"/>
      <c r="N1080" s="390"/>
      <c r="O1080" s="390"/>
      <c r="P1080" s="339"/>
      <c r="Q1080" s="339"/>
      <c r="R1080" s="339"/>
      <c r="S1080" s="383"/>
    </row>
    <row r="1081" spans="1:19" s="375" customFormat="1" ht="13.95" customHeight="1" x14ac:dyDescent="0.25">
      <c r="A1081" s="389" t="s">
        <v>806</v>
      </c>
      <c r="B1081" s="390"/>
      <c r="C1081" s="390"/>
      <c r="D1081" s="390"/>
      <c r="E1081" s="390"/>
      <c r="F1081" s="390"/>
      <c r="G1081" s="390"/>
      <c r="H1081" s="390"/>
      <c r="I1081" s="390"/>
      <c r="J1081" s="390"/>
      <c r="K1081" s="390"/>
      <c r="L1081" s="390"/>
      <c r="M1081" s="390"/>
      <c r="N1081" s="390"/>
      <c r="O1081" s="390"/>
      <c r="P1081" s="339"/>
      <c r="Q1081" s="339"/>
      <c r="R1081" s="339"/>
      <c r="S1081" s="383"/>
    </row>
    <row r="1082" spans="1:19" s="375" customFormat="1" ht="13.95" customHeight="1" x14ac:dyDescent="0.25">
      <c r="A1082" s="389" t="s">
        <v>1036</v>
      </c>
      <c r="B1082" s="390"/>
      <c r="C1082" s="390"/>
      <c r="D1082" s="390"/>
      <c r="E1082" s="390"/>
      <c r="F1082" s="390"/>
      <c r="G1082" s="390"/>
      <c r="H1082" s="390"/>
      <c r="I1082" s="390"/>
      <c r="J1082" s="390"/>
      <c r="K1082" s="390"/>
      <c r="L1082" s="390"/>
      <c r="M1082" s="390"/>
      <c r="N1082" s="390"/>
      <c r="O1082" s="390"/>
      <c r="P1082" s="339"/>
      <c r="Q1082" s="339"/>
      <c r="R1082" s="339"/>
      <c r="S1082" s="383"/>
    </row>
    <row r="1083" spans="1:19" s="375" customFormat="1" ht="13.95" customHeight="1" x14ac:dyDescent="0.25">
      <c r="A1083" s="391" t="s">
        <v>1183</v>
      </c>
      <c r="B1083" s="390"/>
      <c r="C1083" s="390"/>
      <c r="D1083" s="390"/>
      <c r="E1083" s="390"/>
      <c r="F1083" s="390"/>
      <c r="G1083" s="390"/>
      <c r="H1083" s="390"/>
      <c r="I1083" s="390"/>
      <c r="J1083" s="390"/>
      <c r="K1083" s="390"/>
      <c r="L1083" s="390"/>
      <c r="M1083" s="390"/>
      <c r="N1083" s="390"/>
      <c r="O1083" s="390"/>
      <c r="P1083" s="339"/>
      <c r="Q1083" s="339"/>
      <c r="R1083" s="339"/>
      <c r="S1083" s="383"/>
    </row>
    <row r="1084" spans="1:19" s="617" customFormat="1" ht="13.95" customHeight="1" x14ac:dyDescent="0.25">
      <c r="A1084" s="401" t="s">
        <v>1233</v>
      </c>
      <c r="B1084" s="614"/>
      <c r="C1084" s="614"/>
      <c r="D1084" s="614"/>
      <c r="E1084" s="614"/>
      <c r="F1084" s="614"/>
      <c r="G1084" s="614"/>
      <c r="H1084" s="614"/>
      <c r="I1084" s="614"/>
      <c r="J1084" s="614"/>
      <c r="K1084" s="614"/>
      <c r="L1084" s="614"/>
      <c r="M1084" s="614"/>
      <c r="N1084" s="614"/>
      <c r="O1084" s="614"/>
      <c r="P1084" s="615"/>
      <c r="Q1084" s="615"/>
      <c r="R1084" s="615"/>
      <c r="S1084" s="616"/>
    </row>
    <row r="1085" spans="1:19" x14ac:dyDescent="0.25">
      <c r="A1085" s="315"/>
      <c r="C1085" s="348"/>
    </row>
    <row r="1086" spans="1:19" x14ac:dyDescent="0.25">
      <c r="A1086" s="352" t="s">
        <v>14</v>
      </c>
      <c r="B1086" s="353" t="s">
        <v>623</v>
      </c>
      <c r="C1086" s="353" t="s">
        <v>15</v>
      </c>
      <c r="D1086" s="339"/>
      <c r="E1086" s="339"/>
      <c r="F1086" s="339"/>
      <c r="G1086" s="339"/>
      <c r="H1086" s="339"/>
      <c r="I1086" s="339"/>
      <c r="J1086" s="339"/>
      <c r="K1086" s="339"/>
      <c r="L1086" s="339"/>
      <c r="M1086" s="339"/>
      <c r="N1086" s="339"/>
      <c r="O1086" s="339"/>
      <c r="P1086" s="339"/>
      <c r="Q1086" s="339"/>
      <c r="R1086" s="339"/>
    </row>
    <row r="1087" spans="1:19" x14ac:dyDescent="0.25">
      <c r="A1087" s="357" t="s">
        <v>16</v>
      </c>
      <c r="B1087" s="392">
        <v>2009</v>
      </c>
      <c r="C1087" s="393">
        <v>2010</v>
      </c>
      <c r="D1087" s="393">
        <v>2011</v>
      </c>
      <c r="E1087" s="393">
        <v>2012</v>
      </c>
      <c r="F1087" s="393">
        <v>2013</v>
      </c>
      <c r="G1087" s="393">
        <v>2014</v>
      </c>
      <c r="H1087" s="393">
        <v>2015</v>
      </c>
      <c r="I1087" s="393">
        <v>2016</v>
      </c>
      <c r="J1087" s="393">
        <v>2017</v>
      </c>
      <c r="K1087" s="393">
        <v>2018</v>
      </c>
      <c r="L1087" s="393">
        <v>2019</v>
      </c>
      <c r="M1087" s="393">
        <v>2020</v>
      </c>
      <c r="N1087" s="359">
        <v>2021</v>
      </c>
      <c r="O1087" s="359">
        <v>2022</v>
      </c>
      <c r="P1087" s="359">
        <v>2023</v>
      </c>
      <c r="Q1087" s="359">
        <v>2024</v>
      </c>
      <c r="R1087" s="620">
        <v>2025</v>
      </c>
      <c r="S1087" s="620">
        <v>2026</v>
      </c>
    </row>
    <row r="1088" spans="1:19" x14ac:dyDescent="0.25">
      <c r="A1088" s="360" t="s">
        <v>17</v>
      </c>
      <c r="B1088" s="376">
        <v>842</v>
      </c>
      <c r="C1088" s="376">
        <v>842</v>
      </c>
      <c r="D1088" s="376">
        <v>842</v>
      </c>
      <c r="E1088" s="376">
        <v>842</v>
      </c>
      <c r="F1088" s="376">
        <v>842</v>
      </c>
      <c r="G1088" s="376">
        <v>842</v>
      </c>
      <c r="H1088" s="376">
        <v>842</v>
      </c>
      <c r="I1088" s="376">
        <v>842</v>
      </c>
      <c r="J1088" s="376">
        <v>842</v>
      </c>
      <c r="K1088" s="376">
        <v>842</v>
      </c>
      <c r="L1088" s="376">
        <v>842</v>
      </c>
      <c r="M1088" s="376">
        <v>842</v>
      </c>
      <c r="N1088" s="376">
        <v>842</v>
      </c>
      <c r="O1088" s="376">
        <v>842</v>
      </c>
      <c r="P1088" s="376">
        <v>842</v>
      </c>
      <c r="Q1088" s="376">
        <v>842</v>
      </c>
      <c r="R1088" s="394">
        <v>842</v>
      </c>
      <c r="S1088" s="394">
        <v>842</v>
      </c>
    </row>
    <row r="1089" spans="1:19" x14ac:dyDescent="0.25">
      <c r="A1089" s="360" t="s">
        <v>18</v>
      </c>
      <c r="B1089" s="376">
        <v>2717.74</v>
      </c>
      <c r="C1089" s="376">
        <v>2596.7442299999998</v>
      </c>
      <c r="D1089" s="376">
        <v>2707.4306399999996</v>
      </c>
      <c r="E1089" s="376">
        <v>2795.2306399999998</v>
      </c>
      <c r="F1089" s="376">
        <v>3114.7264100000002</v>
      </c>
      <c r="G1089" s="376">
        <v>3408.0264100000004</v>
      </c>
      <c r="H1089" s="376">
        <f>1.15*H1088-(50+35+25)</f>
        <v>858.3</v>
      </c>
      <c r="I1089" s="376">
        <f>I1088+H1092-50-35-25</f>
        <v>1138.1999999999998</v>
      </c>
      <c r="J1089" s="376">
        <f>J1088+I1092-100-35-25</f>
        <v>1422.4999999999998</v>
      </c>
      <c r="K1089" s="376">
        <f>K1088*1.15-100-35</f>
        <v>833.3</v>
      </c>
      <c r="L1089" s="376">
        <f>L1088+K1092-100-35-25</f>
        <v>1226</v>
      </c>
      <c r="M1089" s="376">
        <f>M1088+L1092-150-35-25</f>
        <v>1463.0075420000001</v>
      </c>
      <c r="N1089" s="376">
        <f>N1088+M1092-150-35-25</f>
        <v>1688.2075420000001</v>
      </c>
      <c r="O1089" s="376">
        <f>O1088+N1092-150-35-25</f>
        <v>2032.807542</v>
      </c>
      <c r="P1089" s="376">
        <f>P1088+O1092-150-35-25</f>
        <v>2219.807542</v>
      </c>
      <c r="Q1089" s="376">
        <f>Q1088+P1092-150-35-25</f>
        <v>2355.5075420000003</v>
      </c>
      <c r="R1089" s="394">
        <f>R1088+Q1092-150-25</f>
        <v>2649.5075420000003</v>
      </c>
      <c r="S1089" s="394">
        <f>S1088-150-25</f>
        <v>667</v>
      </c>
    </row>
    <row r="1090" spans="1:19" x14ac:dyDescent="0.25">
      <c r="A1090" s="360" t="s">
        <v>19</v>
      </c>
      <c r="B1090" s="376"/>
      <c r="C1090" s="376"/>
      <c r="D1090" s="376"/>
      <c r="E1090" s="376"/>
      <c r="F1090" s="376"/>
      <c r="G1090" s="376"/>
      <c r="H1090" s="395"/>
      <c r="I1090" s="395"/>
      <c r="J1090" s="395"/>
      <c r="K1090" s="395"/>
      <c r="L1090" s="395"/>
      <c r="M1090" s="395"/>
      <c r="N1090" s="395"/>
      <c r="O1090" s="395"/>
      <c r="P1090" s="395"/>
      <c r="Q1090" s="395"/>
      <c r="R1090" s="394"/>
      <c r="S1090" s="90"/>
    </row>
    <row r="1091" spans="1:19" x14ac:dyDescent="0.25">
      <c r="A1091" s="360" t="s">
        <v>20</v>
      </c>
      <c r="B1091" s="376">
        <v>962.99576999999999</v>
      </c>
      <c r="C1091" s="376">
        <v>681.31358999999998</v>
      </c>
      <c r="D1091" s="376">
        <v>669.2</v>
      </c>
      <c r="E1091" s="376">
        <v>437.5</v>
      </c>
      <c r="F1091" s="376">
        <v>438.7</v>
      </c>
      <c r="G1091" s="376">
        <v>392.9</v>
      </c>
      <c r="H1091" s="376">
        <v>452.1</v>
      </c>
      <c r="I1091" s="376">
        <v>397.7</v>
      </c>
      <c r="J1091" s="376">
        <v>406</v>
      </c>
      <c r="K1091" s="376">
        <v>289.3</v>
      </c>
      <c r="L1091" s="376">
        <v>394.992458</v>
      </c>
      <c r="M1091" s="376">
        <v>406.79999999999995</v>
      </c>
      <c r="N1091" s="376">
        <v>287.39999999999998</v>
      </c>
      <c r="O1091" s="376">
        <v>445</v>
      </c>
      <c r="P1091" s="376">
        <v>496.3</v>
      </c>
      <c r="Q1091" s="376">
        <v>373</v>
      </c>
      <c r="R1091" s="396" t="s">
        <v>1137</v>
      </c>
      <c r="S1091" s="90"/>
    </row>
    <row r="1092" spans="1:19" x14ac:dyDescent="0.25">
      <c r="A1092" s="360" t="s">
        <v>21</v>
      </c>
      <c r="B1092" s="376">
        <v>1754.7442299999998</v>
      </c>
      <c r="C1092" s="376">
        <v>1915.4306399999998</v>
      </c>
      <c r="D1092" s="376">
        <v>2038.2306399999995</v>
      </c>
      <c r="E1092" s="376">
        <v>2357.7264100000002</v>
      </c>
      <c r="F1092" s="376">
        <v>2676.0264100000004</v>
      </c>
      <c r="G1092" s="376">
        <v>3015.1264100000003</v>
      </c>
      <c r="H1092" s="376">
        <f t="shared" ref="H1092:Q1092" si="49">H1089-H1091</f>
        <v>406.19999999999993</v>
      </c>
      <c r="I1092" s="376">
        <f t="shared" si="49"/>
        <v>740.49999999999977</v>
      </c>
      <c r="J1092" s="376">
        <f t="shared" si="49"/>
        <v>1016.4999999999998</v>
      </c>
      <c r="K1092" s="376">
        <f t="shared" si="49"/>
        <v>544</v>
      </c>
      <c r="L1092" s="376">
        <f t="shared" si="49"/>
        <v>831.00754200000006</v>
      </c>
      <c r="M1092" s="376">
        <f t="shared" si="49"/>
        <v>1056.2075420000001</v>
      </c>
      <c r="N1092" s="376">
        <f t="shared" si="49"/>
        <v>1400.807542</v>
      </c>
      <c r="O1092" s="376">
        <f t="shared" si="49"/>
        <v>1587.807542</v>
      </c>
      <c r="P1092" s="376">
        <f t="shared" si="49"/>
        <v>1723.5075420000001</v>
      </c>
      <c r="Q1092" s="376">
        <f t="shared" si="49"/>
        <v>1982.5075420000003</v>
      </c>
      <c r="R1092" s="396" t="s">
        <v>1137</v>
      </c>
      <c r="S1092" s="90"/>
    </row>
    <row r="1093" spans="1:19" x14ac:dyDescent="0.25">
      <c r="A1093" s="366" t="s">
        <v>22</v>
      </c>
      <c r="B1093" s="621"/>
      <c r="C1093" s="621"/>
      <c r="D1093" s="621"/>
      <c r="E1093" s="621"/>
      <c r="F1093" s="621"/>
      <c r="G1093" s="621"/>
      <c r="H1093" s="622">
        <v>2016</v>
      </c>
      <c r="I1093" s="622">
        <v>2017</v>
      </c>
      <c r="J1093" s="622">
        <v>2018</v>
      </c>
      <c r="K1093" s="622">
        <v>2019</v>
      </c>
      <c r="L1093" s="622">
        <v>2020</v>
      </c>
      <c r="M1093" s="622">
        <v>2021</v>
      </c>
      <c r="N1093" s="622">
        <v>2022</v>
      </c>
      <c r="O1093" s="622">
        <v>2023</v>
      </c>
      <c r="P1093" s="622">
        <v>2024</v>
      </c>
      <c r="Q1093" s="622">
        <v>2025</v>
      </c>
      <c r="R1093" s="623">
        <v>2026</v>
      </c>
      <c r="S1093" s="62"/>
    </row>
    <row r="1094" spans="1:19" x14ac:dyDescent="0.25">
      <c r="A1094" s="366" t="s">
        <v>179</v>
      </c>
      <c r="B1094" s="368"/>
      <c r="C1094" s="368"/>
      <c r="D1094" s="368"/>
      <c r="E1094" s="368"/>
      <c r="F1094" s="368"/>
      <c r="G1094" s="368"/>
      <c r="H1094" s="368"/>
      <c r="I1094" s="368"/>
      <c r="J1094" s="368"/>
      <c r="K1094" s="368"/>
      <c r="L1094" s="368"/>
      <c r="M1094" s="368"/>
      <c r="N1094" s="368"/>
      <c r="O1094" s="368"/>
      <c r="P1094" s="368"/>
      <c r="Q1094" s="368"/>
      <c r="R1094" s="368"/>
      <c r="S1094" s="63"/>
    </row>
    <row r="1095" spans="1:19" x14ac:dyDescent="0.25">
      <c r="A1095" s="366" t="s">
        <v>186</v>
      </c>
      <c r="B1095" s="368"/>
      <c r="C1095" s="368"/>
      <c r="D1095" s="368"/>
      <c r="E1095" s="368"/>
      <c r="F1095" s="368"/>
      <c r="G1095" s="368"/>
      <c r="H1095" s="368"/>
      <c r="I1095" s="368"/>
      <c r="J1095" s="368"/>
      <c r="K1095" s="368"/>
      <c r="L1095" s="368"/>
      <c r="M1095" s="368"/>
      <c r="N1095" s="368"/>
      <c r="O1095" s="368"/>
      <c r="P1095" s="368"/>
      <c r="Q1095" s="368"/>
      <c r="R1095" s="368"/>
      <c r="S1095" s="63"/>
    </row>
    <row r="1096" spans="1:19" x14ac:dyDescent="0.25">
      <c r="A1096" s="369" t="s">
        <v>187</v>
      </c>
      <c r="B1096" s="339"/>
      <c r="C1096" s="339"/>
      <c r="D1096" s="339"/>
      <c r="E1096" s="339"/>
      <c r="F1096" s="339"/>
      <c r="G1096" s="339"/>
      <c r="H1096" s="339"/>
      <c r="I1096" s="339"/>
      <c r="J1096" s="339"/>
      <c r="K1096" s="339"/>
      <c r="L1096" s="339"/>
      <c r="M1096" s="339"/>
      <c r="N1096" s="339"/>
      <c r="O1096" s="339"/>
      <c r="P1096" s="339"/>
      <c r="Q1096" s="339"/>
      <c r="R1096" s="339"/>
      <c r="S1096" s="64"/>
    </row>
    <row r="1097" spans="1:19" x14ac:dyDescent="0.25">
      <c r="A1097" s="399" t="s">
        <v>188</v>
      </c>
      <c r="B1097" s="339"/>
      <c r="C1097" s="339"/>
      <c r="D1097" s="339"/>
      <c r="E1097" s="339"/>
      <c r="F1097" s="339"/>
      <c r="G1097" s="339"/>
      <c r="H1097" s="339"/>
      <c r="I1097" s="339"/>
      <c r="J1097" s="339"/>
      <c r="K1097" s="339"/>
      <c r="L1097" s="339"/>
      <c r="M1097" s="339"/>
      <c r="N1097" s="339"/>
      <c r="O1097" s="339"/>
      <c r="P1097" s="339"/>
      <c r="Q1097" s="339"/>
      <c r="R1097" s="339"/>
      <c r="S1097" s="64"/>
    </row>
    <row r="1098" spans="1:19" x14ac:dyDescent="0.25">
      <c r="A1098" s="399" t="s">
        <v>189</v>
      </c>
      <c r="B1098" s="339"/>
      <c r="C1098" s="339"/>
      <c r="D1098" s="339"/>
      <c r="E1098" s="339"/>
      <c r="F1098" s="339"/>
      <c r="G1098" s="339"/>
      <c r="H1098" s="339"/>
      <c r="I1098" s="339"/>
      <c r="J1098" s="339"/>
      <c r="K1098" s="339"/>
      <c r="L1098" s="339"/>
      <c r="M1098" s="339"/>
      <c r="N1098" s="339"/>
      <c r="O1098" s="339"/>
      <c r="P1098" s="339"/>
      <c r="Q1098" s="339"/>
      <c r="R1098" s="339"/>
      <c r="S1098" s="64"/>
    </row>
    <row r="1099" spans="1:19" x14ac:dyDescent="0.25">
      <c r="A1099" s="399" t="s">
        <v>1038</v>
      </c>
      <c r="B1099" s="339"/>
      <c r="C1099" s="339"/>
      <c r="D1099" s="339"/>
      <c r="E1099" s="339"/>
      <c r="F1099" s="339"/>
      <c r="G1099" s="339"/>
      <c r="H1099" s="339"/>
      <c r="I1099" s="339"/>
      <c r="J1099" s="339"/>
      <c r="K1099" s="339"/>
      <c r="L1099" s="339"/>
      <c r="M1099" s="339"/>
      <c r="N1099" s="339"/>
      <c r="O1099" s="339"/>
      <c r="P1099" s="339"/>
      <c r="Q1099" s="339"/>
      <c r="R1099" s="339"/>
      <c r="S1099" s="64"/>
    </row>
    <row r="1100" spans="1:19" x14ac:dyDescent="0.25">
      <c r="A1100" s="384" t="s">
        <v>226</v>
      </c>
      <c r="B1100" s="339"/>
      <c r="C1100" s="339"/>
      <c r="D1100" s="339"/>
      <c r="E1100" s="339"/>
      <c r="F1100" s="339"/>
      <c r="G1100" s="372"/>
      <c r="H1100" s="339"/>
      <c r="I1100" s="339"/>
      <c r="J1100" s="339"/>
      <c r="K1100" s="339"/>
      <c r="L1100" s="339"/>
      <c r="M1100" s="339"/>
      <c r="N1100" s="339"/>
      <c r="O1100" s="339"/>
      <c r="P1100" s="339"/>
      <c r="Q1100" s="339"/>
      <c r="R1100" s="339"/>
      <c r="S1100" s="64"/>
    </row>
    <row r="1101" spans="1:19" x14ac:dyDescent="0.25">
      <c r="A1101" s="384" t="s">
        <v>227</v>
      </c>
      <c r="B1101" s="339"/>
      <c r="C1101" s="339"/>
      <c r="D1101" s="339"/>
      <c r="E1101" s="339"/>
      <c r="F1101" s="339"/>
      <c r="G1101" s="372"/>
      <c r="H1101" s="339"/>
      <c r="I1101" s="339"/>
      <c r="J1101" s="339"/>
      <c r="K1101" s="339"/>
      <c r="L1101" s="339"/>
      <c r="M1101" s="339"/>
      <c r="N1101" s="339"/>
      <c r="O1101" s="339"/>
      <c r="P1101" s="339"/>
      <c r="Q1101" s="339"/>
      <c r="R1101" s="339"/>
      <c r="S1101" s="64"/>
    </row>
    <row r="1102" spans="1:19" x14ac:dyDescent="0.25">
      <c r="A1102" s="369" t="s">
        <v>190</v>
      </c>
      <c r="B1102" s="370"/>
      <c r="C1102" s="372"/>
      <c r="D1102" s="371"/>
      <c r="E1102" s="339"/>
      <c r="F1102" s="339"/>
      <c r="G1102" s="372"/>
      <c r="H1102" s="339"/>
      <c r="I1102" s="339"/>
      <c r="J1102" s="339"/>
      <c r="K1102" s="339"/>
      <c r="L1102" s="339"/>
      <c r="M1102" s="339"/>
      <c r="N1102" s="339"/>
      <c r="O1102" s="339"/>
      <c r="P1102" s="339"/>
      <c r="Q1102" s="339"/>
      <c r="R1102" s="339"/>
      <c r="S1102" s="64"/>
    </row>
    <row r="1103" spans="1:19" x14ac:dyDescent="0.25">
      <c r="A1103" s="369" t="s">
        <v>191</v>
      </c>
      <c r="B1103" s="339"/>
      <c r="C1103" s="339"/>
      <c r="D1103" s="339"/>
      <c r="E1103" s="339"/>
      <c r="F1103" s="339"/>
      <c r="G1103" s="372"/>
      <c r="H1103" s="339"/>
      <c r="I1103" s="339"/>
      <c r="J1103" s="339"/>
      <c r="K1103" s="339"/>
      <c r="L1103" s="339"/>
      <c r="M1103" s="339"/>
      <c r="N1103" s="339"/>
      <c r="O1103" s="339"/>
      <c r="P1103" s="339"/>
      <c r="Q1103" s="339"/>
      <c r="R1103" s="339"/>
      <c r="S1103" s="64"/>
    </row>
    <row r="1104" spans="1:19" x14ac:dyDescent="0.25">
      <c r="A1104" s="384" t="s">
        <v>384</v>
      </c>
      <c r="B1104" s="339"/>
      <c r="C1104" s="339"/>
      <c r="D1104" s="339"/>
      <c r="E1104" s="339"/>
      <c r="F1104" s="339"/>
      <c r="G1104" s="372"/>
      <c r="H1104" s="339"/>
      <c r="I1104" s="339"/>
      <c r="J1104" s="339"/>
      <c r="K1104" s="339"/>
      <c r="L1104" s="339"/>
      <c r="M1104" s="339"/>
      <c r="N1104" s="339"/>
      <c r="O1104" s="339"/>
      <c r="P1104" s="339"/>
      <c r="Q1104" s="339"/>
      <c r="R1104" s="339"/>
      <c r="S1104" s="64"/>
    </row>
    <row r="1105" spans="1:19" x14ac:dyDescent="0.25">
      <c r="A1105" s="384" t="s">
        <v>385</v>
      </c>
      <c r="B1105" s="339"/>
      <c r="C1105" s="339"/>
      <c r="D1105" s="339"/>
      <c r="E1105" s="339"/>
      <c r="F1105" s="339"/>
      <c r="G1105" s="372"/>
      <c r="H1105" s="339"/>
      <c r="I1105" s="339"/>
      <c r="J1105" s="339"/>
      <c r="K1105" s="339"/>
      <c r="L1105" s="339"/>
      <c r="M1105" s="339"/>
      <c r="N1105" s="339"/>
      <c r="O1105" s="339"/>
      <c r="P1105" s="339"/>
      <c r="Q1105" s="339"/>
      <c r="R1105" s="339"/>
      <c r="S1105" s="64"/>
    </row>
    <row r="1106" spans="1:19" x14ac:dyDescent="0.25">
      <c r="A1106" s="384" t="s">
        <v>386</v>
      </c>
      <c r="B1106" s="339"/>
      <c r="C1106" s="339"/>
      <c r="D1106" s="339"/>
      <c r="E1106" s="339"/>
      <c r="F1106" s="339"/>
      <c r="G1106" s="372"/>
      <c r="H1106" s="339"/>
      <c r="I1106" s="339"/>
      <c r="J1106" s="339"/>
      <c r="K1106" s="339"/>
      <c r="L1106" s="339"/>
      <c r="M1106" s="339"/>
      <c r="N1106" s="339"/>
      <c r="O1106" s="339"/>
      <c r="P1106" s="339"/>
      <c r="Q1106" s="339"/>
      <c r="R1106" s="339"/>
      <c r="S1106" s="64"/>
    </row>
    <row r="1107" spans="1:19" x14ac:dyDescent="0.25">
      <c r="A1107" s="384" t="s">
        <v>387</v>
      </c>
      <c r="B1107" s="339"/>
      <c r="C1107" s="339"/>
      <c r="D1107" s="339"/>
      <c r="E1107" s="339"/>
      <c r="F1107" s="339"/>
      <c r="G1107" s="400"/>
      <c r="H1107" s="339"/>
      <c r="I1107" s="339"/>
      <c r="J1107" s="339"/>
      <c r="K1107" s="339"/>
      <c r="L1107" s="339"/>
      <c r="M1107" s="339"/>
      <c r="N1107" s="339"/>
      <c r="O1107" s="339"/>
      <c r="P1107" s="339"/>
      <c r="Q1107" s="339"/>
      <c r="R1107" s="339"/>
      <c r="S1107" s="64"/>
    </row>
    <row r="1108" spans="1:19" ht="13.2" customHeight="1" x14ac:dyDescent="0.25">
      <c r="A1108" s="389" t="s">
        <v>388</v>
      </c>
      <c r="B1108" s="618"/>
      <c r="C1108" s="618"/>
      <c r="D1108" s="618"/>
      <c r="E1108" s="618"/>
      <c r="F1108" s="618"/>
      <c r="G1108" s="618"/>
      <c r="H1108" s="618"/>
      <c r="I1108" s="618"/>
      <c r="J1108" s="618"/>
      <c r="K1108" s="618"/>
      <c r="L1108" s="618"/>
      <c r="M1108" s="618"/>
      <c r="N1108" s="618"/>
      <c r="O1108" s="618"/>
      <c r="P1108" s="339"/>
      <c r="Q1108" s="339"/>
      <c r="R1108" s="339"/>
      <c r="S1108" s="64"/>
    </row>
    <row r="1109" spans="1:19" ht="13.2" customHeight="1" x14ac:dyDescent="0.25">
      <c r="A1109" s="389" t="s">
        <v>389</v>
      </c>
      <c r="B1109" s="618"/>
      <c r="C1109" s="618"/>
      <c r="D1109" s="618"/>
      <c r="E1109" s="618"/>
      <c r="F1109" s="618"/>
      <c r="G1109" s="618"/>
      <c r="H1109" s="618"/>
      <c r="I1109" s="618"/>
      <c r="J1109" s="618"/>
      <c r="K1109" s="618"/>
      <c r="L1109" s="618"/>
      <c r="M1109" s="618"/>
      <c r="N1109" s="618"/>
      <c r="O1109" s="618"/>
      <c r="P1109" s="339"/>
      <c r="Q1109" s="339"/>
      <c r="R1109" s="339"/>
      <c r="S1109" s="64"/>
    </row>
    <row r="1110" spans="1:19" ht="13.2" customHeight="1" x14ac:dyDescent="0.25">
      <c r="A1110" s="389" t="s">
        <v>569</v>
      </c>
      <c r="B1110" s="618"/>
      <c r="C1110" s="618"/>
      <c r="D1110" s="618"/>
      <c r="E1110" s="618"/>
      <c r="F1110" s="618"/>
      <c r="G1110" s="618"/>
      <c r="H1110" s="618"/>
      <c r="I1110" s="618"/>
      <c r="J1110" s="618"/>
      <c r="K1110" s="618"/>
      <c r="L1110" s="618"/>
      <c r="M1110" s="618"/>
      <c r="N1110" s="618"/>
      <c r="O1110" s="618"/>
      <c r="P1110" s="339"/>
      <c r="Q1110" s="339"/>
      <c r="R1110" s="339"/>
      <c r="S1110" s="64"/>
    </row>
    <row r="1111" spans="1:19" ht="13.2" customHeight="1" x14ac:dyDescent="0.25">
      <c r="A1111" s="389" t="s">
        <v>708</v>
      </c>
      <c r="B1111" s="618"/>
      <c r="C1111" s="618"/>
      <c r="D1111" s="618"/>
      <c r="E1111" s="618"/>
      <c r="F1111" s="618"/>
      <c r="G1111" s="618"/>
      <c r="H1111" s="618"/>
      <c r="I1111" s="618"/>
      <c r="J1111" s="618"/>
      <c r="K1111" s="618"/>
      <c r="L1111" s="618"/>
      <c r="M1111" s="618"/>
      <c r="N1111" s="618"/>
      <c r="O1111" s="618"/>
      <c r="P1111" s="339"/>
      <c r="Q1111" s="339"/>
      <c r="R1111" s="339"/>
      <c r="S1111" s="64"/>
    </row>
    <row r="1112" spans="1:19" ht="13.2" customHeight="1" x14ac:dyDescent="0.25">
      <c r="A1112" s="389" t="s">
        <v>1037</v>
      </c>
      <c r="B1112" s="618"/>
      <c r="C1112" s="618"/>
      <c r="D1112" s="618"/>
      <c r="E1112" s="618"/>
      <c r="F1112" s="618"/>
      <c r="G1112" s="618"/>
      <c r="H1112" s="618"/>
      <c r="I1112" s="618"/>
      <c r="J1112" s="618"/>
      <c r="K1112" s="618"/>
      <c r="L1112" s="618"/>
      <c r="M1112" s="618"/>
      <c r="N1112" s="618"/>
      <c r="O1112" s="618"/>
      <c r="P1112" s="339"/>
      <c r="Q1112" s="339"/>
      <c r="R1112" s="339"/>
      <c r="S1112" s="64"/>
    </row>
    <row r="1113" spans="1:19" ht="13.2" customHeight="1" x14ac:dyDescent="0.25">
      <c r="A1113" s="389" t="s">
        <v>1086</v>
      </c>
      <c r="B1113" s="618"/>
      <c r="C1113" s="618"/>
      <c r="D1113" s="618"/>
      <c r="E1113" s="618"/>
      <c r="F1113" s="618"/>
      <c r="G1113" s="618"/>
      <c r="H1113" s="618"/>
      <c r="I1113" s="618"/>
      <c r="J1113" s="618"/>
      <c r="K1113" s="618"/>
      <c r="L1113" s="618"/>
      <c r="M1113" s="618"/>
      <c r="N1113" s="618"/>
      <c r="O1113" s="618"/>
      <c r="P1113" s="339"/>
      <c r="Q1113" s="339"/>
      <c r="R1113" s="339"/>
      <c r="S1113" s="64"/>
    </row>
    <row r="1114" spans="1:19" ht="13.2" customHeight="1" x14ac:dyDescent="0.25">
      <c r="A1114" s="391" t="s">
        <v>1184</v>
      </c>
      <c r="B1114" s="618"/>
      <c r="C1114" s="618"/>
      <c r="D1114" s="618"/>
      <c r="E1114" s="618"/>
      <c r="F1114" s="618"/>
      <c r="G1114" s="618"/>
      <c r="H1114" s="618"/>
      <c r="I1114" s="618"/>
      <c r="J1114" s="618"/>
      <c r="K1114" s="618"/>
      <c r="L1114" s="618"/>
      <c r="M1114" s="618"/>
      <c r="N1114" s="618"/>
      <c r="O1114" s="618"/>
      <c r="P1114" s="339"/>
      <c r="Q1114" s="339"/>
      <c r="R1114" s="339"/>
      <c r="S1114" s="64"/>
    </row>
    <row r="1115" spans="1:19" s="411" customFormat="1" ht="13.8" x14ac:dyDescent="0.3">
      <c r="A1115" s="401" t="s">
        <v>1234</v>
      </c>
      <c r="B1115" s="619"/>
      <c r="C1115" s="619"/>
      <c r="D1115" s="619"/>
      <c r="E1115" s="619"/>
      <c r="F1115" s="619"/>
      <c r="G1115" s="619"/>
      <c r="H1115" s="619"/>
      <c r="I1115" s="619"/>
      <c r="J1115" s="619"/>
      <c r="K1115" s="619"/>
      <c r="L1115" s="619"/>
      <c r="M1115" s="619"/>
      <c r="N1115" s="619"/>
      <c r="O1115" s="619"/>
      <c r="P1115" s="619"/>
      <c r="Q1115" s="409"/>
      <c r="R1115" s="409"/>
      <c r="S1115" s="410"/>
    </row>
    <row r="1116" spans="1:19" x14ac:dyDescent="0.25">
      <c r="A1116" s="315"/>
      <c r="C1116" s="348"/>
    </row>
    <row r="1117" spans="1:19" x14ac:dyDescent="0.25">
      <c r="A1117" s="352" t="s">
        <v>14</v>
      </c>
      <c r="B1117" s="353" t="s">
        <v>641</v>
      </c>
      <c r="C1117" s="353" t="s">
        <v>15</v>
      </c>
      <c r="D1117" s="339"/>
      <c r="E1117" s="339"/>
      <c r="F1117" s="339"/>
      <c r="G1117" s="339"/>
      <c r="H1117" s="339"/>
      <c r="I1117" s="339"/>
      <c r="J1117" s="339"/>
      <c r="K1117" s="339"/>
      <c r="L1117" s="339"/>
      <c r="M1117" s="339"/>
      <c r="N1117" s="339"/>
      <c r="O1117" s="339"/>
      <c r="P1117" s="339"/>
    </row>
    <row r="1118" spans="1:19" x14ac:dyDescent="0.25">
      <c r="A1118" s="357" t="s">
        <v>16</v>
      </c>
      <c r="B1118" s="358">
        <v>2009</v>
      </c>
      <c r="C1118" s="359">
        <v>2010</v>
      </c>
      <c r="D1118" s="359">
        <v>2011</v>
      </c>
      <c r="E1118" s="359">
        <v>2012</v>
      </c>
      <c r="F1118" s="359">
        <v>2013</v>
      </c>
      <c r="G1118" s="359">
        <v>2014</v>
      </c>
      <c r="H1118" s="359">
        <v>2015</v>
      </c>
      <c r="I1118" s="359">
        <v>2016</v>
      </c>
      <c r="J1118" s="393">
        <v>2017</v>
      </c>
      <c r="K1118" s="393">
        <v>2018</v>
      </c>
      <c r="L1118" s="393">
        <v>2019</v>
      </c>
      <c r="M1118" s="393">
        <v>2020</v>
      </c>
      <c r="N1118" s="359">
        <v>2021</v>
      </c>
      <c r="O1118" s="359">
        <v>2022</v>
      </c>
      <c r="P1118" s="359">
        <v>2023</v>
      </c>
      <c r="Q1118" s="359">
        <v>2024</v>
      </c>
      <c r="R1118" s="359">
        <v>2025</v>
      </c>
      <c r="S1118" s="359">
        <v>2026</v>
      </c>
    </row>
    <row r="1119" spans="1:19" x14ac:dyDescent="0.25">
      <c r="A1119" s="360" t="s">
        <v>17</v>
      </c>
      <c r="B1119" s="376">
        <v>1080</v>
      </c>
      <c r="C1119" s="376">
        <v>901</v>
      </c>
      <c r="D1119" s="376">
        <v>901</v>
      </c>
      <c r="E1119" s="376">
        <v>901</v>
      </c>
      <c r="F1119" s="376">
        <v>901</v>
      </c>
      <c r="G1119" s="376">
        <v>901</v>
      </c>
      <c r="H1119" s="376">
        <v>901</v>
      </c>
      <c r="I1119" s="376">
        <v>901</v>
      </c>
      <c r="J1119" s="376">
        <v>901</v>
      </c>
      <c r="K1119" s="376">
        <v>901</v>
      </c>
      <c r="L1119" s="376">
        <v>901</v>
      </c>
      <c r="M1119" s="376">
        <v>901</v>
      </c>
      <c r="N1119" s="361">
        <v>901</v>
      </c>
      <c r="O1119" s="361">
        <v>901</v>
      </c>
      <c r="P1119" s="361">
        <v>901</v>
      </c>
      <c r="Q1119" s="361">
        <v>901</v>
      </c>
      <c r="R1119" s="361">
        <v>901</v>
      </c>
      <c r="S1119" s="361">
        <v>901</v>
      </c>
    </row>
    <row r="1120" spans="1:19" x14ac:dyDescent="0.25">
      <c r="A1120" s="360" t="s">
        <v>18</v>
      </c>
      <c r="B1120" s="376">
        <v>1775.91</v>
      </c>
      <c r="C1120" s="376">
        <v>1651</v>
      </c>
      <c r="D1120" s="376">
        <v>851</v>
      </c>
      <c r="E1120" s="376">
        <v>1288.26477</v>
      </c>
      <c r="F1120" s="376">
        <v>425.70000000000005</v>
      </c>
      <c r="G1120" s="376">
        <v>1298.56477</v>
      </c>
      <c r="H1120" s="376">
        <v>318.5</v>
      </c>
      <c r="I1120" s="376">
        <v>1359.46477</v>
      </c>
      <c r="J1120" s="376">
        <v>999.7</v>
      </c>
      <c r="K1120" s="376">
        <v>1339.56477</v>
      </c>
      <c r="L1120" s="376">
        <v>1191.2</v>
      </c>
      <c r="M1120" s="376">
        <v>1451</v>
      </c>
      <c r="N1120" s="376">
        <v>1380.1631280000001</v>
      </c>
      <c r="O1120" s="376">
        <f>O1119+600-50</f>
        <v>1451</v>
      </c>
      <c r="P1120" s="376">
        <f>P1119+600-50</f>
        <v>1451</v>
      </c>
      <c r="Q1120" s="376">
        <f>Q1119+600-50</f>
        <v>1451</v>
      </c>
      <c r="R1120" s="376">
        <f>R1119+600-50</f>
        <v>1451</v>
      </c>
      <c r="S1120" s="376">
        <f>S1119+600-50</f>
        <v>1451</v>
      </c>
    </row>
    <row r="1121" spans="1:19" x14ac:dyDescent="0.25">
      <c r="A1121" s="360" t="s">
        <v>19</v>
      </c>
      <c r="B1121" s="376"/>
      <c r="C1121" s="376"/>
      <c r="D1121" s="376"/>
      <c r="E1121" s="376"/>
      <c r="F1121" s="376"/>
      <c r="G1121" s="376"/>
      <c r="H1121" s="376"/>
      <c r="I1121" s="376"/>
      <c r="J1121" s="376"/>
      <c r="K1121" s="376"/>
      <c r="L1121" s="376"/>
      <c r="M1121" s="376"/>
      <c r="N1121" s="361"/>
      <c r="O1121" s="361"/>
      <c r="P1121" s="361"/>
      <c r="Q1121" s="361"/>
      <c r="R1121" s="361"/>
      <c r="S1121" s="361"/>
    </row>
    <row r="1122" spans="1:19" x14ac:dyDescent="0.25">
      <c r="A1122" s="360" t="s">
        <v>20</v>
      </c>
      <c r="B1122" s="376">
        <v>900.11276999999995</v>
      </c>
      <c r="C1122" s="376">
        <v>1213.73523</v>
      </c>
      <c r="D1122" s="376">
        <v>1276.3</v>
      </c>
      <c r="E1122" s="376">
        <v>840.7</v>
      </c>
      <c r="F1122" s="376">
        <v>958.2</v>
      </c>
      <c r="G1122" s="376">
        <v>790.1</v>
      </c>
      <c r="H1122" s="376">
        <v>569.79999999999995</v>
      </c>
      <c r="I1122" s="376">
        <v>870.9</v>
      </c>
      <c r="J1122" s="376">
        <v>659.5</v>
      </c>
      <c r="K1122" s="376">
        <v>698</v>
      </c>
      <c r="L1122" s="376">
        <v>662.0368719999999</v>
      </c>
      <c r="M1122" s="376">
        <v>444</v>
      </c>
      <c r="N1122" s="361">
        <v>659</v>
      </c>
      <c r="O1122" s="361">
        <v>516.5</v>
      </c>
      <c r="P1122" s="361">
        <v>332.1</v>
      </c>
      <c r="Q1122" s="361">
        <v>385.7</v>
      </c>
      <c r="R1122" s="361" t="s">
        <v>1137</v>
      </c>
      <c r="S1122" s="361" t="s">
        <v>1137</v>
      </c>
    </row>
    <row r="1123" spans="1:19" x14ac:dyDescent="0.25">
      <c r="A1123" s="360" t="s">
        <v>21</v>
      </c>
      <c r="B1123" s="376">
        <v>875.79723000000013</v>
      </c>
      <c r="C1123" s="376">
        <v>437.26477</v>
      </c>
      <c r="D1123" s="376">
        <v>425.3</v>
      </c>
      <c r="E1123" s="376">
        <v>447.56476999999995</v>
      </c>
      <c r="F1123" s="376">
        <v>532.5</v>
      </c>
      <c r="G1123" s="376">
        <v>508.46476999999993</v>
      </c>
      <c r="H1123" s="376">
        <v>148.70000000000005</v>
      </c>
      <c r="I1123" s="376">
        <v>488.56477000000007</v>
      </c>
      <c r="J1123" s="376">
        <v>340.20000000000005</v>
      </c>
      <c r="K1123" s="376">
        <v>641.56476999999995</v>
      </c>
      <c r="L1123" s="376">
        <v>529.16312800000014</v>
      </c>
      <c r="M1123" s="376">
        <f>M1120-M1122</f>
        <v>1007</v>
      </c>
      <c r="N1123" s="361">
        <f>N1120-N1122</f>
        <v>721.16312800000014</v>
      </c>
      <c r="O1123" s="361">
        <f>O1120-O1122</f>
        <v>934.5</v>
      </c>
      <c r="P1123" s="361">
        <f>P1120-P1122</f>
        <v>1118.9000000000001</v>
      </c>
      <c r="Q1123" s="361">
        <f>Q1120-Q1122</f>
        <v>1065.3</v>
      </c>
      <c r="R1123" s="361" t="s">
        <v>1137</v>
      </c>
      <c r="S1123" s="361" t="s">
        <v>1137</v>
      </c>
    </row>
    <row r="1124" spans="1:19" x14ac:dyDescent="0.25">
      <c r="A1124" s="364" t="s">
        <v>22</v>
      </c>
      <c r="B1124" s="377">
        <v>2011</v>
      </c>
      <c r="C1124" s="377">
        <v>2012</v>
      </c>
      <c r="D1124" s="377">
        <v>2013</v>
      </c>
      <c r="E1124" s="377">
        <v>2014</v>
      </c>
      <c r="F1124" s="377">
        <v>2015</v>
      </c>
      <c r="G1124" s="377">
        <v>2016</v>
      </c>
      <c r="H1124" s="377">
        <v>2017</v>
      </c>
      <c r="I1124" s="377">
        <v>2018</v>
      </c>
      <c r="J1124" s="377">
        <v>2019</v>
      </c>
      <c r="K1124" s="377">
        <v>2020</v>
      </c>
      <c r="L1124" s="377">
        <v>2021</v>
      </c>
      <c r="M1124" s="377">
        <v>2022</v>
      </c>
      <c r="N1124" s="377">
        <v>2023</v>
      </c>
      <c r="O1124" s="377">
        <v>2024</v>
      </c>
      <c r="P1124" s="377">
        <v>2025</v>
      </c>
      <c r="Q1124" s="377">
        <v>2026</v>
      </c>
      <c r="R1124" s="377">
        <v>2027</v>
      </c>
      <c r="S1124" s="377">
        <v>2028</v>
      </c>
    </row>
    <row r="1125" spans="1:19" x14ac:dyDescent="0.25">
      <c r="A1125" s="366" t="s">
        <v>179</v>
      </c>
      <c r="B1125" s="368"/>
      <c r="C1125" s="368"/>
      <c r="D1125" s="368"/>
      <c r="E1125" s="368"/>
      <c r="F1125" s="368"/>
      <c r="G1125" s="368"/>
      <c r="H1125" s="368"/>
      <c r="I1125" s="368"/>
      <c r="J1125" s="368"/>
      <c r="K1125" s="368"/>
      <c r="L1125" s="368"/>
      <c r="M1125" s="368"/>
      <c r="N1125" s="368"/>
      <c r="O1125" s="368"/>
      <c r="P1125" s="368"/>
      <c r="Q1125" s="368"/>
      <c r="R1125" s="368"/>
      <c r="S1125" s="63"/>
    </row>
    <row r="1126" spans="1:19" x14ac:dyDescent="0.25">
      <c r="A1126" s="366" t="s">
        <v>416</v>
      </c>
      <c r="B1126" s="368"/>
      <c r="C1126" s="368"/>
      <c r="D1126" s="368"/>
      <c r="E1126" s="368"/>
      <c r="F1126" s="368"/>
      <c r="G1126" s="368"/>
      <c r="H1126" s="368"/>
      <c r="I1126" s="368"/>
      <c r="J1126" s="368"/>
      <c r="K1126" s="368"/>
      <c r="L1126" s="368"/>
      <c r="M1126" s="368"/>
      <c r="N1126" s="368"/>
      <c r="O1126" s="368"/>
      <c r="P1126" s="368"/>
      <c r="Q1126" s="368"/>
      <c r="R1126" s="368"/>
      <c r="S1126" s="63"/>
    </row>
    <row r="1127" spans="1:19" x14ac:dyDescent="0.25">
      <c r="A1127" s="369" t="s">
        <v>417</v>
      </c>
      <c r="B1127" s="339"/>
      <c r="C1127" s="339"/>
      <c r="D1127" s="339"/>
      <c r="E1127" s="339"/>
      <c r="F1127" s="339"/>
      <c r="G1127" s="339"/>
      <c r="H1127" s="339"/>
      <c r="I1127" s="339"/>
      <c r="J1127" s="339"/>
      <c r="K1127" s="339"/>
      <c r="L1127" s="339"/>
      <c r="M1127" s="339"/>
      <c r="N1127" s="339"/>
      <c r="O1127" s="339"/>
      <c r="P1127" s="339"/>
      <c r="Q1127" s="339"/>
      <c r="R1127" s="339"/>
      <c r="S1127" s="64"/>
    </row>
    <row r="1128" spans="1:19" x14ac:dyDescent="0.25">
      <c r="A1128" s="369" t="s">
        <v>418</v>
      </c>
      <c r="B1128" s="339"/>
      <c r="C1128" s="339"/>
      <c r="D1128" s="339"/>
      <c r="E1128" s="339"/>
      <c r="F1128" s="339"/>
      <c r="G1128" s="339"/>
      <c r="H1128" s="339"/>
      <c r="I1128" s="339"/>
      <c r="J1128" s="339"/>
      <c r="K1128" s="339"/>
      <c r="L1128" s="339"/>
      <c r="M1128" s="339"/>
      <c r="N1128" s="339"/>
      <c r="O1128" s="339"/>
      <c r="P1128" s="339"/>
      <c r="Q1128" s="339"/>
      <c r="R1128" s="339"/>
      <c r="S1128" s="64"/>
    </row>
    <row r="1129" spans="1:19" x14ac:dyDescent="0.25">
      <c r="A1129" s="369" t="s">
        <v>419</v>
      </c>
      <c r="B1129" s="339"/>
      <c r="C1129" s="339"/>
      <c r="D1129" s="339"/>
      <c r="E1129" s="339"/>
      <c r="F1129" s="339"/>
      <c r="G1129" s="339"/>
      <c r="H1129" s="339"/>
      <c r="I1129" s="339"/>
      <c r="J1129" s="339"/>
      <c r="K1129" s="339"/>
      <c r="L1129" s="339"/>
      <c r="M1129" s="339"/>
      <c r="N1129" s="339"/>
      <c r="O1129" s="339"/>
      <c r="P1129" s="339"/>
      <c r="Q1129" s="339"/>
      <c r="R1129" s="339"/>
      <c r="S1129" s="64"/>
    </row>
    <row r="1130" spans="1:19" x14ac:dyDescent="0.25">
      <c r="A1130" s="369" t="s">
        <v>420</v>
      </c>
      <c r="B1130" s="370"/>
      <c r="C1130" s="372"/>
      <c r="D1130" s="371"/>
      <c r="E1130" s="339"/>
      <c r="F1130" s="339"/>
      <c r="G1130" s="372"/>
      <c r="H1130" s="339"/>
      <c r="I1130" s="339"/>
      <c r="J1130" s="339"/>
      <c r="K1130" s="339"/>
      <c r="L1130" s="339"/>
      <c r="M1130" s="339"/>
      <c r="N1130" s="339"/>
      <c r="O1130" s="339"/>
      <c r="P1130" s="339"/>
      <c r="Q1130" s="339"/>
      <c r="R1130" s="339"/>
      <c r="S1130" s="64"/>
    </row>
    <row r="1131" spans="1:19" x14ac:dyDescent="0.25">
      <c r="A1131" s="369" t="s">
        <v>421</v>
      </c>
      <c r="B1131" s="339"/>
      <c r="C1131" s="339"/>
      <c r="D1131" s="339"/>
      <c r="E1131" s="339"/>
      <c r="F1131" s="339"/>
      <c r="G1131" s="372"/>
      <c r="H1131" s="339"/>
      <c r="I1131" s="339"/>
      <c r="J1131" s="339"/>
      <c r="K1131" s="339"/>
      <c r="L1131" s="339"/>
      <c r="M1131" s="339"/>
      <c r="N1131" s="339"/>
      <c r="O1131" s="339"/>
      <c r="P1131" s="339"/>
      <c r="Q1131" s="339"/>
      <c r="R1131" s="339"/>
      <c r="S1131" s="64"/>
    </row>
    <row r="1132" spans="1:19" x14ac:dyDescent="0.25">
      <c r="A1132" s="369" t="s">
        <v>422</v>
      </c>
      <c r="B1132" s="339"/>
      <c r="C1132" s="339"/>
      <c r="D1132" s="339"/>
      <c r="E1132" s="339"/>
      <c r="F1132" s="339"/>
      <c r="G1132" s="372"/>
      <c r="H1132" s="339"/>
      <c r="I1132" s="339"/>
      <c r="J1132" s="339"/>
      <c r="K1132" s="339"/>
      <c r="L1132" s="339"/>
      <c r="M1132" s="339"/>
      <c r="N1132" s="339"/>
      <c r="O1132" s="339"/>
      <c r="P1132" s="339"/>
      <c r="Q1132" s="339"/>
      <c r="R1132" s="339"/>
      <c r="S1132" s="64"/>
    </row>
    <row r="1133" spans="1:19" x14ac:dyDescent="0.25">
      <c r="A1133" s="369" t="s">
        <v>423</v>
      </c>
      <c r="B1133" s="339"/>
      <c r="C1133" s="339"/>
      <c r="D1133" s="339"/>
      <c r="E1133" s="339"/>
      <c r="F1133" s="339"/>
      <c r="G1133" s="372"/>
      <c r="H1133" s="339"/>
      <c r="I1133" s="339"/>
      <c r="J1133" s="339"/>
      <c r="K1133" s="339"/>
      <c r="L1133" s="339"/>
      <c r="M1133" s="339"/>
      <c r="N1133" s="339"/>
      <c r="O1133" s="339"/>
      <c r="P1133" s="339"/>
      <c r="Q1133" s="339"/>
      <c r="R1133" s="339"/>
      <c r="S1133" s="64"/>
    </row>
    <row r="1134" spans="1:19" x14ac:dyDescent="0.25">
      <c r="A1134" s="399" t="s">
        <v>424</v>
      </c>
      <c r="B1134" s="339"/>
      <c r="C1134" s="339"/>
      <c r="D1134" s="339"/>
      <c r="E1134" s="339"/>
      <c r="F1134" s="339"/>
      <c r="G1134" s="400"/>
      <c r="H1134" s="339"/>
      <c r="I1134" s="339"/>
      <c r="J1134" s="339"/>
      <c r="K1134" s="339"/>
      <c r="L1134" s="339"/>
      <c r="M1134" s="339"/>
      <c r="N1134" s="339"/>
      <c r="O1134" s="339"/>
      <c r="P1134" s="339"/>
      <c r="Q1134" s="339"/>
      <c r="R1134" s="339"/>
      <c r="S1134" s="64"/>
    </row>
    <row r="1135" spans="1:19" x14ac:dyDescent="0.25">
      <c r="A1135" s="384" t="s">
        <v>228</v>
      </c>
      <c r="B1135" s="339"/>
      <c r="C1135" s="339"/>
      <c r="D1135" s="339"/>
      <c r="E1135" s="339"/>
      <c r="F1135" s="339"/>
      <c r="G1135" s="339"/>
      <c r="H1135" s="339"/>
      <c r="I1135" s="339"/>
      <c r="J1135" s="339"/>
      <c r="K1135" s="339"/>
      <c r="L1135" s="339"/>
      <c r="M1135" s="339"/>
      <c r="N1135" s="339"/>
      <c r="O1135" s="339"/>
      <c r="P1135" s="339"/>
      <c r="Q1135" s="339"/>
      <c r="R1135" s="339"/>
      <c r="S1135" s="64"/>
    </row>
    <row r="1136" spans="1:19" x14ac:dyDescent="0.25">
      <c r="A1136" s="384" t="s">
        <v>229</v>
      </c>
      <c r="B1136" s="339"/>
      <c r="C1136" s="339"/>
      <c r="D1136" s="339"/>
      <c r="E1136" s="339"/>
      <c r="F1136" s="339"/>
      <c r="G1136" s="339"/>
      <c r="H1136" s="339"/>
      <c r="I1136" s="339"/>
      <c r="J1136" s="339"/>
      <c r="K1136" s="339"/>
      <c r="L1136" s="339"/>
      <c r="M1136" s="339"/>
      <c r="N1136" s="339"/>
      <c r="O1136" s="339"/>
      <c r="P1136" s="339"/>
      <c r="Q1136" s="339"/>
      <c r="R1136" s="339"/>
      <c r="S1136" s="64"/>
    </row>
    <row r="1137" spans="1:19" x14ac:dyDescent="0.25">
      <c r="A1137" s="384" t="s">
        <v>425</v>
      </c>
      <c r="B1137" s="339"/>
      <c r="C1137" s="339"/>
      <c r="D1137" s="339"/>
      <c r="E1137" s="339"/>
      <c r="F1137" s="339"/>
      <c r="G1137" s="339"/>
      <c r="H1137" s="339"/>
      <c r="I1137" s="339"/>
      <c r="J1137" s="339"/>
      <c r="K1137" s="339"/>
      <c r="L1137" s="339"/>
      <c r="M1137" s="339"/>
      <c r="N1137" s="339"/>
      <c r="O1137" s="339"/>
      <c r="P1137" s="339"/>
      <c r="Q1137" s="339"/>
      <c r="R1137" s="339"/>
      <c r="S1137" s="64"/>
    </row>
    <row r="1138" spans="1:19" x14ac:dyDescent="0.25">
      <c r="A1138" s="384" t="s">
        <v>640</v>
      </c>
      <c r="B1138" s="339"/>
      <c r="C1138" s="339"/>
      <c r="D1138" s="339"/>
      <c r="E1138" s="339"/>
      <c r="F1138" s="339"/>
      <c r="G1138" s="339"/>
      <c r="H1138" s="339"/>
      <c r="I1138" s="339"/>
      <c r="J1138" s="339"/>
      <c r="K1138" s="339"/>
      <c r="L1138" s="339"/>
      <c r="M1138" s="339"/>
      <c r="N1138" s="339"/>
      <c r="O1138" s="339"/>
      <c r="P1138" s="339"/>
      <c r="Q1138" s="339"/>
      <c r="R1138" s="339"/>
      <c r="S1138" s="64"/>
    </row>
    <row r="1139" spans="1:19" x14ac:dyDescent="0.25">
      <c r="A1139" s="384" t="s">
        <v>807</v>
      </c>
      <c r="B1139" s="339"/>
      <c r="C1139" s="339"/>
      <c r="D1139" s="339"/>
      <c r="E1139" s="339"/>
      <c r="F1139" s="339"/>
      <c r="G1139" s="339"/>
      <c r="H1139" s="339"/>
      <c r="I1139" s="339"/>
      <c r="J1139" s="339"/>
      <c r="K1139" s="339"/>
      <c r="L1139" s="339"/>
      <c r="M1139" s="339"/>
      <c r="N1139" s="339"/>
      <c r="O1139" s="339"/>
      <c r="P1139" s="339"/>
      <c r="Q1139" s="339"/>
      <c r="R1139" s="339"/>
      <c r="S1139" s="64"/>
    </row>
    <row r="1140" spans="1:19" x14ac:dyDescent="0.25">
      <c r="A1140" s="384" t="s">
        <v>1039</v>
      </c>
      <c r="B1140" s="339"/>
      <c r="C1140" s="339"/>
      <c r="D1140" s="339"/>
      <c r="E1140" s="339"/>
      <c r="F1140" s="339"/>
      <c r="G1140" s="339"/>
      <c r="H1140" s="339"/>
      <c r="I1140" s="339"/>
      <c r="J1140" s="339"/>
      <c r="K1140" s="339"/>
      <c r="L1140" s="339"/>
      <c r="M1140" s="339"/>
      <c r="N1140" s="339"/>
      <c r="O1140" s="339"/>
      <c r="P1140" s="339"/>
      <c r="Q1140" s="339"/>
      <c r="R1140" s="339"/>
      <c r="S1140" s="64"/>
    </row>
    <row r="1141" spans="1:19" x14ac:dyDescent="0.25">
      <c r="A1141" s="384" t="s">
        <v>1087</v>
      </c>
      <c r="B1141" s="339"/>
      <c r="C1141" s="339"/>
      <c r="D1141" s="339"/>
      <c r="E1141" s="339"/>
      <c r="F1141" s="339"/>
      <c r="G1141" s="339"/>
      <c r="H1141" s="339"/>
      <c r="I1141" s="339"/>
      <c r="J1141" s="339"/>
      <c r="K1141" s="339"/>
      <c r="L1141" s="339"/>
      <c r="M1141" s="339"/>
      <c r="N1141" s="339"/>
      <c r="O1141" s="339"/>
      <c r="P1141" s="339"/>
      <c r="Q1141" s="339"/>
      <c r="R1141" s="339"/>
      <c r="S1141" s="64"/>
    </row>
    <row r="1142" spans="1:19" x14ac:dyDescent="0.25">
      <c r="A1142" s="661" t="s">
        <v>1251</v>
      </c>
      <c r="B1142" s="373"/>
      <c r="C1142" s="373"/>
      <c r="D1142" s="373"/>
      <c r="E1142" s="373"/>
      <c r="F1142" s="373"/>
      <c r="G1142" s="373"/>
      <c r="H1142" s="373"/>
      <c r="I1142" s="373"/>
      <c r="J1142" s="373"/>
      <c r="K1142" s="373"/>
      <c r="L1142" s="373"/>
      <c r="M1142" s="373"/>
      <c r="N1142" s="373"/>
      <c r="O1142" s="373"/>
      <c r="P1142" s="373"/>
      <c r="Q1142" s="373"/>
      <c r="R1142" s="373"/>
      <c r="S1142" s="48"/>
    </row>
    <row r="1143" spans="1:19" x14ac:dyDescent="0.25">
      <c r="A1143" s="315"/>
      <c r="C1143" s="348"/>
    </row>
    <row r="1144" spans="1:19" x14ac:dyDescent="0.25">
      <c r="A1144" s="352" t="s">
        <v>14</v>
      </c>
      <c r="B1144" s="353" t="s">
        <v>642</v>
      </c>
      <c r="C1144" s="405" t="s">
        <v>15</v>
      </c>
      <c r="D1144" s="339"/>
      <c r="E1144" s="339"/>
      <c r="F1144" s="339"/>
      <c r="G1144" s="339"/>
      <c r="H1144" s="339"/>
      <c r="I1144" s="339"/>
      <c r="J1144" s="339"/>
      <c r="K1144" s="339"/>
      <c r="L1144" s="339"/>
      <c r="M1144" s="339"/>
    </row>
    <row r="1145" spans="1:19" s="50" customFormat="1" ht="14.4" x14ac:dyDescent="0.3">
      <c r="A1145" s="360" t="s">
        <v>16</v>
      </c>
      <c r="B1145" s="359">
        <v>2009</v>
      </c>
      <c r="C1145" s="359">
        <v>2010</v>
      </c>
      <c r="D1145" s="359">
        <v>2011</v>
      </c>
      <c r="E1145" s="359">
        <v>2012</v>
      </c>
      <c r="F1145" s="359">
        <v>2013</v>
      </c>
      <c r="G1145" s="359">
        <v>2014</v>
      </c>
      <c r="H1145" s="359">
        <v>2015</v>
      </c>
      <c r="I1145" s="359">
        <v>2016</v>
      </c>
      <c r="J1145" s="359">
        <v>2017</v>
      </c>
      <c r="K1145" s="359">
        <v>2018</v>
      </c>
      <c r="L1145" s="359">
        <v>2019</v>
      </c>
      <c r="M1145" s="359">
        <v>2020</v>
      </c>
      <c r="N1145" s="359">
        <v>2021</v>
      </c>
      <c r="O1145" s="359">
        <v>2022</v>
      </c>
      <c r="P1145" s="359">
        <v>2023</v>
      </c>
      <c r="Q1145" s="359">
        <v>2024</v>
      </c>
      <c r="R1145" s="359">
        <v>2025</v>
      </c>
    </row>
    <row r="1146" spans="1:19" s="50" customFormat="1" ht="14.4" x14ac:dyDescent="0.3">
      <c r="A1146" s="360" t="s">
        <v>17</v>
      </c>
      <c r="B1146" s="406">
        <v>1871.44</v>
      </c>
      <c r="C1146" s="406">
        <v>1148.05</v>
      </c>
      <c r="D1146" s="406">
        <v>1097.03</v>
      </c>
      <c r="E1146" s="406">
        <v>1097.03</v>
      </c>
      <c r="F1146" s="406">
        <v>1139.55</v>
      </c>
      <c r="G1146" s="406">
        <v>1139.55</v>
      </c>
      <c r="H1146" s="406">
        <v>1345.44</v>
      </c>
      <c r="I1146" s="406">
        <v>1608.21</v>
      </c>
      <c r="J1146" s="406">
        <v>1930.88</v>
      </c>
      <c r="K1146" s="406">
        <v>2279</v>
      </c>
      <c r="L1146" s="406">
        <v>2544</v>
      </c>
      <c r="M1146" s="406">
        <v>2819</v>
      </c>
      <c r="N1146" s="376">
        <v>2819</v>
      </c>
      <c r="O1146" s="376">
        <v>2819</v>
      </c>
      <c r="P1146" s="376">
        <v>3114</v>
      </c>
      <c r="Q1146" s="376">
        <v>3114</v>
      </c>
      <c r="R1146" s="376">
        <v>3114</v>
      </c>
    </row>
    <row r="1147" spans="1:19" s="50" customFormat="1" ht="14.4" x14ac:dyDescent="0.3">
      <c r="A1147" s="360" t="s">
        <v>18</v>
      </c>
      <c r="B1147" s="406">
        <v>1871.44</v>
      </c>
      <c r="C1147" s="406">
        <v>1148.05</v>
      </c>
      <c r="D1147" s="406">
        <v>1097.03</v>
      </c>
      <c r="E1147" s="406">
        <v>1097.03</v>
      </c>
      <c r="F1147" s="406">
        <v>1139.55</v>
      </c>
      <c r="G1147" s="406">
        <v>1139.55</v>
      </c>
      <c r="H1147" s="406">
        <v>1390.44</v>
      </c>
      <c r="I1147" s="406">
        <v>1583.21</v>
      </c>
      <c r="J1147" s="406">
        <v>1910.88</v>
      </c>
      <c r="K1147" s="406">
        <v>2279</v>
      </c>
      <c r="L1147" s="406">
        <v>2544</v>
      </c>
      <c r="M1147" s="406">
        <v>2839.27</v>
      </c>
      <c r="N1147" s="376">
        <f>N1146+M1150</f>
        <v>2876.6439600000003</v>
      </c>
      <c r="O1147" s="376">
        <f>O1146+N1150</f>
        <v>2915.6539600000006</v>
      </c>
      <c r="P1147" s="376">
        <f>P1146+O1150</f>
        <v>3158.3939600000003</v>
      </c>
      <c r="Q1147" s="376">
        <v>3184.4</v>
      </c>
      <c r="R1147" s="376">
        <v>3269.7</v>
      </c>
    </row>
    <row r="1148" spans="1:19" s="50" customFormat="1" ht="14.4" x14ac:dyDescent="0.3">
      <c r="A1148" s="360" t="s">
        <v>19</v>
      </c>
      <c r="B1148" s="376"/>
      <c r="C1148" s="376"/>
      <c r="D1148" s="376"/>
      <c r="E1148" s="376"/>
      <c r="F1148" s="376"/>
      <c r="G1148" s="376"/>
      <c r="H1148" s="376"/>
      <c r="I1148" s="376"/>
      <c r="J1148" s="376"/>
      <c r="K1148" s="376"/>
      <c r="L1148" s="376"/>
      <c r="M1148" s="376"/>
      <c r="N1148" s="376"/>
      <c r="O1148" s="376"/>
      <c r="P1148" s="376"/>
      <c r="Q1148" s="376"/>
      <c r="R1148" s="376"/>
    </row>
    <row r="1149" spans="1:19" s="50" customFormat="1" ht="14.4" x14ac:dyDescent="0.3">
      <c r="A1149" s="360" t="s">
        <v>20</v>
      </c>
      <c r="B1149" s="406">
        <v>1858.2</v>
      </c>
      <c r="C1149" s="376">
        <v>1139.2777599999999</v>
      </c>
      <c r="D1149" s="376">
        <v>1088.8235599999998</v>
      </c>
      <c r="E1149" s="376">
        <v>1092.5993599999999</v>
      </c>
      <c r="F1149" s="376">
        <v>1128.97</v>
      </c>
      <c r="G1149" s="376">
        <v>1134.47</v>
      </c>
      <c r="H1149" s="376">
        <v>1385.92</v>
      </c>
      <c r="I1149" s="376">
        <v>1578.37</v>
      </c>
      <c r="J1149" s="376">
        <v>1910.65104</v>
      </c>
      <c r="K1149" s="376">
        <v>2269.7609000000002</v>
      </c>
      <c r="L1149" s="376">
        <v>2523.73</v>
      </c>
      <c r="M1149" s="376">
        <v>2781.6260399999996</v>
      </c>
      <c r="N1149" s="376">
        <v>2779.99</v>
      </c>
      <c r="O1149" s="376">
        <v>2871.26</v>
      </c>
      <c r="P1149" s="376">
        <v>3087.99</v>
      </c>
      <c r="Q1149" s="376">
        <v>2988.88</v>
      </c>
      <c r="R1149" s="376" t="s">
        <v>1137</v>
      </c>
    </row>
    <row r="1150" spans="1:19" s="50" customFormat="1" ht="14.4" x14ac:dyDescent="0.3">
      <c r="A1150" s="360" t="s">
        <v>21</v>
      </c>
      <c r="B1150" s="376">
        <v>13.240000000000009</v>
      </c>
      <c r="C1150" s="376">
        <v>8.7722400000000107</v>
      </c>
      <c r="D1150" s="376">
        <v>8.2064400000001569</v>
      </c>
      <c r="E1150" s="376">
        <v>4.4306400000000394</v>
      </c>
      <c r="F1150" s="376">
        <v>10.579999999999927</v>
      </c>
      <c r="G1150" s="376">
        <v>5.0799999999999272</v>
      </c>
      <c r="H1150" s="376">
        <v>4.5199999999999818</v>
      </c>
      <c r="I1150" s="376">
        <v>4.8400000000001455</v>
      </c>
      <c r="J1150" s="376">
        <v>0.22896000000014283</v>
      </c>
      <c r="K1150" s="376">
        <v>9.2390999999997803</v>
      </c>
      <c r="L1150" s="376">
        <v>20.269999999999982</v>
      </c>
      <c r="M1150" s="376">
        <v>57.643960000000334</v>
      </c>
      <c r="N1150" s="376">
        <f>N1147-N1149</f>
        <v>96.653960000000552</v>
      </c>
      <c r="O1150" s="376">
        <f>O1147-O1149</f>
        <v>44.393960000000334</v>
      </c>
      <c r="P1150" s="376">
        <f>P1147-P1149</f>
        <v>70.403960000000552</v>
      </c>
      <c r="Q1150" s="376">
        <v>195.51999999999998</v>
      </c>
      <c r="R1150" s="376" t="s">
        <v>1137</v>
      </c>
    </row>
    <row r="1151" spans="1:19" s="50" customFormat="1" ht="14.4" x14ac:dyDescent="0.3">
      <c r="A1151" s="364" t="s">
        <v>22</v>
      </c>
      <c r="B1151" s="377"/>
      <c r="C1151" s="377"/>
      <c r="D1151" s="377"/>
      <c r="E1151" s="377"/>
      <c r="F1151" s="377"/>
      <c r="G1151" s="377"/>
      <c r="H1151" s="377"/>
      <c r="I1151" s="377"/>
      <c r="J1151" s="377"/>
      <c r="K1151" s="377"/>
      <c r="L1151" s="377">
        <v>2020</v>
      </c>
      <c r="M1151" s="377">
        <v>2021</v>
      </c>
      <c r="N1151" s="377">
        <v>2022</v>
      </c>
      <c r="O1151" s="377">
        <v>2023</v>
      </c>
      <c r="P1151" s="377">
        <v>2024</v>
      </c>
      <c r="Q1151" s="377">
        <v>2025</v>
      </c>
      <c r="R1151" s="376"/>
    </row>
    <row r="1152" spans="1:19" s="50" customFormat="1" ht="14.4" x14ac:dyDescent="0.3">
      <c r="A1152" s="379" t="s">
        <v>179</v>
      </c>
      <c r="B1152" s="380"/>
      <c r="C1152" s="380"/>
      <c r="D1152" s="380"/>
      <c r="E1152" s="380"/>
      <c r="F1152" s="380"/>
      <c r="G1152" s="380"/>
      <c r="H1152" s="380"/>
      <c r="I1152" s="380"/>
      <c r="J1152" s="380"/>
      <c r="K1152" s="380"/>
      <c r="L1152" s="380"/>
      <c r="M1152" s="380"/>
      <c r="N1152" s="380"/>
      <c r="O1152" s="380"/>
      <c r="P1152" s="380"/>
      <c r="Q1152" s="380"/>
      <c r="R1152" s="407"/>
    </row>
    <row r="1153" spans="1:18" s="50" customFormat="1" ht="14.4" x14ac:dyDescent="0.3">
      <c r="A1153" s="366" t="s">
        <v>192</v>
      </c>
      <c r="B1153" s="368"/>
      <c r="C1153" s="368"/>
      <c r="D1153" s="368"/>
      <c r="E1153" s="368"/>
      <c r="F1153" s="368"/>
      <c r="G1153" s="368"/>
      <c r="H1153" s="368"/>
      <c r="I1153" s="368"/>
      <c r="J1153" s="368"/>
      <c r="K1153" s="368"/>
      <c r="L1153" s="368"/>
      <c r="M1153" s="368"/>
      <c r="N1153" s="368"/>
      <c r="O1153" s="368"/>
      <c r="P1153" s="368"/>
      <c r="Q1153" s="368"/>
      <c r="R1153" s="55"/>
    </row>
    <row r="1154" spans="1:18" s="50" customFormat="1" ht="14.4" x14ac:dyDescent="0.3">
      <c r="A1154" s="369" t="s">
        <v>193</v>
      </c>
      <c r="B1154" s="339"/>
      <c r="C1154" s="339"/>
      <c r="D1154" s="339"/>
      <c r="E1154" s="339"/>
      <c r="F1154" s="339"/>
      <c r="G1154" s="339"/>
      <c r="H1154" s="339"/>
      <c r="I1154" s="339"/>
      <c r="J1154" s="339"/>
      <c r="K1154" s="339"/>
      <c r="L1154" s="339"/>
      <c r="M1154" s="339"/>
      <c r="N1154" s="339"/>
      <c r="O1154" s="339"/>
      <c r="P1154" s="339"/>
      <c r="Q1154" s="339"/>
      <c r="R1154" s="57"/>
    </row>
    <row r="1155" spans="1:18" s="50" customFormat="1" ht="14.4" x14ac:dyDescent="0.3">
      <c r="A1155" s="369" t="s">
        <v>194</v>
      </c>
      <c r="B1155" s="339"/>
      <c r="C1155" s="339"/>
      <c r="D1155" s="339"/>
      <c r="E1155" s="339"/>
      <c r="F1155" s="339"/>
      <c r="G1155" s="339"/>
      <c r="H1155" s="339"/>
      <c r="I1155" s="339"/>
      <c r="J1155" s="339"/>
      <c r="K1155" s="339"/>
      <c r="L1155" s="339"/>
      <c r="M1155" s="339"/>
      <c r="N1155" s="339"/>
      <c r="O1155" s="339"/>
      <c r="P1155" s="339"/>
      <c r="Q1155" s="339"/>
      <c r="R1155" s="57"/>
    </row>
    <row r="1156" spans="1:18" s="50" customFormat="1" ht="14.4" x14ac:dyDescent="0.3">
      <c r="A1156" s="369" t="s">
        <v>195</v>
      </c>
      <c r="B1156" s="339"/>
      <c r="C1156" s="339"/>
      <c r="D1156" s="339"/>
      <c r="E1156" s="339"/>
      <c r="F1156" s="339"/>
      <c r="G1156" s="339"/>
      <c r="H1156" s="339"/>
      <c r="I1156" s="339"/>
      <c r="J1156" s="339"/>
      <c r="K1156" s="339"/>
      <c r="L1156" s="339"/>
      <c r="M1156" s="339"/>
      <c r="N1156" s="339"/>
      <c r="O1156" s="339"/>
      <c r="P1156" s="339"/>
      <c r="Q1156" s="339"/>
      <c r="R1156" s="57"/>
    </row>
    <row r="1157" spans="1:18" s="50" customFormat="1" ht="14.4" x14ac:dyDescent="0.3">
      <c r="A1157" s="384" t="s">
        <v>230</v>
      </c>
      <c r="B1157" s="370"/>
      <c r="C1157" s="372"/>
      <c r="D1157" s="371"/>
      <c r="E1157" s="339"/>
      <c r="F1157" s="339"/>
      <c r="G1157" s="372"/>
      <c r="H1157" s="339"/>
      <c r="I1157" s="339"/>
      <c r="J1157" s="339"/>
      <c r="K1157" s="339"/>
      <c r="L1157" s="339"/>
      <c r="M1157" s="339"/>
      <c r="N1157" s="339"/>
      <c r="O1157" s="339"/>
      <c r="P1157" s="339"/>
      <c r="Q1157" s="339"/>
      <c r="R1157" s="57"/>
    </row>
    <row r="1158" spans="1:18" s="50" customFormat="1" ht="14.4" x14ac:dyDescent="0.3">
      <c r="A1158" s="384" t="s">
        <v>272</v>
      </c>
      <c r="B1158" s="370"/>
      <c r="C1158" s="372"/>
      <c r="D1158" s="371"/>
      <c r="E1158" s="339"/>
      <c r="F1158" s="339"/>
      <c r="G1158" s="372"/>
      <c r="H1158" s="339"/>
      <c r="I1158" s="339"/>
      <c r="J1158" s="339"/>
      <c r="K1158" s="339"/>
      <c r="L1158" s="339"/>
      <c r="M1158" s="339"/>
      <c r="N1158" s="339"/>
      <c r="O1158" s="339"/>
      <c r="P1158" s="339"/>
      <c r="Q1158" s="339"/>
      <c r="R1158" s="57"/>
    </row>
    <row r="1159" spans="1:18" s="50" customFormat="1" ht="14.4" x14ac:dyDescent="0.3">
      <c r="A1159" s="384" t="s">
        <v>461</v>
      </c>
      <c r="B1159" s="370"/>
      <c r="C1159" s="372"/>
      <c r="D1159" s="371"/>
      <c r="E1159" s="339"/>
      <c r="F1159" s="339"/>
      <c r="G1159" s="372"/>
      <c r="H1159" s="339"/>
      <c r="I1159" s="339"/>
      <c r="J1159" s="339"/>
      <c r="K1159" s="339"/>
      <c r="L1159" s="339"/>
      <c r="M1159" s="339"/>
      <c r="N1159" s="339"/>
      <c r="O1159" s="339"/>
      <c r="P1159" s="339"/>
      <c r="Q1159" s="339"/>
      <c r="R1159" s="57"/>
    </row>
    <row r="1160" spans="1:18" s="50" customFormat="1" ht="14.4" x14ac:dyDescent="0.3">
      <c r="A1160" s="384" t="s">
        <v>643</v>
      </c>
      <c r="B1160" s="370"/>
      <c r="C1160" s="372"/>
      <c r="D1160" s="371"/>
      <c r="E1160" s="339"/>
      <c r="F1160" s="339"/>
      <c r="G1160" s="372"/>
      <c r="H1160" s="339"/>
      <c r="I1160" s="339"/>
      <c r="J1160" s="339"/>
      <c r="K1160" s="339"/>
      <c r="L1160" s="339"/>
      <c r="M1160" s="339"/>
      <c r="N1160" s="339"/>
      <c r="O1160" s="339"/>
      <c r="P1160" s="339"/>
      <c r="Q1160" s="339"/>
      <c r="R1160" s="57"/>
    </row>
    <row r="1161" spans="1:18" s="50" customFormat="1" ht="14.4" x14ac:dyDescent="0.3">
      <c r="A1161" s="384" t="s">
        <v>231</v>
      </c>
      <c r="B1161" s="370"/>
      <c r="C1161" s="372"/>
      <c r="D1161" s="371"/>
      <c r="E1161" s="339"/>
      <c r="F1161" s="339"/>
      <c r="G1161" s="372"/>
      <c r="H1161" s="339"/>
      <c r="I1161" s="339"/>
      <c r="J1161" s="339"/>
      <c r="K1161" s="339"/>
      <c r="L1161" s="339"/>
      <c r="M1161" s="339"/>
      <c r="N1161" s="339"/>
      <c r="O1161" s="339"/>
      <c r="P1161" s="339"/>
      <c r="Q1161" s="339"/>
      <c r="R1161" s="57"/>
    </row>
    <row r="1162" spans="1:18" s="50" customFormat="1" ht="14.4" x14ac:dyDescent="0.3">
      <c r="A1162" s="384" t="s">
        <v>273</v>
      </c>
      <c r="B1162" s="370"/>
      <c r="C1162" s="372"/>
      <c r="D1162" s="371"/>
      <c r="E1162" s="339"/>
      <c r="F1162" s="339"/>
      <c r="G1162" s="372"/>
      <c r="H1162" s="339"/>
      <c r="I1162" s="339"/>
      <c r="J1162" s="339"/>
      <c r="K1162" s="339"/>
      <c r="L1162" s="339"/>
      <c r="M1162" s="339"/>
      <c r="N1162" s="339"/>
      <c r="O1162" s="339"/>
      <c r="P1162" s="339"/>
      <c r="Q1162" s="339"/>
      <c r="R1162" s="57"/>
    </row>
    <row r="1163" spans="1:18" s="50" customFormat="1" ht="14.4" x14ac:dyDescent="0.3">
      <c r="A1163" s="384" t="s">
        <v>462</v>
      </c>
      <c r="B1163" s="370"/>
      <c r="C1163" s="372"/>
      <c r="D1163" s="371"/>
      <c r="E1163" s="339"/>
      <c r="F1163" s="339"/>
      <c r="G1163" s="372"/>
      <c r="H1163" s="339"/>
      <c r="I1163" s="339"/>
      <c r="J1163" s="339"/>
      <c r="K1163" s="339"/>
      <c r="L1163" s="339"/>
      <c r="M1163" s="339"/>
      <c r="N1163" s="339"/>
      <c r="O1163" s="339"/>
      <c r="P1163" s="339"/>
      <c r="Q1163" s="339"/>
      <c r="R1163" s="57"/>
    </row>
    <row r="1164" spans="1:18" s="50" customFormat="1" ht="14.4" x14ac:dyDescent="0.3">
      <c r="A1164" s="384" t="s">
        <v>644</v>
      </c>
      <c r="B1164" s="370"/>
      <c r="C1164" s="372"/>
      <c r="D1164" s="371"/>
      <c r="E1164" s="339"/>
      <c r="F1164" s="339"/>
      <c r="G1164" s="372"/>
      <c r="H1164" s="339"/>
      <c r="I1164" s="339"/>
      <c r="J1164" s="339"/>
      <c r="K1164" s="339"/>
      <c r="L1164" s="339"/>
      <c r="M1164" s="339"/>
      <c r="N1164" s="339"/>
      <c r="O1164" s="339"/>
      <c r="P1164" s="339"/>
      <c r="Q1164" s="339"/>
      <c r="R1164" s="57"/>
    </row>
    <row r="1165" spans="1:18" s="50" customFormat="1" ht="14.4" x14ac:dyDescent="0.3">
      <c r="A1165" s="384" t="s">
        <v>808</v>
      </c>
      <c r="B1165" s="370"/>
      <c r="C1165" s="372"/>
      <c r="D1165" s="371"/>
      <c r="E1165" s="339"/>
      <c r="F1165" s="339"/>
      <c r="G1165" s="372"/>
      <c r="H1165" s="339"/>
      <c r="I1165" s="339"/>
      <c r="J1165" s="339"/>
      <c r="K1165" s="339"/>
      <c r="L1165" s="339"/>
      <c r="M1165" s="339"/>
      <c r="N1165" s="339"/>
      <c r="O1165" s="339"/>
      <c r="P1165" s="339"/>
      <c r="Q1165" s="339"/>
      <c r="R1165" s="57"/>
    </row>
    <row r="1166" spans="1:18" s="50" customFormat="1" ht="14.4" x14ac:dyDescent="0.3">
      <c r="A1166" s="384" t="s">
        <v>1088</v>
      </c>
      <c r="B1166" s="339"/>
      <c r="C1166" s="339"/>
      <c r="D1166" s="339"/>
      <c r="E1166" s="339"/>
      <c r="F1166" s="339"/>
      <c r="G1166" s="372"/>
      <c r="H1166" s="339"/>
      <c r="I1166" s="339"/>
      <c r="J1166" s="339"/>
      <c r="K1166" s="339"/>
      <c r="L1166" s="339"/>
      <c r="M1166" s="339"/>
      <c r="N1166" s="339"/>
      <c r="O1166" s="339"/>
      <c r="P1166" s="339"/>
      <c r="Q1166" s="339"/>
      <c r="R1166" s="57"/>
    </row>
    <row r="1167" spans="1:18" s="411" customFormat="1" ht="13.8" x14ac:dyDescent="0.3">
      <c r="A1167" s="404" t="s">
        <v>1138</v>
      </c>
      <c r="B1167" s="373"/>
      <c r="C1167" s="373"/>
      <c r="D1167" s="373"/>
      <c r="E1167" s="373"/>
      <c r="F1167" s="373"/>
      <c r="G1167" s="408"/>
      <c r="H1167" s="373"/>
      <c r="I1167" s="373"/>
      <c r="J1167" s="373"/>
      <c r="K1167" s="373"/>
      <c r="L1167" s="373"/>
      <c r="M1167" s="373"/>
      <c r="N1167" s="373"/>
      <c r="O1167" s="373"/>
      <c r="P1167" s="373"/>
      <c r="Q1167" s="409"/>
      <c r="R1167" s="410"/>
    </row>
    <row r="1168" spans="1:18" x14ac:dyDescent="0.25">
      <c r="A1168" s="315"/>
      <c r="C1168" s="348"/>
    </row>
    <row r="1169" spans="1:18" x14ac:dyDescent="0.25">
      <c r="A1169" s="412" t="s">
        <v>14</v>
      </c>
      <c r="B1169" s="353" t="s">
        <v>645</v>
      </c>
      <c r="C1169" s="405" t="s">
        <v>15</v>
      </c>
      <c r="D1169" s="339"/>
      <c r="E1169" s="339"/>
      <c r="F1169" s="339"/>
      <c r="G1169" s="339"/>
      <c r="H1169" s="339"/>
      <c r="I1169" s="339"/>
      <c r="J1169" s="339"/>
      <c r="K1169" s="339"/>
      <c r="L1169" s="339"/>
      <c r="M1169" s="339"/>
    </row>
    <row r="1170" spans="1:18" x14ac:dyDescent="0.25">
      <c r="A1170" s="413" t="s">
        <v>16</v>
      </c>
      <c r="B1170" s="414">
        <v>2009</v>
      </c>
      <c r="C1170" s="415">
        <v>2010</v>
      </c>
      <c r="D1170" s="415">
        <v>2011</v>
      </c>
      <c r="E1170" s="415">
        <v>2012</v>
      </c>
      <c r="F1170" s="415">
        <v>2013</v>
      </c>
      <c r="G1170" s="415">
        <v>2014</v>
      </c>
      <c r="H1170" s="414">
        <v>2015</v>
      </c>
      <c r="I1170" s="414">
        <v>2016</v>
      </c>
      <c r="J1170" s="414">
        <v>2017</v>
      </c>
      <c r="K1170" s="414">
        <v>2018</v>
      </c>
      <c r="L1170" s="414">
        <v>2019</v>
      </c>
      <c r="M1170" s="414">
        <v>2020</v>
      </c>
      <c r="N1170" s="414">
        <v>2021</v>
      </c>
      <c r="O1170" s="414">
        <v>2022</v>
      </c>
      <c r="P1170" s="414">
        <v>2023</v>
      </c>
      <c r="Q1170" s="414">
        <v>2024</v>
      </c>
      <c r="R1170" s="414">
        <v>2025</v>
      </c>
    </row>
    <row r="1171" spans="1:18" x14ac:dyDescent="0.25">
      <c r="A1171" s="357" t="s">
        <v>17</v>
      </c>
      <c r="B1171" s="361">
        <v>329.79</v>
      </c>
      <c r="C1171" s="376">
        <v>311.02</v>
      </c>
      <c r="D1171" s="376">
        <v>301.64</v>
      </c>
      <c r="E1171" s="376">
        <v>301.64</v>
      </c>
      <c r="F1171" s="376">
        <v>301.64</v>
      </c>
      <c r="G1171" s="376">
        <v>301.64</v>
      </c>
      <c r="H1171" s="376">
        <v>345.74</v>
      </c>
      <c r="I1171" s="376">
        <v>345.74</v>
      </c>
      <c r="J1171" s="406">
        <v>345.74</v>
      </c>
      <c r="K1171" s="406">
        <v>407.48</v>
      </c>
      <c r="L1171" s="406">
        <v>407.48</v>
      </c>
      <c r="M1171" s="416">
        <v>407.48</v>
      </c>
      <c r="N1171" s="417">
        <v>407.48</v>
      </c>
      <c r="O1171" s="417">
        <v>664.52</v>
      </c>
      <c r="P1171" s="417">
        <v>664.52</v>
      </c>
      <c r="Q1171" s="417">
        <v>664.52</v>
      </c>
      <c r="R1171" s="417">
        <v>664.52</v>
      </c>
    </row>
    <row r="1172" spans="1:18" x14ac:dyDescent="0.25">
      <c r="A1172" s="360" t="s">
        <v>18</v>
      </c>
      <c r="B1172" s="361">
        <v>402.56000000000006</v>
      </c>
      <c r="C1172" s="376">
        <v>431.91</v>
      </c>
      <c r="D1172" s="376">
        <v>308.37</v>
      </c>
      <c r="E1172" s="376">
        <v>306.06</v>
      </c>
      <c r="F1172" s="376">
        <v>304.12</v>
      </c>
      <c r="G1172" s="376">
        <v>303.5</v>
      </c>
      <c r="H1172" s="376">
        <v>346.61</v>
      </c>
      <c r="I1172" s="376">
        <v>346.83000000000004</v>
      </c>
      <c r="J1172" s="406">
        <v>347.08035600000011</v>
      </c>
      <c r="K1172" s="406">
        <v>408.73035600000014</v>
      </c>
      <c r="L1172" s="406">
        <v>409.20815600000014</v>
      </c>
      <c r="M1172" s="416">
        <v>410.39696779704036</v>
      </c>
      <c r="N1172" s="417">
        <v>410.3</v>
      </c>
      <c r="O1172" s="417">
        <f>O1171+N1175</f>
        <v>665.25</v>
      </c>
      <c r="P1172" s="417">
        <f>P1171+O1175</f>
        <v>671.97</v>
      </c>
      <c r="Q1172" s="417">
        <v>711.8</v>
      </c>
      <c r="R1172" s="417">
        <v>683.66424833498388</v>
      </c>
    </row>
    <row r="1173" spans="1:18" x14ac:dyDescent="0.25">
      <c r="A1173" s="360" t="s">
        <v>19</v>
      </c>
      <c r="B1173" s="361"/>
      <c r="C1173" s="376"/>
      <c r="D1173" s="376"/>
      <c r="E1173" s="376"/>
      <c r="F1173" s="376"/>
      <c r="G1173" s="376"/>
      <c r="H1173" s="376"/>
      <c r="I1173" s="376"/>
      <c r="J1173" s="376"/>
      <c r="K1173" s="376"/>
      <c r="L1173" s="376"/>
      <c r="M1173" s="417"/>
      <c r="N1173" s="417"/>
      <c r="O1173" s="417"/>
      <c r="P1173" s="417"/>
      <c r="Q1173" s="417"/>
      <c r="R1173" s="417"/>
    </row>
    <row r="1174" spans="1:18" x14ac:dyDescent="0.25">
      <c r="A1174" s="360" t="s">
        <v>20</v>
      </c>
      <c r="B1174" s="361">
        <v>281.67</v>
      </c>
      <c r="C1174" s="376">
        <v>425.18</v>
      </c>
      <c r="D1174" s="376">
        <v>303.95</v>
      </c>
      <c r="E1174" s="376">
        <v>303.58</v>
      </c>
      <c r="F1174" s="376">
        <v>302.26</v>
      </c>
      <c r="G1174" s="376">
        <v>302.63</v>
      </c>
      <c r="H1174" s="376">
        <v>345.52</v>
      </c>
      <c r="I1174" s="376">
        <v>345.48964399999994</v>
      </c>
      <c r="J1174" s="376">
        <v>345.83</v>
      </c>
      <c r="K1174" s="376">
        <v>407.00220000000002</v>
      </c>
      <c r="L1174" s="376">
        <v>406.2911882029598</v>
      </c>
      <c r="M1174" s="417">
        <v>407.58140000000009</v>
      </c>
      <c r="N1174" s="417">
        <v>409.57</v>
      </c>
      <c r="O1174" s="417">
        <v>657.8</v>
      </c>
      <c r="P1174" s="417">
        <v>624.67999999999995</v>
      </c>
      <c r="Q1174" s="417">
        <v>692.65575166501606</v>
      </c>
      <c r="R1174" s="417" t="s">
        <v>1137</v>
      </c>
    </row>
    <row r="1175" spans="1:18" x14ac:dyDescent="0.25">
      <c r="A1175" s="360" t="s">
        <v>21</v>
      </c>
      <c r="B1175" s="361">
        <v>120.89000000000004</v>
      </c>
      <c r="C1175" s="376">
        <v>6.7300000000000182</v>
      </c>
      <c r="D1175" s="376">
        <v>4.4200000000000159</v>
      </c>
      <c r="E1175" s="376">
        <v>2.4800000000000182</v>
      </c>
      <c r="F1175" s="376">
        <v>1.8600000000000136</v>
      </c>
      <c r="G1175" s="376">
        <v>0.87000000000000455</v>
      </c>
      <c r="H1175" s="376">
        <v>1.0900000000000318</v>
      </c>
      <c r="I1175" s="376">
        <v>1.3403560000000994</v>
      </c>
      <c r="J1175" s="376">
        <v>1.2503560000001244</v>
      </c>
      <c r="K1175" s="376">
        <v>1.7281560000001264</v>
      </c>
      <c r="L1175" s="376">
        <v>2.9169677970403427</v>
      </c>
      <c r="M1175" s="417">
        <v>2.8155677970402735</v>
      </c>
      <c r="N1175" s="417">
        <f>N1172-N1174</f>
        <v>0.73000000000001819</v>
      </c>
      <c r="O1175" s="417">
        <f>O1172-O1174</f>
        <v>7.4500000000000455</v>
      </c>
      <c r="P1175" s="417">
        <v>47.28</v>
      </c>
      <c r="Q1175" s="417">
        <v>19.144248334983899</v>
      </c>
      <c r="R1175" s="417" t="s">
        <v>1137</v>
      </c>
    </row>
    <row r="1176" spans="1:18" x14ac:dyDescent="0.25">
      <c r="A1176" s="364" t="s">
        <v>22</v>
      </c>
      <c r="B1176" s="377"/>
      <c r="C1176" s="377"/>
      <c r="D1176" s="377"/>
      <c r="E1176" s="377"/>
      <c r="F1176" s="377"/>
      <c r="G1176" s="377"/>
      <c r="H1176" s="377"/>
      <c r="I1176" s="377"/>
      <c r="J1176" s="377"/>
      <c r="K1176" s="377">
        <v>2019</v>
      </c>
      <c r="L1176" s="377">
        <v>2020</v>
      </c>
      <c r="M1176" s="377">
        <v>2021</v>
      </c>
      <c r="N1176" s="377">
        <v>2022</v>
      </c>
      <c r="O1176" s="377">
        <v>2023</v>
      </c>
      <c r="P1176" s="377">
        <v>2024</v>
      </c>
      <c r="Q1176" s="417">
        <v>2025</v>
      </c>
      <c r="R1176" s="417">
        <v>2026</v>
      </c>
    </row>
    <row r="1177" spans="1:18" x14ac:dyDescent="0.25">
      <c r="A1177" s="379" t="s">
        <v>179</v>
      </c>
      <c r="B1177" s="380"/>
      <c r="C1177" s="380"/>
      <c r="D1177" s="380"/>
      <c r="E1177" s="380"/>
      <c r="F1177" s="380"/>
      <c r="G1177" s="380"/>
      <c r="H1177" s="380"/>
      <c r="I1177" s="380"/>
      <c r="J1177" s="380"/>
      <c r="K1177" s="380"/>
      <c r="L1177" s="380"/>
      <c r="M1177" s="380"/>
      <c r="N1177" s="380"/>
      <c r="O1177" s="380"/>
      <c r="P1177" s="380"/>
      <c r="Q1177" s="380"/>
      <c r="R1177" s="88"/>
    </row>
    <row r="1178" spans="1:18" x14ac:dyDescent="0.25">
      <c r="A1178" s="366" t="s">
        <v>210</v>
      </c>
      <c r="B1178" s="368"/>
      <c r="C1178" s="368"/>
      <c r="D1178" s="368"/>
      <c r="E1178" s="368"/>
      <c r="F1178" s="368"/>
      <c r="G1178" s="368"/>
      <c r="H1178" s="368"/>
      <c r="I1178" s="368"/>
      <c r="J1178" s="368"/>
      <c r="K1178" s="368"/>
      <c r="L1178" s="368"/>
      <c r="M1178" s="368"/>
      <c r="N1178" s="368"/>
      <c r="O1178" s="368"/>
      <c r="P1178" s="368"/>
      <c r="Q1178" s="368"/>
      <c r="R1178" s="63"/>
    </row>
    <row r="1179" spans="1:18" x14ac:dyDescent="0.25">
      <c r="A1179" s="384" t="s">
        <v>232</v>
      </c>
      <c r="B1179" s="339"/>
      <c r="C1179" s="339"/>
      <c r="D1179" s="339"/>
      <c r="E1179" s="339"/>
      <c r="F1179" s="339"/>
      <c r="G1179" s="339"/>
      <c r="H1179" s="339"/>
      <c r="I1179" s="339"/>
      <c r="J1179" s="339"/>
      <c r="K1179" s="339"/>
      <c r="L1179" s="339"/>
      <c r="M1179" s="339"/>
      <c r="N1179" s="339"/>
      <c r="O1179" s="339"/>
      <c r="P1179" s="339"/>
      <c r="Q1179" s="339"/>
      <c r="R1179" s="64"/>
    </row>
    <row r="1180" spans="1:18" x14ac:dyDescent="0.25">
      <c r="A1180" s="384" t="s">
        <v>274</v>
      </c>
      <c r="B1180" s="339"/>
      <c r="C1180" s="339"/>
      <c r="D1180" s="339"/>
      <c r="E1180" s="339"/>
      <c r="F1180" s="339"/>
      <c r="G1180" s="339"/>
      <c r="H1180" s="339"/>
      <c r="I1180" s="339"/>
      <c r="J1180" s="339"/>
      <c r="K1180" s="339"/>
      <c r="L1180" s="339"/>
      <c r="M1180" s="339"/>
      <c r="N1180" s="339"/>
      <c r="O1180" s="339"/>
      <c r="P1180" s="339"/>
      <c r="Q1180" s="339"/>
      <c r="R1180" s="64"/>
    </row>
    <row r="1181" spans="1:18" x14ac:dyDescent="0.25">
      <c r="A1181" s="384" t="s">
        <v>275</v>
      </c>
      <c r="B1181" s="339"/>
      <c r="C1181" s="339"/>
      <c r="D1181" s="339"/>
      <c r="E1181" s="339"/>
      <c r="F1181" s="339"/>
      <c r="G1181" s="339"/>
      <c r="H1181" s="339"/>
      <c r="I1181" s="339"/>
      <c r="J1181" s="339"/>
      <c r="K1181" s="339"/>
      <c r="L1181" s="339"/>
      <c r="M1181" s="339"/>
      <c r="N1181" s="339"/>
      <c r="O1181" s="339"/>
      <c r="P1181" s="339"/>
      <c r="Q1181" s="339"/>
      <c r="R1181" s="64"/>
    </row>
    <row r="1182" spans="1:18" x14ac:dyDescent="0.25">
      <c r="A1182" s="384" t="s">
        <v>276</v>
      </c>
      <c r="B1182" s="339"/>
      <c r="C1182" s="339"/>
      <c r="D1182" s="339"/>
      <c r="E1182" s="339"/>
      <c r="F1182" s="339"/>
      <c r="G1182" s="339"/>
      <c r="H1182" s="339"/>
      <c r="I1182" s="339"/>
      <c r="J1182" s="339"/>
      <c r="K1182" s="339"/>
      <c r="L1182" s="339"/>
      <c r="M1182" s="339"/>
      <c r="N1182" s="339"/>
      <c r="O1182" s="339"/>
      <c r="P1182" s="339"/>
      <c r="Q1182" s="339"/>
      <c r="R1182" s="64"/>
    </row>
    <row r="1183" spans="1:18" x14ac:dyDescent="0.25">
      <c r="A1183" s="384" t="s">
        <v>463</v>
      </c>
      <c r="B1183" s="339"/>
      <c r="C1183" s="339"/>
      <c r="D1183" s="339"/>
      <c r="E1183" s="339"/>
      <c r="F1183" s="339"/>
      <c r="G1183" s="339"/>
      <c r="H1183" s="339"/>
      <c r="I1183" s="339"/>
      <c r="J1183" s="339"/>
      <c r="K1183" s="339"/>
      <c r="L1183" s="339"/>
      <c r="M1183" s="339"/>
      <c r="N1183" s="339"/>
      <c r="O1183" s="339"/>
      <c r="P1183" s="339"/>
      <c r="Q1183" s="339"/>
      <c r="R1183" s="64"/>
    </row>
    <row r="1184" spans="1:18" x14ac:dyDescent="0.25">
      <c r="A1184" s="384" t="s">
        <v>464</v>
      </c>
      <c r="B1184" s="339"/>
      <c r="C1184" s="339"/>
      <c r="D1184" s="339"/>
      <c r="E1184" s="339"/>
      <c r="F1184" s="339"/>
      <c r="G1184" s="339"/>
      <c r="H1184" s="339"/>
      <c r="I1184" s="339"/>
      <c r="J1184" s="339"/>
      <c r="K1184" s="339"/>
      <c r="L1184" s="339"/>
      <c r="M1184" s="339"/>
      <c r="N1184" s="339"/>
      <c r="O1184" s="339"/>
      <c r="P1184" s="339"/>
      <c r="Q1184" s="339"/>
      <c r="R1184" s="64"/>
    </row>
    <row r="1185" spans="1:19" x14ac:dyDescent="0.25">
      <c r="A1185" s="384" t="s">
        <v>646</v>
      </c>
      <c r="B1185" s="339"/>
      <c r="C1185" s="339"/>
      <c r="D1185" s="339"/>
      <c r="E1185" s="339"/>
      <c r="F1185" s="339"/>
      <c r="G1185" s="339"/>
      <c r="H1185" s="339"/>
      <c r="I1185" s="339"/>
      <c r="J1185" s="339"/>
      <c r="K1185" s="339"/>
      <c r="L1185" s="339"/>
      <c r="M1185" s="339"/>
      <c r="N1185" s="339"/>
      <c r="O1185" s="339"/>
      <c r="P1185" s="339"/>
      <c r="Q1185" s="339"/>
      <c r="R1185" s="64"/>
    </row>
    <row r="1186" spans="1:19" x14ac:dyDescent="0.25">
      <c r="A1186" s="384" t="s">
        <v>809</v>
      </c>
      <c r="B1186" s="339"/>
      <c r="C1186" s="339"/>
      <c r="D1186" s="339"/>
      <c r="E1186" s="339"/>
      <c r="F1186" s="339"/>
      <c r="G1186" s="339"/>
      <c r="H1186" s="339"/>
      <c r="I1186" s="339"/>
      <c r="J1186" s="339"/>
      <c r="K1186" s="339"/>
      <c r="L1186" s="339"/>
      <c r="M1186" s="339"/>
      <c r="N1186" s="339"/>
      <c r="O1186" s="339"/>
      <c r="P1186" s="339"/>
      <c r="Q1186" s="339"/>
      <c r="R1186" s="64"/>
    </row>
    <row r="1187" spans="1:19" x14ac:dyDescent="0.25">
      <c r="A1187" s="384" t="s">
        <v>810</v>
      </c>
      <c r="B1187" s="339"/>
      <c r="C1187" s="339"/>
      <c r="D1187" s="339"/>
      <c r="E1187" s="339"/>
      <c r="F1187" s="339"/>
      <c r="G1187" s="339"/>
      <c r="H1187" s="339"/>
      <c r="I1187" s="339"/>
      <c r="J1187" s="339"/>
      <c r="K1187" s="339"/>
      <c r="L1187" s="339"/>
      <c r="M1187" s="339"/>
      <c r="N1187" s="339"/>
      <c r="O1187" s="339"/>
      <c r="P1187" s="339"/>
      <c r="Q1187" s="339"/>
      <c r="R1187" s="64"/>
    </row>
    <row r="1188" spans="1:19" x14ac:dyDescent="0.25">
      <c r="A1188" s="384" t="s">
        <v>1091</v>
      </c>
      <c r="B1188" s="339"/>
      <c r="C1188" s="339"/>
      <c r="D1188" s="339"/>
      <c r="E1188" s="339"/>
      <c r="F1188" s="339"/>
      <c r="G1188" s="339"/>
      <c r="H1188" s="339"/>
      <c r="I1188" s="339"/>
      <c r="J1188" s="339"/>
      <c r="K1188" s="339"/>
      <c r="L1188" s="339"/>
      <c r="M1188" s="339"/>
      <c r="N1188" s="339"/>
      <c r="O1188" s="339"/>
      <c r="P1188" s="339"/>
      <c r="Q1188" s="339"/>
      <c r="R1188" s="64"/>
    </row>
    <row r="1189" spans="1:19" s="411" customFormat="1" ht="13.8" x14ac:dyDescent="0.3">
      <c r="A1189" s="404" t="s">
        <v>1139</v>
      </c>
      <c r="B1189" s="373"/>
      <c r="C1189" s="373"/>
      <c r="D1189" s="373"/>
      <c r="E1189" s="373"/>
      <c r="F1189" s="373"/>
      <c r="G1189" s="373"/>
      <c r="H1189" s="373"/>
      <c r="I1189" s="373"/>
      <c r="J1189" s="373"/>
      <c r="K1189" s="373"/>
      <c r="L1189" s="373"/>
      <c r="M1189" s="373"/>
      <c r="N1189" s="373"/>
      <c r="O1189" s="373"/>
      <c r="P1189" s="373"/>
      <c r="Q1189" s="409"/>
      <c r="R1189" s="410"/>
    </row>
    <row r="1190" spans="1:19" x14ac:dyDescent="0.25">
      <c r="A1190" s="315"/>
      <c r="C1190" s="348"/>
    </row>
    <row r="1191" spans="1:19" x14ac:dyDescent="0.25">
      <c r="A1191" s="352" t="s">
        <v>14</v>
      </c>
      <c r="B1191" s="353" t="s">
        <v>66</v>
      </c>
      <c r="C1191" s="405" t="s">
        <v>15</v>
      </c>
      <c r="D1191" s="339"/>
      <c r="E1191" s="339"/>
      <c r="F1191" s="339"/>
      <c r="G1191" s="339"/>
      <c r="H1191" s="339"/>
      <c r="I1191" s="339"/>
      <c r="J1191" s="339"/>
      <c r="K1191" s="339"/>
      <c r="L1191" s="339"/>
      <c r="M1191" s="339"/>
      <c r="N1191" s="339"/>
      <c r="O1191" s="339"/>
      <c r="P1191" s="339"/>
    </row>
    <row r="1192" spans="1:19" x14ac:dyDescent="0.25">
      <c r="A1192" s="360" t="s">
        <v>16</v>
      </c>
      <c r="B1192" s="359">
        <v>2009</v>
      </c>
      <c r="C1192" s="359">
        <v>2010</v>
      </c>
      <c r="D1192" s="359">
        <v>2011</v>
      </c>
      <c r="E1192" s="359">
        <v>2012</v>
      </c>
      <c r="F1192" s="359">
        <v>2013</v>
      </c>
      <c r="G1192" s="359">
        <v>2014</v>
      </c>
      <c r="H1192" s="359">
        <v>2015</v>
      </c>
      <c r="I1192" s="359">
        <v>2016</v>
      </c>
      <c r="J1192" s="359">
        <v>2017</v>
      </c>
      <c r="K1192" s="359">
        <v>2018</v>
      </c>
      <c r="L1192" s="359">
        <v>2019</v>
      </c>
      <c r="M1192" s="359">
        <v>2020</v>
      </c>
      <c r="N1192" s="359">
        <v>2021</v>
      </c>
      <c r="O1192" s="359">
        <v>2022</v>
      </c>
      <c r="P1192" s="359">
        <v>2023</v>
      </c>
      <c r="Q1192" s="359">
        <v>2024</v>
      </c>
      <c r="R1192" s="359">
        <v>2025</v>
      </c>
      <c r="S1192" s="359">
        <v>2026</v>
      </c>
    </row>
    <row r="1193" spans="1:19" x14ac:dyDescent="0.25">
      <c r="A1193" s="360" t="s">
        <v>17</v>
      </c>
      <c r="B1193" s="376">
        <v>25000</v>
      </c>
      <c r="C1193" s="376">
        <v>25000</v>
      </c>
      <c r="D1193" s="376">
        <v>23611</v>
      </c>
      <c r="E1193" s="376">
        <v>23611</v>
      </c>
      <c r="F1193" s="376">
        <v>23611</v>
      </c>
      <c r="G1193" s="376">
        <v>23611</v>
      </c>
      <c r="H1193" s="376">
        <v>23611</v>
      </c>
      <c r="I1193" s="376">
        <v>17696</v>
      </c>
      <c r="J1193" s="406">
        <v>17696</v>
      </c>
      <c r="K1193" s="406">
        <v>17696</v>
      </c>
      <c r="L1193" s="406">
        <v>17696</v>
      </c>
      <c r="M1193" s="406">
        <v>13979.84</v>
      </c>
      <c r="N1193" s="406">
        <v>13756.162560000001</v>
      </c>
      <c r="O1193" s="406">
        <v>13868.00128</v>
      </c>
      <c r="P1193" s="406">
        <v>13868.00128</v>
      </c>
      <c r="Q1193" s="406">
        <v>13868.00128</v>
      </c>
      <c r="R1193" s="406">
        <v>13865</v>
      </c>
      <c r="S1193" s="406">
        <v>13865.86</v>
      </c>
    </row>
    <row r="1194" spans="1:19" x14ac:dyDescent="0.25">
      <c r="A1194" s="360" t="s">
        <v>18</v>
      </c>
      <c r="B1194" s="376">
        <v>30500</v>
      </c>
      <c r="C1194" s="376">
        <v>29700</v>
      </c>
      <c r="D1194" s="376">
        <v>26894.3</v>
      </c>
      <c r="E1194" s="376">
        <v>27624.3</v>
      </c>
      <c r="F1194" s="376">
        <v>27624.3</v>
      </c>
      <c r="G1194" s="376">
        <v>27624.3</v>
      </c>
      <c r="H1194" s="376">
        <v>27624.3</v>
      </c>
      <c r="I1194" s="376">
        <v>20167.650000000001</v>
      </c>
      <c r="J1194" s="406">
        <v>19280.400000000001</v>
      </c>
      <c r="K1194" s="406">
        <v>15415.88</v>
      </c>
      <c r="L1194" s="406">
        <v>19280.400000000001</v>
      </c>
      <c r="M1194" s="406">
        <v>13079.84</v>
      </c>
      <c r="N1194" s="406">
        <f>N1193+0.1*L1193-600-300</f>
        <v>14625.762560000001</v>
      </c>
      <c r="O1194" s="406">
        <f>O1193+0.1*M1193-600-300</f>
        <v>14365.985280000001</v>
      </c>
      <c r="P1194" s="406">
        <f>P1193+0.1*N1193-600-300</f>
        <v>14343.617536000002</v>
      </c>
      <c r="Q1194" s="406">
        <f>Q1193+0.1*O1193-600-300</f>
        <v>14354.801408000001</v>
      </c>
      <c r="R1194" s="406">
        <f>R1193+P1197-350</f>
        <v>14499.017536000001</v>
      </c>
      <c r="S1194" s="406">
        <f>S1193+Q1197-350</f>
        <v>16834.661408</v>
      </c>
    </row>
    <row r="1195" spans="1:19" x14ac:dyDescent="0.25">
      <c r="A1195" s="360" t="s">
        <v>19</v>
      </c>
      <c r="B1195" s="376"/>
      <c r="C1195" s="376"/>
      <c r="D1195" s="376"/>
      <c r="E1195" s="376"/>
      <c r="F1195" s="376"/>
      <c r="G1195" s="376"/>
      <c r="H1195" s="376"/>
      <c r="I1195" s="376"/>
      <c r="J1195" s="376"/>
      <c r="K1195" s="376"/>
      <c r="L1195" s="376"/>
      <c r="M1195" s="376"/>
      <c r="N1195" s="376"/>
      <c r="O1195" s="376"/>
      <c r="P1195" s="376"/>
      <c r="Q1195" s="376"/>
      <c r="R1195" s="376"/>
      <c r="S1195" s="376"/>
    </row>
    <row r="1196" spans="1:19" x14ac:dyDescent="0.25">
      <c r="A1196" s="360" t="s">
        <v>20</v>
      </c>
      <c r="B1196" s="376">
        <v>13127.78969</v>
      </c>
      <c r="C1196" s="376">
        <v>12919.833529999998</v>
      </c>
      <c r="D1196" s="376">
        <v>11930</v>
      </c>
      <c r="E1196" s="376">
        <v>15971.9</v>
      </c>
      <c r="F1196" s="376">
        <v>14342</v>
      </c>
      <c r="G1196" s="376">
        <v>12595.2</v>
      </c>
      <c r="H1196" s="376">
        <v>10179.799999999999</v>
      </c>
      <c r="I1196" s="376">
        <v>11238</v>
      </c>
      <c r="J1196" s="376">
        <v>9872.2000000000007</v>
      </c>
      <c r="K1196" s="376">
        <v>9849.5910000000003</v>
      </c>
      <c r="L1196" s="376">
        <v>9933.1844890000011</v>
      </c>
      <c r="M1196" s="376">
        <v>9294.3000000000011</v>
      </c>
      <c r="N1196" s="376">
        <v>11226.4</v>
      </c>
      <c r="O1196" s="376">
        <v>12374.5</v>
      </c>
      <c r="P1196" s="376">
        <v>13359.6</v>
      </c>
      <c r="Q1196" s="376">
        <v>11036</v>
      </c>
      <c r="R1196" s="376"/>
      <c r="S1196" s="376"/>
    </row>
    <row r="1197" spans="1:19" x14ac:dyDescent="0.25">
      <c r="A1197" s="360" t="s">
        <v>21</v>
      </c>
      <c r="B1197" s="376">
        <v>17372.210310000002</v>
      </c>
      <c r="C1197" s="376">
        <v>16780.166470000004</v>
      </c>
      <c r="D1197" s="376">
        <v>14964.3</v>
      </c>
      <c r="E1197" s="376">
        <v>11652.4</v>
      </c>
      <c r="F1197" s="376">
        <v>13282.3</v>
      </c>
      <c r="G1197" s="376">
        <v>15029.099999999999</v>
      </c>
      <c r="H1197" s="376">
        <v>17444.5</v>
      </c>
      <c r="I1197" s="376">
        <v>8929.6500000000015</v>
      </c>
      <c r="J1197" s="376">
        <v>9408.2000000000007</v>
      </c>
      <c r="K1197" s="376">
        <v>5566.2889999999989</v>
      </c>
      <c r="L1197" s="376">
        <v>9347.2155110000003</v>
      </c>
      <c r="M1197" s="376">
        <f>M1194-M1196</f>
        <v>3785.5399999999991</v>
      </c>
      <c r="N1197" s="376">
        <f>N1194-N1196</f>
        <v>3399.3625600000014</v>
      </c>
      <c r="O1197" s="376">
        <f>O1194-O1196</f>
        <v>1991.4852800000008</v>
      </c>
      <c r="P1197" s="376">
        <f>P1194-P1196</f>
        <v>984.0175360000012</v>
      </c>
      <c r="Q1197" s="376">
        <f>Q1194-Q1196</f>
        <v>3318.8014080000012</v>
      </c>
      <c r="R1197" s="376"/>
      <c r="S1197" s="376"/>
    </row>
    <row r="1198" spans="1:19" x14ac:dyDescent="0.25">
      <c r="A1198" s="364" t="s">
        <v>22</v>
      </c>
      <c r="B1198" s="377"/>
      <c r="C1198" s="377"/>
      <c r="D1198" s="377"/>
      <c r="E1198" s="377"/>
      <c r="F1198" s="377"/>
      <c r="G1198" s="377"/>
      <c r="H1198" s="377"/>
      <c r="I1198" s="377"/>
      <c r="J1198" s="377">
        <v>2019</v>
      </c>
      <c r="K1198" s="377">
        <v>2020</v>
      </c>
      <c r="L1198" s="377">
        <v>2021</v>
      </c>
      <c r="M1198" s="377">
        <v>2022</v>
      </c>
      <c r="N1198" s="377">
        <v>2023</v>
      </c>
      <c r="O1198" s="377">
        <v>2024</v>
      </c>
      <c r="P1198" s="377">
        <v>2025</v>
      </c>
      <c r="Q1198" s="377">
        <v>2026</v>
      </c>
      <c r="R1198" s="377">
        <v>2027</v>
      </c>
      <c r="S1198" s="377">
        <v>2028</v>
      </c>
    </row>
    <row r="1199" spans="1:19" x14ac:dyDescent="0.25">
      <c r="A1199" s="366" t="s">
        <v>179</v>
      </c>
      <c r="B1199" s="368"/>
      <c r="C1199" s="368"/>
      <c r="D1199" s="368"/>
      <c r="E1199" s="368"/>
      <c r="F1199" s="368"/>
      <c r="G1199" s="368"/>
      <c r="H1199" s="368"/>
      <c r="I1199" s="368"/>
      <c r="J1199" s="368"/>
      <c r="K1199" s="368"/>
      <c r="L1199" s="368"/>
      <c r="M1199" s="368"/>
      <c r="N1199" s="368"/>
      <c r="O1199" s="368"/>
      <c r="P1199" s="368"/>
      <c r="Q1199" s="368"/>
      <c r="R1199" s="368"/>
      <c r="S1199" s="63"/>
    </row>
    <row r="1200" spans="1:19" x14ac:dyDescent="0.25">
      <c r="A1200" s="366" t="s">
        <v>196</v>
      </c>
      <c r="B1200" s="368"/>
      <c r="C1200" s="368"/>
      <c r="D1200" s="368"/>
      <c r="E1200" s="368"/>
      <c r="F1200" s="368"/>
      <c r="G1200" s="368"/>
      <c r="H1200" s="368"/>
      <c r="I1200" s="368"/>
      <c r="J1200" s="368"/>
      <c r="K1200" s="368"/>
      <c r="L1200" s="368"/>
      <c r="M1200" s="368"/>
      <c r="N1200" s="368"/>
      <c r="O1200" s="368"/>
      <c r="P1200" s="368"/>
      <c r="Q1200" s="368"/>
      <c r="R1200" s="368"/>
      <c r="S1200" s="63"/>
    </row>
    <row r="1201" spans="1:19" x14ac:dyDescent="0.25">
      <c r="A1201" s="369" t="s">
        <v>197</v>
      </c>
      <c r="B1201" s="339"/>
      <c r="C1201" s="339"/>
      <c r="D1201" s="339"/>
      <c r="E1201" s="339"/>
      <c r="F1201" s="339"/>
      <c r="G1201" s="339"/>
      <c r="H1201" s="339"/>
      <c r="I1201" s="339"/>
      <c r="J1201" s="339"/>
      <c r="K1201" s="339"/>
      <c r="L1201" s="339"/>
      <c r="M1201" s="339"/>
      <c r="N1201" s="339"/>
      <c r="O1201" s="339"/>
      <c r="P1201" s="339"/>
      <c r="Q1201" s="339"/>
      <c r="R1201" s="339"/>
      <c r="S1201" s="64"/>
    </row>
    <row r="1202" spans="1:19" x14ac:dyDescent="0.25">
      <c r="A1202" s="369" t="s">
        <v>235</v>
      </c>
      <c r="B1202" s="339"/>
      <c r="C1202" s="339"/>
      <c r="D1202" s="339"/>
      <c r="E1202" s="339"/>
      <c r="F1202" s="339"/>
      <c r="G1202" s="339"/>
      <c r="H1202" s="339"/>
      <c r="I1202" s="339"/>
      <c r="J1202" s="339"/>
      <c r="K1202" s="339"/>
      <c r="L1202" s="339"/>
      <c r="M1202" s="339"/>
      <c r="N1202" s="339"/>
      <c r="O1202" s="339"/>
      <c r="P1202" s="339"/>
      <c r="Q1202" s="339"/>
      <c r="R1202" s="339"/>
      <c r="S1202" s="64"/>
    </row>
    <row r="1203" spans="1:19" x14ac:dyDescent="0.25">
      <c r="A1203" s="369" t="s">
        <v>236</v>
      </c>
      <c r="B1203" s="370"/>
      <c r="C1203" s="372"/>
      <c r="D1203" s="371"/>
      <c r="E1203" s="339"/>
      <c r="F1203" s="339"/>
      <c r="G1203" s="372"/>
      <c r="H1203" s="339"/>
      <c r="I1203" s="339"/>
      <c r="J1203" s="339"/>
      <c r="K1203" s="339"/>
      <c r="L1203" s="339"/>
      <c r="M1203" s="339"/>
      <c r="N1203" s="339"/>
      <c r="O1203" s="339"/>
      <c r="P1203" s="339"/>
      <c r="Q1203" s="339"/>
      <c r="R1203" s="339"/>
      <c r="S1203" s="64"/>
    </row>
    <row r="1204" spans="1:19" x14ac:dyDescent="0.25">
      <c r="A1204" s="369" t="s">
        <v>237</v>
      </c>
      <c r="B1204" s="339"/>
      <c r="C1204" s="339"/>
      <c r="D1204" s="339"/>
      <c r="E1204" s="339"/>
      <c r="F1204" s="339"/>
      <c r="G1204" s="400"/>
      <c r="H1204" s="339"/>
      <c r="I1204" s="339"/>
      <c r="J1204" s="339"/>
      <c r="K1204" s="339"/>
      <c r="L1204" s="339"/>
      <c r="M1204" s="339"/>
      <c r="N1204" s="339"/>
      <c r="O1204" s="339"/>
      <c r="P1204" s="339"/>
      <c r="Q1204" s="339"/>
      <c r="R1204" s="339"/>
      <c r="S1204" s="64"/>
    </row>
    <row r="1205" spans="1:19" x14ac:dyDescent="0.25">
      <c r="A1205" s="369" t="s">
        <v>278</v>
      </c>
      <c r="B1205" s="339"/>
      <c r="C1205" s="339"/>
      <c r="D1205" s="339"/>
      <c r="E1205" s="339"/>
      <c r="F1205" s="339"/>
      <c r="G1205" s="339"/>
      <c r="H1205" s="339"/>
      <c r="I1205" s="339"/>
      <c r="J1205" s="339"/>
      <c r="K1205" s="339"/>
      <c r="L1205" s="339"/>
      <c r="M1205" s="339"/>
      <c r="N1205" s="339"/>
      <c r="O1205" s="339"/>
      <c r="P1205" s="339"/>
      <c r="Q1205" s="339"/>
      <c r="R1205" s="339"/>
      <c r="S1205" s="64"/>
    </row>
    <row r="1206" spans="1:19" x14ac:dyDescent="0.25">
      <c r="A1206" s="369" t="s">
        <v>238</v>
      </c>
      <c r="B1206" s="339"/>
      <c r="C1206" s="339"/>
      <c r="D1206" s="339"/>
      <c r="E1206" s="339"/>
      <c r="F1206" s="339"/>
      <c r="G1206" s="400"/>
      <c r="H1206" s="339"/>
      <c r="I1206" s="339"/>
      <c r="J1206" s="339"/>
      <c r="K1206" s="339"/>
      <c r="L1206" s="339"/>
      <c r="M1206" s="339"/>
      <c r="N1206" s="339"/>
      <c r="O1206" s="339"/>
      <c r="P1206" s="339"/>
      <c r="Q1206" s="339"/>
      <c r="R1206" s="339"/>
      <c r="S1206" s="64"/>
    </row>
    <row r="1207" spans="1:19" x14ac:dyDescent="0.25">
      <c r="A1207" s="369" t="s">
        <v>233</v>
      </c>
      <c r="B1207" s="339"/>
      <c r="C1207" s="339"/>
      <c r="D1207" s="339"/>
      <c r="E1207" s="339"/>
      <c r="F1207" s="339"/>
      <c r="G1207" s="400"/>
      <c r="H1207" s="339"/>
      <c r="I1207" s="339"/>
      <c r="J1207" s="339"/>
      <c r="K1207" s="339"/>
      <c r="L1207" s="339"/>
      <c r="M1207" s="339"/>
      <c r="N1207" s="339"/>
      <c r="O1207" s="339"/>
      <c r="P1207" s="339"/>
      <c r="Q1207" s="339"/>
      <c r="R1207" s="339"/>
      <c r="S1207" s="64"/>
    </row>
    <row r="1208" spans="1:19" x14ac:dyDescent="0.25">
      <c r="A1208" s="384" t="s">
        <v>234</v>
      </c>
      <c r="B1208" s="339"/>
      <c r="C1208" s="339"/>
      <c r="D1208" s="339"/>
      <c r="E1208" s="339"/>
      <c r="F1208" s="339"/>
      <c r="G1208" s="339"/>
      <c r="H1208" s="339"/>
      <c r="I1208" s="339"/>
      <c r="J1208" s="339"/>
      <c r="K1208" s="339"/>
      <c r="L1208" s="339"/>
      <c r="M1208" s="339"/>
      <c r="N1208" s="339"/>
      <c r="O1208" s="339"/>
      <c r="P1208" s="339"/>
      <c r="Q1208" s="339"/>
      <c r="R1208" s="339"/>
      <c r="S1208" s="64"/>
    </row>
    <row r="1209" spans="1:19" x14ac:dyDescent="0.25">
      <c r="A1209" s="384" t="s">
        <v>211</v>
      </c>
      <c r="B1209" s="339"/>
      <c r="C1209" s="339"/>
      <c r="D1209" s="339"/>
      <c r="E1209" s="339"/>
      <c r="F1209" s="339"/>
      <c r="G1209" s="339"/>
      <c r="H1209" s="339"/>
      <c r="I1209" s="339"/>
      <c r="J1209" s="339"/>
      <c r="K1209" s="339"/>
      <c r="L1209" s="339"/>
      <c r="M1209" s="339"/>
      <c r="N1209" s="339"/>
      <c r="O1209" s="339"/>
      <c r="P1209" s="339"/>
      <c r="Q1209" s="339"/>
      <c r="R1209" s="339"/>
      <c r="S1209" s="64"/>
    </row>
    <row r="1210" spans="1:19" x14ac:dyDescent="0.25">
      <c r="A1210" s="384" t="s">
        <v>277</v>
      </c>
      <c r="B1210" s="339"/>
      <c r="C1210" s="339"/>
      <c r="D1210" s="339"/>
      <c r="E1210" s="339"/>
      <c r="F1210" s="339"/>
      <c r="G1210" s="339"/>
      <c r="H1210" s="339"/>
      <c r="I1210" s="339"/>
      <c r="J1210" s="339"/>
      <c r="K1210" s="339"/>
      <c r="L1210" s="339"/>
      <c r="M1210" s="339"/>
      <c r="N1210" s="339"/>
      <c r="O1210" s="339"/>
      <c r="P1210" s="339"/>
      <c r="Q1210" s="339"/>
      <c r="R1210" s="339"/>
      <c r="S1210" s="64"/>
    </row>
    <row r="1211" spans="1:19" ht="13.2" customHeight="1" x14ac:dyDescent="0.25">
      <c r="A1211" s="384" t="s">
        <v>375</v>
      </c>
      <c r="B1211" s="339"/>
      <c r="C1211" s="339"/>
      <c r="D1211" s="339"/>
      <c r="E1211" s="339"/>
      <c r="F1211" s="339"/>
      <c r="G1211" s="339"/>
      <c r="H1211" s="339"/>
      <c r="I1211" s="339"/>
      <c r="J1211" s="339"/>
      <c r="K1211" s="339"/>
      <c r="L1211" s="339"/>
      <c r="M1211" s="339"/>
      <c r="N1211" s="339"/>
      <c r="O1211" s="339"/>
      <c r="P1211" s="339"/>
      <c r="Q1211" s="339"/>
      <c r="R1211" s="339"/>
      <c r="S1211" s="64"/>
    </row>
    <row r="1212" spans="1:19" ht="13.2" customHeight="1" x14ac:dyDescent="0.25">
      <c r="A1212" s="384" t="s">
        <v>570</v>
      </c>
      <c r="B1212" s="339"/>
      <c r="C1212" s="339"/>
      <c r="D1212" s="339"/>
      <c r="E1212" s="339"/>
      <c r="F1212" s="339"/>
      <c r="G1212" s="339"/>
      <c r="H1212" s="339"/>
      <c r="I1212" s="339"/>
      <c r="J1212" s="339"/>
      <c r="K1212" s="339"/>
      <c r="L1212" s="339"/>
      <c r="M1212" s="339"/>
      <c r="N1212" s="339"/>
      <c r="O1212" s="339"/>
      <c r="P1212" s="339"/>
      <c r="Q1212" s="339"/>
      <c r="R1212" s="339"/>
      <c r="S1212" s="64"/>
    </row>
    <row r="1213" spans="1:19" ht="13.2" customHeight="1" x14ac:dyDescent="0.25">
      <c r="A1213" s="384" t="s">
        <v>647</v>
      </c>
      <c r="B1213" s="339"/>
      <c r="C1213" s="339"/>
      <c r="D1213" s="339"/>
      <c r="E1213" s="339"/>
      <c r="F1213" s="339"/>
      <c r="G1213" s="339"/>
      <c r="H1213" s="339"/>
      <c r="I1213" s="339"/>
      <c r="J1213" s="339"/>
      <c r="K1213" s="339"/>
      <c r="L1213" s="339"/>
      <c r="M1213" s="339"/>
      <c r="N1213" s="339"/>
      <c r="O1213" s="339"/>
      <c r="P1213" s="339"/>
      <c r="Q1213" s="339"/>
      <c r="R1213" s="339"/>
      <c r="S1213" s="64"/>
    </row>
    <row r="1214" spans="1:19" ht="13.2" customHeight="1" x14ac:dyDescent="0.25">
      <c r="A1214" s="384" t="s">
        <v>591</v>
      </c>
      <c r="B1214" s="339"/>
      <c r="C1214" s="339"/>
      <c r="D1214" s="339"/>
      <c r="E1214" s="339"/>
      <c r="F1214" s="339"/>
      <c r="G1214" s="339"/>
      <c r="H1214" s="339"/>
      <c r="I1214" s="339"/>
      <c r="J1214" s="339"/>
      <c r="K1214" s="339"/>
      <c r="L1214" s="339"/>
      <c r="M1214" s="339"/>
      <c r="N1214" s="339"/>
      <c r="O1214" s="339"/>
      <c r="P1214" s="339"/>
      <c r="Q1214" s="339"/>
      <c r="R1214" s="339"/>
      <c r="S1214" s="64"/>
    </row>
    <row r="1215" spans="1:19" ht="13.2" customHeight="1" x14ac:dyDescent="0.25">
      <c r="A1215" s="384" t="s">
        <v>709</v>
      </c>
      <c r="B1215" s="339"/>
      <c r="C1215" s="339"/>
      <c r="D1215" s="339"/>
      <c r="E1215" s="339"/>
      <c r="F1215" s="339"/>
      <c r="G1215" s="339"/>
      <c r="H1215" s="339"/>
      <c r="I1215" s="339"/>
      <c r="J1215" s="339"/>
      <c r="K1215" s="339"/>
      <c r="L1215" s="339"/>
      <c r="M1215" s="339"/>
      <c r="N1215" s="339"/>
      <c r="O1215" s="339"/>
      <c r="P1215" s="339"/>
      <c r="Q1215" s="339"/>
      <c r="R1215" s="339"/>
      <c r="S1215" s="64"/>
    </row>
    <row r="1216" spans="1:19" ht="13.2" customHeight="1" x14ac:dyDescent="0.25">
      <c r="A1216" s="384" t="s">
        <v>811</v>
      </c>
      <c r="B1216" s="339"/>
      <c r="C1216" s="339"/>
      <c r="D1216" s="339"/>
      <c r="E1216" s="339"/>
      <c r="F1216" s="339"/>
      <c r="G1216" s="339"/>
      <c r="H1216" s="339"/>
      <c r="I1216" s="339"/>
      <c r="J1216" s="339"/>
      <c r="K1216" s="339"/>
      <c r="L1216" s="339"/>
      <c r="M1216" s="339"/>
      <c r="N1216" s="339"/>
      <c r="O1216" s="339"/>
      <c r="P1216" s="339"/>
      <c r="Q1216" s="339"/>
      <c r="R1216" s="339"/>
      <c r="S1216" s="64"/>
    </row>
    <row r="1217" spans="1:19" ht="13.2" customHeight="1" x14ac:dyDescent="0.25">
      <c r="A1217" s="399" t="s">
        <v>1040</v>
      </c>
      <c r="B1217" s="370"/>
      <c r="C1217" s="370"/>
      <c r="D1217" s="370"/>
      <c r="E1217" s="370"/>
      <c r="F1217" s="370"/>
      <c r="G1217" s="370"/>
      <c r="H1217" s="370"/>
      <c r="I1217" s="370"/>
      <c r="J1217" s="370"/>
      <c r="K1217" s="370"/>
      <c r="L1217" s="370"/>
      <c r="M1217" s="370"/>
      <c r="N1217" s="370"/>
      <c r="O1217" s="370"/>
      <c r="P1217" s="370"/>
      <c r="Q1217" s="370"/>
      <c r="R1217" s="370"/>
      <c r="S1217" s="64"/>
    </row>
    <row r="1218" spans="1:19" ht="13.2" customHeight="1" x14ac:dyDescent="0.25">
      <c r="A1218" s="418" t="s">
        <v>1228</v>
      </c>
      <c r="B1218" s="370"/>
      <c r="C1218" s="370"/>
      <c r="D1218" s="370"/>
      <c r="E1218" s="370"/>
      <c r="F1218" s="370"/>
      <c r="G1218" s="370"/>
      <c r="H1218" s="370"/>
      <c r="I1218" s="370"/>
      <c r="J1218" s="370"/>
      <c r="K1218" s="370"/>
      <c r="L1218" s="370"/>
      <c r="M1218" s="370"/>
      <c r="N1218" s="370"/>
      <c r="O1218" s="370"/>
      <c r="P1218" s="370"/>
      <c r="Q1218" s="370"/>
      <c r="R1218" s="370"/>
      <c r="S1218" s="64"/>
    </row>
    <row r="1219" spans="1:19" ht="13.2" customHeight="1" x14ac:dyDescent="0.25">
      <c r="A1219" s="418" t="s">
        <v>1252</v>
      </c>
      <c r="B1219" s="419"/>
      <c r="C1219" s="419"/>
      <c r="D1219" s="419"/>
      <c r="E1219" s="419"/>
      <c r="F1219" s="419"/>
      <c r="G1219" s="419"/>
      <c r="H1219" s="419"/>
      <c r="I1219" s="419"/>
      <c r="J1219" s="419"/>
      <c r="K1219" s="419"/>
      <c r="L1219" s="419"/>
      <c r="M1219" s="419"/>
      <c r="N1219" s="419"/>
      <c r="O1219" s="419"/>
      <c r="P1219" s="419"/>
      <c r="Q1219" s="419"/>
      <c r="R1219" s="419"/>
      <c r="S1219" s="48"/>
    </row>
    <row r="1220" spans="1:19" x14ac:dyDescent="0.25">
      <c r="A1220" s="315"/>
      <c r="C1220" s="348"/>
    </row>
    <row r="1221" spans="1:19" x14ac:dyDescent="0.25">
      <c r="A1221" s="412" t="s">
        <v>14</v>
      </c>
      <c r="B1221" s="353" t="s">
        <v>74</v>
      </c>
      <c r="C1221" s="405" t="s">
        <v>15</v>
      </c>
      <c r="D1221" s="339"/>
      <c r="E1221" s="339"/>
      <c r="F1221" s="339"/>
      <c r="G1221" s="339"/>
      <c r="H1221" s="339"/>
      <c r="I1221" s="339"/>
      <c r="J1221" s="339"/>
      <c r="K1221" s="339"/>
      <c r="L1221" s="339"/>
      <c r="M1221" s="339"/>
      <c r="N1221" s="339"/>
    </row>
    <row r="1222" spans="1:19" x14ac:dyDescent="0.25">
      <c r="A1222" s="413" t="s">
        <v>16</v>
      </c>
      <c r="B1222" s="414">
        <v>2008</v>
      </c>
      <c r="C1222" s="415">
        <v>2009</v>
      </c>
      <c r="D1222" s="415">
        <v>2010</v>
      </c>
      <c r="E1222" s="415">
        <v>2011</v>
      </c>
      <c r="F1222" s="414">
        <v>2012</v>
      </c>
      <c r="G1222" s="414">
        <v>2013</v>
      </c>
      <c r="H1222" s="414">
        <v>2014</v>
      </c>
      <c r="I1222" s="414">
        <v>2015</v>
      </c>
      <c r="J1222" s="414">
        <v>2016</v>
      </c>
      <c r="K1222" s="414">
        <v>2017</v>
      </c>
      <c r="L1222" s="414">
        <v>2018</v>
      </c>
      <c r="M1222" s="414">
        <v>2019</v>
      </c>
      <c r="N1222" s="414">
        <v>2020</v>
      </c>
      <c r="O1222" s="414">
        <v>2021</v>
      </c>
      <c r="P1222" s="154">
        <v>2022</v>
      </c>
      <c r="Q1222" s="154">
        <v>2023</v>
      </c>
      <c r="R1222" s="154">
        <v>2024</v>
      </c>
      <c r="S1222" s="154">
        <v>2025</v>
      </c>
    </row>
    <row r="1223" spans="1:19" x14ac:dyDescent="0.25">
      <c r="A1223" s="357" t="s">
        <v>17</v>
      </c>
      <c r="B1223" s="376">
        <v>839.5</v>
      </c>
      <c r="C1223" s="376">
        <v>839.5</v>
      </c>
      <c r="D1223" s="376">
        <v>839.5</v>
      </c>
      <c r="E1223" s="376">
        <v>839.5</v>
      </c>
      <c r="F1223" s="417">
        <v>503.7</v>
      </c>
      <c r="G1223" s="417">
        <v>390</v>
      </c>
      <c r="H1223" s="417">
        <v>390</v>
      </c>
      <c r="I1223" s="417">
        <v>390</v>
      </c>
      <c r="J1223" s="417">
        <v>390</v>
      </c>
      <c r="K1223" s="417">
        <v>390</v>
      </c>
      <c r="L1223" s="417">
        <v>390</v>
      </c>
      <c r="M1223" s="417">
        <v>390</v>
      </c>
      <c r="N1223" s="417">
        <v>328.1</v>
      </c>
      <c r="O1223" s="417">
        <v>328.1</v>
      </c>
      <c r="P1223" s="12">
        <v>328.1</v>
      </c>
      <c r="Q1223" s="12">
        <v>328.1</v>
      </c>
      <c r="R1223" s="12">
        <v>328.1</v>
      </c>
      <c r="S1223" s="12">
        <v>328.1</v>
      </c>
    </row>
    <row r="1224" spans="1:19" x14ac:dyDescent="0.25">
      <c r="A1224" s="360" t="s">
        <v>18</v>
      </c>
      <c r="B1224" s="376">
        <v>839.5</v>
      </c>
      <c r="C1224" s="376">
        <v>839.5</v>
      </c>
      <c r="D1224" s="376">
        <v>839.5</v>
      </c>
      <c r="E1224" s="376">
        <v>839.5</v>
      </c>
      <c r="F1224" s="376">
        <v>503.7</v>
      </c>
      <c r="G1224" s="417">
        <v>390</v>
      </c>
      <c r="H1224" s="417">
        <v>390</v>
      </c>
      <c r="I1224" s="417">
        <v>429</v>
      </c>
      <c r="J1224" s="417">
        <v>429</v>
      </c>
      <c r="K1224" s="417">
        <v>429</v>
      </c>
      <c r="L1224" s="417">
        <v>406.6</v>
      </c>
      <c r="M1224" s="417">
        <v>429</v>
      </c>
      <c r="N1224" s="417">
        <v>367.1</v>
      </c>
      <c r="O1224" s="417">
        <v>367.1</v>
      </c>
      <c r="P1224" s="12"/>
      <c r="Q1224" s="12"/>
      <c r="R1224" s="12">
        <f>R1223+P1227</f>
        <v>285.10000000000002</v>
      </c>
      <c r="S1224" s="12">
        <v>328.1</v>
      </c>
    </row>
    <row r="1225" spans="1:19" x14ac:dyDescent="0.25">
      <c r="A1225" s="360" t="s">
        <v>19</v>
      </c>
      <c r="B1225" s="376"/>
      <c r="C1225" s="420"/>
      <c r="D1225" s="376"/>
      <c r="E1225" s="417"/>
      <c r="F1225" s="417"/>
      <c r="G1225" s="417"/>
      <c r="H1225" s="417"/>
      <c r="I1225" s="417"/>
      <c r="J1225" s="417"/>
      <c r="K1225" s="417"/>
      <c r="L1225" s="417"/>
      <c r="M1225" s="417"/>
      <c r="N1225" s="417"/>
      <c r="O1225" s="417"/>
      <c r="P1225" s="12"/>
      <c r="Q1225" s="12"/>
      <c r="R1225" s="12"/>
      <c r="S1225" s="12"/>
    </row>
    <row r="1226" spans="1:19" x14ac:dyDescent="0.25">
      <c r="A1226" s="360" t="s">
        <v>20</v>
      </c>
      <c r="B1226" s="376">
        <v>704.14</v>
      </c>
      <c r="C1226" s="376">
        <v>553.45920000000001</v>
      </c>
      <c r="D1226" s="376">
        <v>425.98559999999998</v>
      </c>
      <c r="E1226" s="376">
        <v>478</v>
      </c>
      <c r="F1226" s="417">
        <v>305.5</v>
      </c>
      <c r="G1226" s="417">
        <v>231.5</v>
      </c>
      <c r="H1226" s="417">
        <v>288.8</v>
      </c>
      <c r="I1226" s="417">
        <v>261.5</v>
      </c>
      <c r="J1226" s="417">
        <v>412.4</v>
      </c>
      <c r="K1226" s="417">
        <v>308.10000000000002</v>
      </c>
      <c r="L1226" s="417">
        <v>352.2</v>
      </c>
      <c r="M1226" s="417">
        <v>336.88949500000001</v>
      </c>
      <c r="N1226" s="417">
        <v>285.10000000000002</v>
      </c>
      <c r="O1226" s="417">
        <v>289.39999999999998</v>
      </c>
      <c r="P1226" s="12">
        <v>371.1</v>
      </c>
      <c r="Q1226" s="12">
        <v>303.8</v>
      </c>
      <c r="R1226" s="12">
        <v>246.4</v>
      </c>
      <c r="S1226" s="12"/>
    </row>
    <row r="1227" spans="1:19" x14ac:dyDescent="0.25">
      <c r="A1227" s="360" t="s">
        <v>21</v>
      </c>
      <c r="B1227" s="376">
        <v>135.36000000000001</v>
      </c>
      <c r="C1227" s="376">
        <v>286.04079999999999</v>
      </c>
      <c r="D1227" s="376">
        <v>413.51440000000002</v>
      </c>
      <c r="E1227" s="376">
        <v>361.5</v>
      </c>
      <c r="F1227" s="376">
        <v>198.2</v>
      </c>
      <c r="G1227" s="417">
        <v>158.5</v>
      </c>
      <c r="H1227" s="417">
        <v>101.19999999999999</v>
      </c>
      <c r="I1227" s="417">
        <v>167.5</v>
      </c>
      <c r="J1227" s="417">
        <v>16.600000000000023</v>
      </c>
      <c r="K1227" s="417">
        <v>120.89999999999998</v>
      </c>
      <c r="L1227" s="417">
        <v>54.400000000000034</v>
      </c>
      <c r="M1227" s="417">
        <v>92.110504999999989</v>
      </c>
      <c r="N1227" s="417">
        <f>N1224-N1226</f>
        <v>82</v>
      </c>
      <c r="O1227" s="417">
        <f>O1224-O1226</f>
        <v>77.700000000000045</v>
      </c>
      <c r="P1227" s="12">
        <f>P1223-P1226</f>
        <v>-43</v>
      </c>
      <c r="Q1227" s="12">
        <f>Q1223-Q1226</f>
        <v>24.300000000000011</v>
      </c>
      <c r="R1227" s="12">
        <f>R1224-R1226</f>
        <v>38.700000000000017</v>
      </c>
      <c r="S1227" s="12"/>
    </row>
    <row r="1228" spans="1:19" x14ac:dyDescent="0.25">
      <c r="A1228" s="364" t="s">
        <v>22</v>
      </c>
      <c r="B1228" s="377"/>
      <c r="C1228" s="402"/>
      <c r="D1228" s="377"/>
      <c r="E1228" s="403"/>
      <c r="F1228" s="403"/>
      <c r="G1228" s="403"/>
      <c r="H1228" s="403"/>
      <c r="I1228" s="403"/>
      <c r="J1228" s="403"/>
      <c r="K1228" s="403"/>
      <c r="L1228" s="403"/>
      <c r="M1228" s="421"/>
      <c r="N1228" s="421"/>
      <c r="O1228" s="421"/>
      <c r="P1228" s="17"/>
      <c r="Q1228" s="17"/>
      <c r="R1228" s="17"/>
      <c r="S1228" s="17"/>
    </row>
    <row r="1229" spans="1:19" x14ac:dyDescent="0.25">
      <c r="A1229" s="360" t="s">
        <v>179</v>
      </c>
      <c r="B1229" s="422"/>
      <c r="C1229" s="422"/>
      <c r="D1229" s="422"/>
      <c r="E1229" s="422"/>
      <c r="F1229" s="422"/>
      <c r="G1229" s="422"/>
      <c r="H1229" s="422"/>
      <c r="I1229" s="422"/>
      <c r="J1229" s="422"/>
      <c r="K1229" s="422"/>
      <c r="L1229" s="422"/>
      <c r="M1229" s="422"/>
      <c r="N1229" s="422"/>
      <c r="O1229" s="422"/>
      <c r="P1229" s="36"/>
      <c r="Q1229" s="36"/>
      <c r="R1229" s="36"/>
      <c r="S1229" s="37"/>
    </row>
    <row r="1230" spans="1:19" x14ac:dyDescent="0.25">
      <c r="A1230" s="369" t="s">
        <v>198</v>
      </c>
      <c r="B1230" s="339"/>
      <c r="C1230" s="339"/>
      <c r="D1230" s="339"/>
      <c r="E1230" s="339"/>
      <c r="F1230" s="339"/>
      <c r="G1230" s="339"/>
      <c r="H1230" s="339"/>
      <c r="I1230" s="339"/>
      <c r="J1230" s="339"/>
      <c r="K1230" s="339"/>
      <c r="L1230" s="339"/>
      <c r="M1230" s="339"/>
      <c r="N1230" s="339"/>
      <c r="O1230" s="339"/>
      <c r="S1230" s="64"/>
    </row>
    <row r="1231" spans="1:19" x14ac:dyDescent="0.25">
      <c r="A1231" s="369" t="s">
        <v>199</v>
      </c>
      <c r="B1231" s="339"/>
      <c r="C1231" s="339"/>
      <c r="D1231" s="339"/>
      <c r="E1231" s="339"/>
      <c r="F1231" s="339"/>
      <c r="G1231" s="339"/>
      <c r="H1231" s="339"/>
      <c r="I1231" s="339"/>
      <c r="J1231" s="339"/>
      <c r="K1231" s="339"/>
      <c r="L1231" s="339"/>
      <c r="M1231" s="339"/>
      <c r="N1231" s="339"/>
      <c r="O1231" s="339"/>
      <c r="S1231" s="64"/>
    </row>
    <row r="1232" spans="1:19" x14ac:dyDescent="0.25">
      <c r="A1232" s="369" t="s">
        <v>239</v>
      </c>
      <c r="B1232" s="339"/>
      <c r="C1232" s="339"/>
      <c r="D1232" s="339"/>
      <c r="E1232" s="339"/>
      <c r="F1232" s="339"/>
      <c r="G1232" s="339"/>
      <c r="H1232" s="339"/>
      <c r="I1232" s="339"/>
      <c r="J1232" s="339"/>
      <c r="K1232" s="339"/>
      <c r="L1232" s="339"/>
      <c r="M1232" s="339"/>
      <c r="N1232" s="339"/>
      <c r="O1232" s="339"/>
      <c r="S1232" s="64"/>
    </row>
    <row r="1233" spans="1:19" x14ac:dyDescent="0.25">
      <c r="A1233" s="369" t="s">
        <v>240</v>
      </c>
      <c r="B1233" s="339"/>
      <c r="C1233" s="339"/>
      <c r="D1233" s="339"/>
      <c r="E1233" s="339"/>
      <c r="F1233" s="339"/>
      <c r="G1233" s="339"/>
      <c r="H1233" s="372"/>
      <c r="I1233" s="339"/>
      <c r="J1233" s="339"/>
      <c r="K1233" s="339"/>
      <c r="L1233" s="339"/>
      <c r="M1233" s="339"/>
      <c r="N1233" s="339"/>
      <c r="O1233" s="339"/>
      <c r="S1233" s="64"/>
    </row>
    <row r="1234" spans="1:19" x14ac:dyDescent="0.25">
      <c r="A1234" s="369" t="s">
        <v>279</v>
      </c>
      <c r="B1234" s="339"/>
      <c r="C1234" s="339"/>
      <c r="D1234" s="339"/>
      <c r="E1234" s="339"/>
      <c r="F1234" s="339"/>
      <c r="G1234" s="339"/>
      <c r="H1234" s="372"/>
      <c r="I1234" s="339"/>
      <c r="J1234" s="339"/>
      <c r="K1234" s="339"/>
      <c r="L1234" s="339"/>
      <c r="M1234" s="339"/>
      <c r="N1234" s="339"/>
      <c r="O1234" s="339"/>
      <c r="S1234" s="64"/>
    </row>
    <row r="1235" spans="1:19" x14ac:dyDescent="0.25">
      <c r="A1235" s="369" t="s">
        <v>280</v>
      </c>
      <c r="B1235" s="339"/>
      <c r="C1235" s="339"/>
      <c r="D1235" s="339"/>
      <c r="E1235" s="339"/>
      <c r="F1235" s="339"/>
      <c r="G1235" s="339"/>
      <c r="H1235" s="372"/>
      <c r="I1235" s="339"/>
      <c r="J1235" s="339"/>
      <c r="K1235" s="339"/>
      <c r="L1235" s="339"/>
      <c r="M1235" s="339"/>
      <c r="N1235" s="339"/>
      <c r="O1235" s="339"/>
      <c r="S1235" s="64"/>
    </row>
    <row r="1236" spans="1:19" x14ac:dyDescent="0.25">
      <c r="A1236" s="369" t="s">
        <v>281</v>
      </c>
      <c r="B1236" s="339"/>
      <c r="C1236" s="339"/>
      <c r="D1236" s="339"/>
      <c r="E1236" s="339"/>
      <c r="F1236" s="339"/>
      <c r="G1236" s="339"/>
      <c r="H1236" s="372"/>
      <c r="I1236" s="339"/>
      <c r="J1236" s="339"/>
      <c r="K1236" s="339"/>
      <c r="L1236" s="339"/>
      <c r="M1236" s="339"/>
      <c r="N1236" s="339"/>
      <c r="O1236" s="339"/>
      <c r="S1236" s="64"/>
    </row>
    <row r="1237" spans="1:19" x14ac:dyDescent="0.25">
      <c r="A1237" s="369" t="s">
        <v>465</v>
      </c>
      <c r="B1237" s="339"/>
      <c r="C1237" s="339"/>
      <c r="D1237" s="339"/>
      <c r="E1237" s="339"/>
      <c r="F1237" s="339"/>
      <c r="G1237" s="339"/>
      <c r="H1237" s="372"/>
      <c r="I1237" s="339"/>
      <c r="J1237" s="339"/>
      <c r="K1237" s="339"/>
      <c r="L1237" s="339"/>
      <c r="M1237" s="339"/>
      <c r="N1237" s="339"/>
      <c r="O1237" s="339"/>
      <c r="S1237" s="64"/>
    </row>
    <row r="1238" spans="1:19" x14ac:dyDescent="0.25">
      <c r="A1238" s="369" t="s">
        <v>648</v>
      </c>
      <c r="B1238" s="339"/>
      <c r="C1238" s="339"/>
      <c r="D1238" s="339"/>
      <c r="E1238" s="339"/>
      <c r="F1238" s="339"/>
      <c r="G1238" s="339"/>
      <c r="H1238" s="372"/>
      <c r="I1238" s="339"/>
      <c r="J1238" s="339"/>
      <c r="K1238" s="339"/>
      <c r="L1238" s="339"/>
      <c r="M1238" s="339"/>
      <c r="N1238" s="339"/>
      <c r="O1238" s="339"/>
      <c r="S1238" s="64"/>
    </row>
    <row r="1239" spans="1:19" x14ac:dyDescent="0.25">
      <c r="A1239" s="369" t="s">
        <v>812</v>
      </c>
      <c r="B1239" s="339"/>
      <c r="C1239" s="339"/>
      <c r="D1239" s="339"/>
      <c r="E1239" s="339"/>
      <c r="F1239" s="339"/>
      <c r="G1239" s="339"/>
      <c r="H1239" s="372"/>
      <c r="I1239" s="339"/>
      <c r="J1239" s="339"/>
      <c r="K1239" s="339"/>
      <c r="L1239" s="339"/>
      <c r="M1239" s="339"/>
      <c r="N1239" s="339"/>
      <c r="O1239" s="339"/>
      <c r="S1239" s="64"/>
    </row>
    <row r="1240" spans="1:19" x14ac:dyDescent="0.25">
      <c r="A1240" s="369" t="s">
        <v>886</v>
      </c>
      <c r="B1240" s="339"/>
      <c r="C1240" s="339"/>
      <c r="D1240" s="339"/>
      <c r="E1240" s="339"/>
      <c r="F1240" s="339"/>
      <c r="G1240" s="339"/>
      <c r="H1240" s="372"/>
      <c r="I1240" s="339"/>
      <c r="J1240" s="339"/>
      <c r="K1240" s="339"/>
      <c r="L1240" s="339"/>
      <c r="M1240" s="339"/>
      <c r="N1240" s="339"/>
      <c r="O1240" s="339"/>
      <c r="S1240" s="64"/>
    </row>
    <row r="1241" spans="1:19" x14ac:dyDescent="0.25">
      <c r="A1241" s="423" t="s">
        <v>1185</v>
      </c>
      <c r="B1241" s="373"/>
      <c r="C1241" s="373"/>
      <c r="D1241" s="373"/>
      <c r="E1241" s="373"/>
      <c r="F1241" s="373"/>
      <c r="G1241" s="373"/>
      <c r="H1241" s="424"/>
      <c r="I1241" s="373"/>
      <c r="J1241" s="373"/>
      <c r="K1241" s="373"/>
      <c r="L1241" s="373"/>
      <c r="M1241" s="373"/>
      <c r="N1241" s="373"/>
      <c r="O1241" s="373"/>
      <c r="P1241" s="34"/>
      <c r="Q1241" s="34"/>
      <c r="R1241" s="34"/>
      <c r="S1241" s="48"/>
    </row>
    <row r="1242" spans="1:19" x14ac:dyDescent="0.25">
      <c r="A1242" s="315"/>
      <c r="C1242" s="348"/>
    </row>
    <row r="1243" spans="1:19" x14ac:dyDescent="0.25">
      <c r="A1243" s="352" t="s">
        <v>14</v>
      </c>
      <c r="B1243" s="353" t="s">
        <v>79</v>
      </c>
      <c r="C1243" s="405" t="s">
        <v>15</v>
      </c>
      <c r="D1243" s="339"/>
      <c r="E1243" s="339"/>
      <c r="F1243" s="339"/>
      <c r="G1243" s="339"/>
      <c r="H1243" s="339"/>
      <c r="I1243" s="339"/>
      <c r="J1243" s="339"/>
      <c r="K1243" s="339"/>
      <c r="L1243" s="339"/>
      <c r="M1243" s="339"/>
      <c r="N1243" s="339"/>
    </row>
    <row r="1244" spans="1:19" x14ac:dyDescent="0.25">
      <c r="A1244" s="360" t="s">
        <v>16</v>
      </c>
      <c r="B1244" s="359">
        <v>2008</v>
      </c>
      <c r="C1244" s="359">
        <v>2009</v>
      </c>
      <c r="D1244" s="359">
        <v>2010</v>
      </c>
      <c r="E1244" s="359">
        <v>2011</v>
      </c>
      <c r="F1244" s="359">
        <v>2012</v>
      </c>
      <c r="G1244" s="359">
        <v>2013</v>
      </c>
      <c r="H1244" s="359">
        <v>2014</v>
      </c>
      <c r="I1244" s="359">
        <v>2015</v>
      </c>
      <c r="J1244" s="359">
        <v>2016</v>
      </c>
      <c r="K1244" s="359">
        <v>2017</v>
      </c>
      <c r="L1244" s="359">
        <v>2018</v>
      </c>
      <c r="M1244" s="359">
        <v>2019</v>
      </c>
      <c r="N1244" s="359">
        <v>2020</v>
      </c>
      <c r="O1244" s="359">
        <v>2021</v>
      </c>
      <c r="P1244" s="154">
        <v>2022</v>
      </c>
      <c r="Q1244" s="154">
        <v>2023</v>
      </c>
      <c r="R1244" s="154">
        <v>2024</v>
      </c>
      <c r="S1244" s="154">
        <v>2025</v>
      </c>
    </row>
    <row r="1245" spans="1:19" x14ac:dyDescent="0.25">
      <c r="A1245" s="360" t="s">
        <v>17</v>
      </c>
      <c r="B1245" s="376">
        <v>37</v>
      </c>
      <c r="C1245" s="376">
        <v>37</v>
      </c>
      <c r="D1245" s="376">
        <v>37</v>
      </c>
      <c r="E1245" s="376">
        <v>37</v>
      </c>
      <c r="F1245" s="376">
        <v>33.6</v>
      </c>
      <c r="G1245" s="376">
        <v>35</v>
      </c>
      <c r="H1245" s="376">
        <v>35</v>
      </c>
      <c r="I1245" s="376">
        <v>35</v>
      </c>
      <c r="J1245" s="376">
        <v>35</v>
      </c>
      <c r="K1245" s="376">
        <v>35</v>
      </c>
      <c r="L1245" s="376">
        <v>35</v>
      </c>
      <c r="M1245" s="376">
        <v>35</v>
      </c>
      <c r="N1245" s="376">
        <v>35</v>
      </c>
      <c r="O1245" s="376">
        <v>35</v>
      </c>
      <c r="P1245" s="12">
        <v>35</v>
      </c>
      <c r="Q1245" s="12">
        <v>35</v>
      </c>
      <c r="R1245" s="12">
        <v>35</v>
      </c>
      <c r="S1245" s="12">
        <v>35</v>
      </c>
    </row>
    <row r="1246" spans="1:19" x14ac:dyDescent="0.25">
      <c r="A1246" s="360" t="s">
        <v>18</v>
      </c>
      <c r="B1246" s="376">
        <v>37</v>
      </c>
      <c r="C1246" s="376">
        <v>37</v>
      </c>
      <c r="D1246" s="376">
        <v>37</v>
      </c>
      <c r="E1246" s="376">
        <v>37</v>
      </c>
      <c r="F1246" s="376">
        <v>33.6</v>
      </c>
      <c r="G1246" s="376">
        <v>35</v>
      </c>
      <c r="H1246" s="376">
        <v>35</v>
      </c>
      <c r="I1246" s="376">
        <v>42</v>
      </c>
      <c r="J1246" s="376">
        <v>42</v>
      </c>
      <c r="K1246" s="376">
        <v>42</v>
      </c>
      <c r="L1246" s="376">
        <v>42</v>
      </c>
      <c r="M1246" s="376">
        <v>42</v>
      </c>
      <c r="N1246" s="376">
        <v>42</v>
      </c>
      <c r="O1246" s="376">
        <v>42</v>
      </c>
      <c r="P1246" s="12">
        <v>35</v>
      </c>
      <c r="Q1246" s="12">
        <v>35</v>
      </c>
      <c r="R1246" s="12">
        <v>35</v>
      </c>
      <c r="S1246" s="12">
        <v>35</v>
      </c>
    </row>
    <row r="1247" spans="1:19" x14ac:dyDescent="0.25">
      <c r="A1247" s="360" t="s">
        <v>19</v>
      </c>
      <c r="B1247" s="376"/>
      <c r="C1247" s="376"/>
      <c r="D1247" s="376"/>
      <c r="E1247" s="376"/>
      <c r="F1247" s="376"/>
      <c r="G1247" s="376"/>
      <c r="H1247" s="376"/>
      <c r="I1247" s="376"/>
      <c r="J1247" s="376"/>
      <c r="K1247" s="376"/>
      <c r="L1247" s="376"/>
      <c r="M1247" s="376"/>
      <c r="N1247" s="376"/>
      <c r="O1247" s="376"/>
      <c r="P1247" s="12"/>
      <c r="Q1247" s="12"/>
      <c r="R1247" s="12"/>
      <c r="S1247" s="12"/>
    </row>
    <row r="1248" spans="1:19" x14ac:dyDescent="0.25">
      <c r="A1248" s="360" t="s">
        <v>20</v>
      </c>
      <c r="B1248" s="376">
        <v>28.84</v>
      </c>
      <c r="C1248" s="376">
        <v>28.802399999999999</v>
      </c>
      <c r="D1248" s="376">
        <v>40.781999999999996</v>
      </c>
      <c r="E1248" s="376">
        <v>27.9</v>
      </c>
      <c r="F1248" s="376">
        <v>49.6</v>
      </c>
      <c r="G1248" s="376">
        <v>16.899999999999999</v>
      </c>
      <c r="H1248" s="376">
        <v>5.7</v>
      </c>
      <c r="I1248" s="376">
        <v>9.9</v>
      </c>
      <c r="J1248" s="376">
        <v>12.6</v>
      </c>
      <c r="K1248" s="376">
        <v>9.1999999999999993</v>
      </c>
      <c r="L1248" s="376">
        <v>14.4</v>
      </c>
      <c r="M1248" s="376">
        <v>10.852466</v>
      </c>
      <c r="N1248" s="376">
        <v>7.9</v>
      </c>
      <c r="O1248" s="376">
        <v>6.1</v>
      </c>
      <c r="P1248" s="12">
        <v>6.4</v>
      </c>
      <c r="Q1248" s="12">
        <v>6.4</v>
      </c>
      <c r="R1248" s="12">
        <v>0.6</v>
      </c>
      <c r="S1248" s="12"/>
    </row>
    <row r="1249" spans="1:19" x14ac:dyDescent="0.25">
      <c r="A1249" s="360" t="s">
        <v>21</v>
      </c>
      <c r="B1249" s="376">
        <v>8.16</v>
      </c>
      <c r="C1249" s="376">
        <v>8.1976000000000013</v>
      </c>
      <c r="D1249" s="376">
        <v>3.782</v>
      </c>
      <c r="E1249" s="376">
        <v>9.1000000000000014</v>
      </c>
      <c r="F1249" s="376">
        <v>16</v>
      </c>
      <c r="G1249" s="376">
        <v>18.100000000000001</v>
      </c>
      <c r="H1249" s="376">
        <v>29.3</v>
      </c>
      <c r="I1249" s="376">
        <v>32.1</v>
      </c>
      <c r="J1249" s="376">
        <v>29.4</v>
      </c>
      <c r="K1249" s="376">
        <v>32.799999999999997</v>
      </c>
      <c r="L1249" s="376">
        <v>27.6</v>
      </c>
      <c r="M1249" s="376">
        <v>31.147534</v>
      </c>
      <c r="N1249" s="376">
        <f>N1246-N1248</f>
        <v>34.1</v>
      </c>
      <c r="O1249" s="376">
        <f>O1246-O1248</f>
        <v>35.9</v>
      </c>
      <c r="P1249" s="12">
        <f>P1245-P1248</f>
        <v>28.6</v>
      </c>
      <c r="Q1249" s="12">
        <f t="shared" ref="Q1249:R1249" si="50">Q1245-Q1248</f>
        <v>28.6</v>
      </c>
      <c r="R1249" s="12">
        <f t="shared" si="50"/>
        <v>34.4</v>
      </c>
      <c r="S1249" s="12"/>
    </row>
    <row r="1250" spans="1:19" x14ac:dyDescent="0.25">
      <c r="A1250" s="364" t="s">
        <v>22</v>
      </c>
      <c r="B1250" s="365"/>
      <c r="C1250" s="425"/>
      <c r="D1250" s="365"/>
      <c r="E1250" s="421"/>
      <c r="F1250" s="365"/>
      <c r="G1250" s="365"/>
      <c r="H1250" s="421"/>
      <c r="I1250" s="421"/>
      <c r="J1250" s="421"/>
      <c r="K1250" s="421"/>
      <c r="L1250" s="421"/>
      <c r="M1250" s="421"/>
      <c r="N1250" s="421"/>
      <c r="O1250" s="421"/>
      <c r="P1250" s="17"/>
      <c r="Q1250" s="17"/>
      <c r="R1250" s="17"/>
      <c r="S1250" s="17"/>
    </row>
    <row r="1251" spans="1:19" x14ac:dyDescent="0.25">
      <c r="A1251" s="364" t="s">
        <v>179</v>
      </c>
      <c r="B1251" s="402"/>
      <c r="C1251" s="402"/>
      <c r="D1251" s="402"/>
      <c r="E1251" s="402"/>
      <c r="F1251" s="402"/>
      <c r="G1251" s="402"/>
      <c r="H1251" s="402"/>
      <c r="I1251" s="402"/>
      <c r="J1251" s="402"/>
      <c r="K1251" s="402"/>
      <c r="L1251" s="402"/>
      <c r="M1251" s="402"/>
      <c r="N1251" s="402"/>
      <c r="O1251" s="402"/>
      <c r="P1251" s="46"/>
      <c r="Q1251" s="46"/>
      <c r="R1251" s="46"/>
      <c r="S1251" s="47"/>
    </row>
    <row r="1252" spans="1:19" x14ac:dyDescent="0.25">
      <c r="A1252" s="364" t="s">
        <v>200</v>
      </c>
      <c r="B1252" s="402"/>
      <c r="C1252" s="402"/>
      <c r="D1252" s="402"/>
      <c r="E1252" s="402"/>
      <c r="F1252" s="402"/>
      <c r="G1252" s="402"/>
      <c r="H1252" s="402"/>
      <c r="I1252" s="402"/>
      <c r="J1252" s="402"/>
      <c r="K1252" s="402"/>
      <c r="L1252" s="402"/>
      <c r="M1252" s="402"/>
      <c r="N1252" s="402"/>
      <c r="O1252" s="402"/>
      <c r="P1252" s="46"/>
      <c r="Q1252" s="46"/>
      <c r="R1252" s="46"/>
      <c r="S1252" s="47"/>
    </row>
    <row r="1253" spans="1:19" x14ac:dyDescent="0.25">
      <c r="A1253" s="369" t="s">
        <v>201</v>
      </c>
      <c r="B1253" s="339"/>
      <c r="C1253" s="339"/>
      <c r="D1253" s="339"/>
      <c r="E1253" s="339"/>
      <c r="F1253" s="339"/>
      <c r="G1253" s="339"/>
      <c r="H1253" s="339"/>
      <c r="I1253" s="339"/>
      <c r="J1253" s="339"/>
      <c r="K1253" s="339"/>
      <c r="L1253" s="339"/>
      <c r="M1253" s="339"/>
      <c r="N1253" s="339"/>
      <c r="O1253" s="339"/>
      <c r="S1253" s="64"/>
    </row>
    <row r="1254" spans="1:19" x14ac:dyDescent="0.25">
      <c r="A1254" s="369" t="s">
        <v>212</v>
      </c>
      <c r="B1254" s="339"/>
      <c r="C1254" s="339"/>
      <c r="D1254" s="339"/>
      <c r="E1254" s="339"/>
      <c r="F1254" s="339"/>
      <c r="G1254" s="339"/>
      <c r="H1254" s="339"/>
      <c r="I1254" s="339"/>
      <c r="J1254" s="339"/>
      <c r="K1254" s="339"/>
      <c r="L1254" s="339"/>
      <c r="M1254" s="339"/>
      <c r="N1254" s="339"/>
      <c r="O1254" s="339"/>
      <c r="S1254" s="64"/>
    </row>
    <row r="1255" spans="1:19" x14ac:dyDescent="0.25">
      <c r="A1255" s="369" t="s">
        <v>213</v>
      </c>
      <c r="B1255" s="339"/>
      <c r="C1255" s="339"/>
      <c r="D1255" s="339"/>
      <c r="E1255" s="339"/>
      <c r="F1255" s="339"/>
      <c r="G1255" s="339"/>
      <c r="H1255" s="339"/>
      <c r="I1255" s="339"/>
      <c r="J1255" s="339"/>
      <c r="K1255" s="339"/>
      <c r="L1255" s="339"/>
      <c r="M1255" s="339"/>
      <c r="N1255" s="339"/>
      <c r="O1255" s="339"/>
      <c r="S1255" s="64"/>
    </row>
    <row r="1256" spans="1:19" x14ac:dyDescent="0.25">
      <c r="A1256" s="369" t="s">
        <v>214</v>
      </c>
      <c r="B1256" s="339"/>
      <c r="C1256" s="370"/>
      <c r="D1256" s="372"/>
      <c r="E1256" s="371"/>
      <c r="F1256" s="339"/>
      <c r="G1256" s="339"/>
      <c r="H1256" s="372"/>
      <c r="I1256" s="339"/>
      <c r="J1256" s="339"/>
      <c r="K1256" s="339"/>
      <c r="L1256" s="339"/>
      <c r="M1256" s="339"/>
      <c r="N1256" s="339"/>
      <c r="O1256" s="339"/>
      <c r="S1256" s="64"/>
    </row>
    <row r="1257" spans="1:19" x14ac:dyDescent="0.25">
      <c r="A1257" s="369" t="s">
        <v>241</v>
      </c>
      <c r="B1257" s="339"/>
      <c r="C1257" s="339"/>
      <c r="D1257" s="339"/>
      <c r="E1257" s="339"/>
      <c r="F1257" s="339"/>
      <c r="G1257" s="339"/>
      <c r="H1257" s="372"/>
      <c r="I1257" s="339"/>
      <c r="J1257" s="339"/>
      <c r="K1257" s="339"/>
      <c r="L1257" s="339"/>
      <c r="M1257" s="339"/>
      <c r="N1257" s="339"/>
      <c r="O1257" s="339"/>
      <c r="S1257" s="64"/>
    </row>
    <row r="1258" spans="1:19" x14ac:dyDescent="0.25">
      <c r="A1258" s="369" t="s">
        <v>282</v>
      </c>
      <c r="B1258" s="339"/>
      <c r="C1258" s="339"/>
      <c r="D1258" s="339"/>
      <c r="E1258" s="339"/>
      <c r="F1258" s="339"/>
      <c r="G1258" s="339"/>
      <c r="H1258" s="372"/>
      <c r="I1258" s="339"/>
      <c r="J1258" s="339"/>
      <c r="K1258" s="339"/>
      <c r="L1258" s="339"/>
      <c r="M1258" s="339"/>
      <c r="N1258" s="339"/>
      <c r="O1258" s="339"/>
      <c r="S1258" s="64"/>
    </row>
    <row r="1259" spans="1:19" x14ac:dyDescent="0.25">
      <c r="A1259" s="369" t="s">
        <v>283</v>
      </c>
      <c r="B1259" s="339"/>
      <c r="C1259" s="339"/>
      <c r="D1259" s="339"/>
      <c r="E1259" s="339"/>
      <c r="F1259" s="339"/>
      <c r="G1259" s="339"/>
      <c r="H1259" s="372"/>
      <c r="I1259" s="339"/>
      <c r="J1259" s="339"/>
      <c r="K1259" s="339"/>
      <c r="L1259" s="339"/>
      <c r="M1259" s="339"/>
      <c r="N1259" s="339"/>
      <c r="O1259" s="339"/>
      <c r="S1259" s="64"/>
    </row>
    <row r="1260" spans="1:19" x14ac:dyDescent="0.25">
      <c r="A1260" s="369" t="s">
        <v>284</v>
      </c>
      <c r="B1260" s="339"/>
      <c r="C1260" s="339"/>
      <c r="D1260" s="339"/>
      <c r="E1260" s="339"/>
      <c r="F1260" s="339"/>
      <c r="G1260" s="339"/>
      <c r="H1260" s="372"/>
      <c r="I1260" s="339"/>
      <c r="J1260" s="339"/>
      <c r="K1260" s="339"/>
      <c r="L1260" s="339"/>
      <c r="M1260" s="339"/>
      <c r="N1260" s="339"/>
      <c r="O1260" s="339"/>
      <c r="S1260" s="64"/>
    </row>
    <row r="1261" spans="1:19" x14ac:dyDescent="0.25">
      <c r="A1261" s="369" t="s">
        <v>649</v>
      </c>
      <c r="B1261" s="339"/>
      <c r="C1261" s="339"/>
      <c r="D1261" s="339"/>
      <c r="E1261" s="339"/>
      <c r="F1261" s="339"/>
      <c r="G1261" s="339"/>
      <c r="H1261" s="372"/>
      <c r="I1261" s="339"/>
      <c r="J1261" s="339"/>
      <c r="K1261" s="339"/>
      <c r="L1261" s="339"/>
      <c r="M1261" s="339"/>
      <c r="N1261" s="339"/>
      <c r="O1261" s="339"/>
      <c r="S1261" s="64"/>
    </row>
    <row r="1262" spans="1:19" x14ac:dyDescent="0.25">
      <c r="A1262" s="369" t="s">
        <v>813</v>
      </c>
      <c r="B1262" s="339"/>
      <c r="C1262" s="339"/>
      <c r="D1262" s="339"/>
      <c r="E1262" s="339"/>
      <c r="F1262" s="339"/>
      <c r="G1262" s="339"/>
      <c r="H1262" s="372"/>
      <c r="I1262" s="339"/>
      <c r="J1262" s="339"/>
      <c r="K1262" s="339"/>
      <c r="L1262" s="339"/>
      <c r="M1262" s="339"/>
      <c r="N1262" s="339"/>
      <c r="O1262" s="339"/>
      <c r="S1262" s="64"/>
    </row>
    <row r="1263" spans="1:19" x14ac:dyDescent="0.25">
      <c r="A1263" s="426" t="s">
        <v>1186</v>
      </c>
      <c r="B1263" s="339"/>
      <c r="C1263" s="339"/>
      <c r="D1263" s="339"/>
      <c r="E1263" s="339"/>
      <c r="F1263" s="339"/>
      <c r="G1263" s="339"/>
      <c r="H1263" s="372"/>
      <c r="I1263" s="339"/>
      <c r="J1263" s="339"/>
      <c r="K1263" s="339"/>
      <c r="L1263" s="339"/>
      <c r="M1263" s="339"/>
      <c r="N1263" s="339"/>
      <c r="O1263" s="339"/>
      <c r="S1263" s="64"/>
    </row>
    <row r="1264" spans="1:19" x14ac:dyDescent="0.25">
      <c r="A1264" s="423" t="s">
        <v>1187</v>
      </c>
      <c r="B1264" s="373"/>
      <c r="C1264" s="373"/>
      <c r="D1264" s="373"/>
      <c r="E1264" s="373"/>
      <c r="F1264" s="373"/>
      <c r="G1264" s="373"/>
      <c r="H1264" s="373"/>
      <c r="I1264" s="373"/>
      <c r="J1264" s="373"/>
      <c r="K1264" s="373"/>
      <c r="L1264" s="373"/>
      <c r="M1264" s="373"/>
      <c r="N1264" s="373"/>
      <c r="O1264" s="373"/>
      <c r="P1264" s="34"/>
      <c r="Q1264" s="34"/>
      <c r="R1264" s="34"/>
      <c r="S1264" s="48"/>
    </row>
    <row r="1265" spans="1:7" x14ac:dyDescent="0.25">
      <c r="A1265" s="315"/>
      <c r="C1265" s="348"/>
    </row>
    <row r="1266" spans="1:7" s="202" customFormat="1" x14ac:dyDescent="0.25">
      <c r="A1266" s="352" t="s">
        <v>14</v>
      </c>
      <c r="B1266" s="353" t="s">
        <v>571</v>
      </c>
      <c r="C1266" s="353" t="s">
        <v>15</v>
      </c>
      <c r="D1266" s="339"/>
    </row>
    <row r="1267" spans="1:7" s="202" customFormat="1" x14ac:dyDescent="0.25">
      <c r="A1267" s="357" t="s">
        <v>16</v>
      </c>
      <c r="B1267" s="358">
        <v>2020</v>
      </c>
      <c r="C1267" s="359">
        <v>2021</v>
      </c>
      <c r="D1267" s="359">
        <v>2022</v>
      </c>
      <c r="E1267" s="359">
        <v>2023</v>
      </c>
      <c r="F1267" s="359">
        <v>2024</v>
      </c>
      <c r="G1267" s="359">
        <v>2025</v>
      </c>
    </row>
    <row r="1268" spans="1:7" s="202" customFormat="1" x14ac:dyDescent="0.25">
      <c r="A1268" s="360" t="s">
        <v>17</v>
      </c>
      <c r="B1268" s="376">
        <v>4010</v>
      </c>
      <c r="C1268" s="376">
        <v>4010</v>
      </c>
      <c r="D1268" s="376">
        <v>4010</v>
      </c>
      <c r="E1268" s="376">
        <v>4010</v>
      </c>
      <c r="F1268" s="376">
        <v>3055</v>
      </c>
      <c r="G1268" s="376">
        <v>3055</v>
      </c>
    </row>
    <row r="1269" spans="1:7" s="202" customFormat="1" x14ac:dyDescent="0.25">
      <c r="A1269" s="360" t="s">
        <v>18</v>
      </c>
      <c r="B1269" s="376"/>
      <c r="C1269" s="376"/>
      <c r="D1269" s="376"/>
      <c r="E1269" s="376"/>
      <c r="F1269" s="376">
        <f>F1268-43</f>
        <v>3012</v>
      </c>
      <c r="G1269" s="376">
        <f>G1268-43</f>
        <v>3012</v>
      </c>
    </row>
    <row r="1270" spans="1:7" s="202" customFormat="1" x14ac:dyDescent="0.25">
      <c r="A1270" s="360" t="s">
        <v>19</v>
      </c>
      <c r="B1270" s="376"/>
      <c r="C1270" s="376"/>
      <c r="D1270" s="376"/>
      <c r="E1270" s="376"/>
      <c r="F1270" s="376"/>
      <c r="G1270" s="376"/>
    </row>
    <row r="1271" spans="1:7" s="202" customFormat="1" x14ac:dyDescent="0.25">
      <c r="A1271" s="360" t="s">
        <v>20</v>
      </c>
      <c r="B1271" s="376">
        <v>1896.6</v>
      </c>
      <c r="C1271" s="376">
        <v>1798</v>
      </c>
      <c r="D1271" s="376">
        <v>2237.3000000000002</v>
      </c>
      <c r="E1271" s="376">
        <v>2254.5</v>
      </c>
      <c r="F1271" s="376">
        <v>2010.9</v>
      </c>
      <c r="G1271" s="376"/>
    </row>
    <row r="1272" spans="1:7" s="202" customFormat="1" x14ac:dyDescent="0.25">
      <c r="A1272" s="360" t="s">
        <v>21</v>
      </c>
      <c r="B1272" s="376">
        <v>2113.4</v>
      </c>
      <c r="C1272" s="376">
        <f>C1268-C1271</f>
        <v>2212</v>
      </c>
      <c r="D1272" s="376">
        <f>D1268-D1271</f>
        <v>1772.6999999999998</v>
      </c>
      <c r="E1272" s="376">
        <f>E1268-E1271</f>
        <v>1755.5</v>
      </c>
      <c r="F1272" s="376">
        <f>F1269-F1271</f>
        <v>1001.0999999999999</v>
      </c>
      <c r="G1272" s="376"/>
    </row>
    <row r="1273" spans="1:7" s="202" customFormat="1" x14ac:dyDescent="0.25">
      <c r="A1273" s="364" t="s">
        <v>22</v>
      </c>
      <c r="B1273" s="365"/>
      <c r="C1273" s="365"/>
      <c r="D1273" s="365"/>
      <c r="E1273" s="365"/>
      <c r="F1273" s="365"/>
      <c r="G1273" s="365"/>
    </row>
    <row r="1274" spans="1:7" s="202" customFormat="1" x14ac:dyDescent="0.25">
      <c r="A1274" s="366" t="s">
        <v>23</v>
      </c>
      <c r="B1274" s="368"/>
      <c r="C1274" s="368"/>
      <c r="D1274" s="368"/>
      <c r="E1274" s="368"/>
      <c r="F1274" s="368"/>
      <c r="G1274" s="397"/>
    </row>
    <row r="1275" spans="1:7" s="202" customFormat="1" x14ac:dyDescent="0.25">
      <c r="A1275" s="366" t="s">
        <v>814</v>
      </c>
      <c r="B1275" s="368"/>
      <c r="C1275" s="368"/>
      <c r="D1275" s="368"/>
      <c r="E1275" s="368"/>
      <c r="F1275" s="368"/>
      <c r="G1275" s="397"/>
    </row>
    <row r="1276" spans="1:7" s="202" customFormat="1" x14ac:dyDescent="0.25">
      <c r="A1276" s="369" t="s">
        <v>650</v>
      </c>
      <c r="B1276" s="339"/>
      <c r="C1276" s="339"/>
      <c r="D1276" s="339"/>
      <c r="E1276" s="339"/>
      <c r="F1276" s="339"/>
      <c r="G1276" s="398"/>
    </row>
    <row r="1277" spans="1:7" s="202" customFormat="1" x14ac:dyDescent="0.25">
      <c r="A1277" s="369" t="s">
        <v>651</v>
      </c>
      <c r="B1277" s="339"/>
      <c r="C1277" s="339"/>
      <c r="D1277" s="339"/>
      <c r="E1277" s="339"/>
      <c r="F1277" s="339"/>
      <c r="G1277" s="398"/>
    </row>
    <row r="1278" spans="1:7" s="202" customFormat="1" x14ac:dyDescent="0.25">
      <c r="A1278" s="369" t="s">
        <v>815</v>
      </c>
      <c r="B1278" s="339"/>
      <c r="C1278" s="339"/>
      <c r="D1278" s="339"/>
      <c r="E1278" s="339"/>
      <c r="F1278" s="339"/>
      <c r="G1278" s="398"/>
    </row>
    <row r="1279" spans="1:7" s="202" customFormat="1" x14ac:dyDescent="0.25">
      <c r="A1279" s="369" t="s">
        <v>816</v>
      </c>
      <c r="B1279" s="339"/>
      <c r="C1279" s="339"/>
      <c r="D1279" s="339"/>
      <c r="E1279" s="339"/>
      <c r="F1279" s="339"/>
      <c r="G1279" s="398"/>
    </row>
    <row r="1280" spans="1:7" s="202" customFormat="1" x14ac:dyDescent="0.25">
      <c r="A1280" s="427" t="s">
        <v>1041</v>
      </c>
      <c r="B1280" s="339"/>
      <c r="C1280" s="339"/>
      <c r="D1280" s="339"/>
      <c r="E1280" s="339"/>
      <c r="F1280" s="339"/>
      <c r="G1280" s="398"/>
    </row>
    <row r="1281" spans="1:16" x14ac:dyDescent="0.25">
      <c r="A1281" s="427" t="s">
        <v>1089</v>
      </c>
      <c r="C1281" s="348"/>
      <c r="G1281" s="64"/>
    </row>
    <row r="1282" spans="1:16" s="411" customFormat="1" ht="13.8" x14ac:dyDescent="0.3">
      <c r="A1282" s="423" t="s">
        <v>1235</v>
      </c>
      <c r="B1282" s="34"/>
      <c r="C1282" s="34"/>
      <c r="D1282" s="34"/>
      <c r="E1282" s="34"/>
      <c r="F1282" s="34"/>
      <c r="G1282" s="48"/>
      <c r="H1282" s="48"/>
      <c r="I1282" s="3"/>
      <c r="J1282" s="3"/>
      <c r="K1282" s="3"/>
      <c r="L1282" s="3"/>
      <c r="M1282" s="3"/>
      <c r="N1282" s="3"/>
      <c r="O1282" s="3"/>
      <c r="P1282" s="3"/>
    </row>
    <row r="1283" spans="1:16" s="411" customFormat="1" ht="13.8" x14ac:dyDescent="0.3">
      <c r="A1283" s="612"/>
      <c r="B1283" s="3"/>
      <c r="C1283" s="3"/>
      <c r="D1283" s="3"/>
      <c r="E1283" s="3"/>
      <c r="F1283" s="3"/>
      <c r="G1283" s="3"/>
      <c r="H1283" s="3"/>
      <c r="I1283" s="3"/>
      <c r="J1283" s="3"/>
      <c r="K1283" s="3"/>
      <c r="L1283" s="3"/>
      <c r="M1283" s="3"/>
      <c r="N1283" s="3"/>
      <c r="O1283" s="3"/>
      <c r="P1283" s="3"/>
    </row>
    <row r="1284" spans="1:16" s="411" customFormat="1" ht="13.8" x14ac:dyDescent="0.3">
      <c r="A1284" s="626" t="s">
        <v>12</v>
      </c>
      <c r="B1284" s="627" t="s">
        <v>173</v>
      </c>
      <c r="C1284" s="339"/>
      <c r="D1284" s="339"/>
      <c r="E1284" s="3"/>
      <c r="F1284" s="3"/>
      <c r="G1284" s="3"/>
      <c r="H1284" s="3"/>
      <c r="I1284" s="3"/>
      <c r="J1284" s="3"/>
      <c r="K1284" s="3"/>
      <c r="L1284" s="3"/>
      <c r="M1284" s="3"/>
      <c r="N1284" s="3"/>
      <c r="O1284" s="3"/>
      <c r="P1284" s="3"/>
    </row>
    <row r="1285" spans="1:16" s="411" customFormat="1" ht="13.8" x14ac:dyDescent="0.3">
      <c r="A1285" s="626" t="s">
        <v>14</v>
      </c>
      <c r="B1285" s="627" t="s">
        <v>1237</v>
      </c>
      <c r="C1285" s="627" t="s">
        <v>15</v>
      </c>
      <c r="D1285" s="339"/>
      <c r="E1285" s="3"/>
      <c r="F1285" s="3"/>
      <c r="G1285" s="3"/>
      <c r="H1285" s="3"/>
      <c r="I1285" s="3"/>
      <c r="J1285" s="3"/>
      <c r="K1285" s="3"/>
      <c r="L1285" s="3"/>
      <c r="M1285" s="3"/>
      <c r="N1285" s="3"/>
      <c r="O1285" s="3"/>
      <c r="P1285" s="3"/>
    </row>
    <row r="1286" spans="1:16" s="411" customFormat="1" ht="13.8" x14ac:dyDescent="0.3">
      <c r="A1286" s="379" t="s">
        <v>16</v>
      </c>
      <c r="B1286" s="620">
        <v>2024</v>
      </c>
      <c r="C1286" s="620">
        <v>2025</v>
      </c>
      <c r="D1286" s="620">
        <v>2026</v>
      </c>
      <c r="E1286" s="3"/>
      <c r="F1286" s="3"/>
      <c r="G1286" s="3"/>
      <c r="H1286" s="3"/>
      <c r="I1286" s="3"/>
      <c r="J1286" s="3"/>
      <c r="K1286" s="3"/>
      <c r="L1286" s="3"/>
      <c r="M1286" s="3"/>
      <c r="N1286" s="3"/>
      <c r="O1286" s="3"/>
      <c r="P1286" s="3"/>
    </row>
    <row r="1287" spans="1:16" s="411" customFormat="1" ht="13.8" x14ac:dyDescent="0.3">
      <c r="A1287" s="379" t="s">
        <v>17</v>
      </c>
      <c r="B1287" s="632">
        <v>1520</v>
      </c>
      <c r="C1287" s="632">
        <v>1520</v>
      </c>
      <c r="D1287" s="632">
        <v>1520</v>
      </c>
      <c r="E1287" s="3"/>
      <c r="F1287" s="3"/>
      <c r="G1287" s="3"/>
      <c r="H1287" s="3"/>
      <c r="I1287" s="3"/>
      <c r="J1287" s="3"/>
      <c r="K1287" s="3"/>
      <c r="L1287" s="3"/>
      <c r="M1287" s="3"/>
      <c r="N1287" s="3"/>
      <c r="O1287" s="3"/>
      <c r="P1287" s="3"/>
    </row>
    <row r="1288" spans="1:16" s="411" customFormat="1" ht="13.8" x14ac:dyDescent="0.3">
      <c r="A1288" s="379" t="s">
        <v>18</v>
      </c>
      <c r="B1288" s="632">
        <v>1520</v>
      </c>
      <c r="C1288" s="632">
        <v>1520</v>
      </c>
      <c r="D1288" s="632">
        <v>1520</v>
      </c>
      <c r="E1288" s="3"/>
      <c r="F1288" s="3"/>
      <c r="G1288" s="3"/>
      <c r="H1288" s="3"/>
      <c r="I1288" s="3"/>
      <c r="J1288" s="3"/>
      <c r="K1288" s="3"/>
      <c r="L1288" s="3"/>
      <c r="M1288" s="3"/>
      <c r="N1288" s="3"/>
      <c r="O1288" s="3"/>
      <c r="P1288" s="3"/>
    </row>
    <row r="1289" spans="1:16" s="411" customFormat="1" ht="13.8" x14ac:dyDescent="0.3">
      <c r="A1289" s="379" t="s">
        <v>19</v>
      </c>
      <c r="B1289" s="632"/>
      <c r="C1289" s="632"/>
      <c r="D1289" s="632"/>
      <c r="E1289" s="3"/>
      <c r="F1289" s="3"/>
      <c r="G1289" s="3"/>
      <c r="H1289" s="3"/>
      <c r="I1289" s="3"/>
      <c r="J1289" s="3"/>
      <c r="K1289" s="3"/>
      <c r="L1289" s="3"/>
      <c r="M1289" s="3"/>
      <c r="N1289" s="3"/>
      <c r="O1289" s="3"/>
      <c r="P1289" s="3"/>
    </row>
    <row r="1290" spans="1:16" s="411" customFormat="1" ht="13.8" x14ac:dyDescent="0.3">
      <c r="A1290" s="379" t="s">
        <v>20</v>
      </c>
      <c r="B1290" s="633">
        <v>858.7</v>
      </c>
      <c r="C1290" s="634" t="s">
        <v>1137</v>
      </c>
      <c r="D1290" s="634" t="s">
        <v>1137</v>
      </c>
      <c r="E1290" s="3"/>
      <c r="F1290" s="3"/>
      <c r="G1290" s="3"/>
      <c r="H1290" s="3"/>
      <c r="I1290" s="3"/>
      <c r="J1290" s="3"/>
      <c r="K1290" s="3"/>
      <c r="L1290" s="3"/>
      <c r="M1290" s="3"/>
      <c r="N1290" s="3"/>
      <c r="O1290" s="3"/>
      <c r="P1290" s="3"/>
    </row>
    <row r="1291" spans="1:16" s="411" customFormat="1" ht="13.8" x14ac:dyDescent="0.3">
      <c r="A1291" s="366" t="s">
        <v>21</v>
      </c>
      <c r="B1291" s="635">
        <f>B1288-B1290</f>
        <v>661.3</v>
      </c>
      <c r="C1291" s="636" t="s">
        <v>1137</v>
      </c>
      <c r="D1291" s="636" t="s">
        <v>1137</v>
      </c>
      <c r="E1291" s="3"/>
      <c r="F1291" s="3"/>
      <c r="G1291" s="3"/>
      <c r="H1291" s="3"/>
      <c r="I1291" s="3"/>
      <c r="J1291" s="3"/>
      <c r="K1291" s="3"/>
      <c r="L1291" s="3"/>
      <c r="M1291" s="3"/>
      <c r="N1291" s="3"/>
      <c r="O1291" s="3"/>
      <c r="P1291" s="3"/>
    </row>
    <row r="1292" spans="1:16" s="411" customFormat="1" ht="13.8" x14ac:dyDescent="0.3">
      <c r="A1292" s="379" t="s">
        <v>22</v>
      </c>
      <c r="B1292" s="380"/>
      <c r="C1292" s="380"/>
      <c r="D1292" s="628"/>
      <c r="E1292" s="3"/>
      <c r="F1292" s="3"/>
      <c r="G1292" s="3"/>
      <c r="H1292" s="3"/>
      <c r="I1292" s="3"/>
      <c r="J1292" s="3"/>
      <c r="K1292" s="3"/>
      <c r="L1292" s="3"/>
      <c r="M1292" s="3"/>
      <c r="N1292" s="3"/>
      <c r="O1292" s="3"/>
      <c r="P1292" s="3"/>
    </row>
    <row r="1293" spans="1:16" s="411" customFormat="1" ht="13.8" x14ac:dyDescent="0.3">
      <c r="A1293" s="369" t="s">
        <v>23</v>
      </c>
      <c r="B1293" s="8"/>
      <c r="C1293" s="8"/>
      <c r="D1293" s="629"/>
      <c r="E1293" s="3"/>
      <c r="F1293" s="3"/>
      <c r="G1293" s="3"/>
      <c r="H1293" s="3"/>
      <c r="I1293" s="3"/>
      <c r="J1293" s="3"/>
      <c r="K1293" s="3"/>
      <c r="L1293" s="3"/>
      <c r="M1293" s="3"/>
      <c r="N1293" s="3"/>
      <c r="O1293" s="3"/>
      <c r="P1293" s="3"/>
    </row>
    <row r="1294" spans="1:16" s="631" customFormat="1" ht="13.8" x14ac:dyDescent="0.3">
      <c r="A1294" s="423" t="s">
        <v>1238</v>
      </c>
      <c r="B1294" s="625"/>
      <c r="C1294" s="625"/>
      <c r="D1294" s="630"/>
      <c r="E1294" s="45"/>
      <c r="F1294" s="45"/>
      <c r="G1294" s="45"/>
      <c r="H1294" s="45"/>
      <c r="I1294" s="45"/>
      <c r="J1294" s="45"/>
      <c r="K1294" s="45"/>
      <c r="L1294" s="45"/>
      <c r="M1294" s="45"/>
      <c r="N1294" s="45"/>
      <c r="O1294" s="45"/>
      <c r="P1294" s="45"/>
    </row>
    <row r="1295" spans="1:16" x14ac:dyDescent="0.25">
      <c r="A1295" s="429"/>
      <c r="C1295" s="348"/>
    </row>
    <row r="1296" spans="1:16" x14ac:dyDescent="0.25">
      <c r="A1296" s="352" t="s">
        <v>14</v>
      </c>
      <c r="B1296" s="405" t="s">
        <v>1052</v>
      </c>
      <c r="C1296" s="405" t="s">
        <v>15</v>
      </c>
      <c r="D1296" s="339"/>
    </row>
    <row r="1297" spans="1:16" x14ac:dyDescent="0.25">
      <c r="A1297" s="360" t="s">
        <v>16</v>
      </c>
      <c r="B1297" s="430">
        <v>2023</v>
      </c>
      <c r="C1297" s="430">
        <v>2024</v>
      </c>
      <c r="D1297" s="430">
        <v>2025</v>
      </c>
      <c r="E1297" s="431"/>
      <c r="F1297" s="430"/>
    </row>
    <row r="1298" spans="1:16" x14ac:dyDescent="0.25">
      <c r="A1298" s="360" t="s">
        <v>17</v>
      </c>
      <c r="B1298" s="361">
        <v>62</v>
      </c>
      <c r="C1298" s="361">
        <v>62</v>
      </c>
      <c r="D1298" s="361">
        <v>62</v>
      </c>
      <c r="E1298" s="432"/>
      <c r="F1298" s="361"/>
    </row>
    <row r="1299" spans="1:16" x14ac:dyDescent="0.25">
      <c r="A1299" s="360" t="s">
        <v>18</v>
      </c>
      <c r="B1299" s="361">
        <v>62</v>
      </c>
      <c r="C1299" s="361">
        <v>62</v>
      </c>
      <c r="D1299" s="361">
        <v>62</v>
      </c>
      <c r="E1299" s="432"/>
      <c r="F1299" s="361"/>
    </row>
    <row r="1300" spans="1:16" x14ac:dyDescent="0.25">
      <c r="A1300" s="360" t="s">
        <v>19</v>
      </c>
      <c r="B1300" s="361"/>
      <c r="C1300" s="361"/>
      <c r="D1300" s="361"/>
      <c r="E1300" s="432"/>
      <c r="F1300" s="361"/>
    </row>
    <row r="1301" spans="1:16" x14ac:dyDescent="0.25">
      <c r="A1301" s="360" t="s">
        <v>20</v>
      </c>
      <c r="B1301" s="361">
        <v>4.4000000000000004</v>
      </c>
      <c r="C1301" s="361">
        <v>6.8</v>
      </c>
      <c r="D1301" s="361"/>
      <c r="E1301" s="432"/>
      <c r="F1301" s="361"/>
    </row>
    <row r="1302" spans="1:16" x14ac:dyDescent="0.25">
      <c r="A1302" s="360" t="s">
        <v>21</v>
      </c>
      <c r="B1302" s="365">
        <f>B1298-B1301</f>
        <v>57.6</v>
      </c>
      <c r="C1302" s="365">
        <f>C1298-C1301</f>
        <v>55.2</v>
      </c>
      <c r="D1302" s="365"/>
      <c r="E1302" s="433"/>
      <c r="F1302" s="361"/>
    </row>
    <row r="1303" spans="1:16" ht="13.8" x14ac:dyDescent="0.3">
      <c r="A1303" s="366" t="s">
        <v>22</v>
      </c>
      <c r="B1303" s="624"/>
      <c r="C1303" s="623"/>
      <c r="D1303" s="623"/>
      <c r="E1303" s="368"/>
      <c r="F1303" s="623"/>
    </row>
    <row r="1304" spans="1:16" x14ac:dyDescent="0.25">
      <c r="A1304" s="366" t="s">
        <v>23</v>
      </c>
      <c r="B1304" s="368"/>
      <c r="C1304" s="368"/>
      <c r="D1304" s="368"/>
      <c r="E1304" s="19"/>
      <c r="F1304" s="63"/>
    </row>
    <row r="1305" spans="1:16" x14ac:dyDescent="0.25">
      <c r="A1305" s="369" t="s">
        <v>1090</v>
      </c>
      <c r="B1305" s="339"/>
      <c r="C1305" s="339"/>
      <c r="D1305" s="339"/>
      <c r="F1305" s="64"/>
    </row>
    <row r="1306" spans="1:16" x14ac:dyDescent="0.25">
      <c r="A1306" s="426" t="s">
        <v>1188</v>
      </c>
      <c r="F1306" s="64"/>
    </row>
    <row r="1307" spans="1:16" s="411" customFormat="1" ht="13.8" x14ac:dyDescent="0.3">
      <c r="A1307" s="423" t="s">
        <v>1236</v>
      </c>
      <c r="B1307" s="43"/>
      <c r="C1307" s="43"/>
      <c r="D1307" s="43"/>
      <c r="E1307" s="43"/>
      <c r="F1307" s="44"/>
      <c r="G1307" s="3"/>
      <c r="H1307" s="3"/>
      <c r="I1307" s="3"/>
      <c r="J1307" s="3"/>
      <c r="K1307" s="3"/>
      <c r="L1307" s="3"/>
      <c r="M1307" s="3"/>
      <c r="N1307" s="3"/>
      <c r="O1307" s="3"/>
      <c r="P1307" s="3"/>
    </row>
    <row r="1308" spans="1:16" x14ac:dyDescent="0.25">
      <c r="A1308" s="429"/>
      <c r="C1308" s="348"/>
    </row>
    <row r="1309" spans="1:16" x14ac:dyDescent="0.25">
      <c r="A1309" s="315"/>
      <c r="C1309" s="348"/>
    </row>
    <row r="1310" spans="1:16" x14ac:dyDescent="0.25">
      <c r="A1310" s="98" t="s">
        <v>673</v>
      </c>
      <c r="B1310" s="66" t="s">
        <v>672</v>
      </c>
      <c r="C1310" s="8"/>
      <c r="D1310" s="8"/>
      <c r="E1310" s="8"/>
      <c r="F1310" s="8"/>
      <c r="G1310" s="8"/>
    </row>
    <row r="1311" spans="1:16" x14ac:dyDescent="0.25">
      <c r="A1311" s="103" t="s">
        <v>14</v>
      </c>
      <c r="B1311" s="104" t="s">
        <v>624</v>
      </c>
      <c r="C1311" s="66" t="s">
        <v>15</v>
      </c>
      <c r="D1311" s="8"/>
      <c r="E1311" s="8"/>
      <c r="F1311" s="8"/>
      <c r="G1311" s="8"/>
    </row>
    <row r="1312" spans="1:16" x14ac:dyDescent="0.25">
      <c r="A1312" s="95" t="s">
        <v>16</v>
      </c>
      <c r="B1312" s="270">
        <v>2014</v>
      </c>
      <c r="C1312" s="263">
        <v>2015</v>
      </c>
      <c r="D1312" s="263">
        <v>2016</v>
      </c>
      <c r="E1312" s="263">
        <v>2017</v>
      </c>
      <c r="F1312" s="341">
        <v>2018</v>
      </c>
      <c r="G1312" s="341">
        <v>2019</v>
      </c>
      <c r="H1312" s="154">
        <v>2020</v>
      </c>
      <c r="I1312" s="154">
        <v>2021</v>
      </c>
      <c r="J1312" s="154">
        <v>2022</v>
      </c>
      <c r="K1312" s="154">
        <v>2023</v>
      </c>
      <c r="L1312" s="154">
        <v>2024</v>
      </c>
      <c r="M1312" s="154">
        <v>2025</v>
      </c>
    </row>
    <row r="1313" spans="1:14" x14ac:dyDescent="0.25">
      <c r="A1313" s="68" t="s">
        <v>17</v>
      </c>
      <c r="B1313" s="72">
        <v>200</v>
      </c>
      <c r="C1313" s="72">
        <v>200</v>
      </c>
      <c r="D1313" s="72">
        <v>200</v>
      </c>
      <c r="E1313" s="72">
        <v>200</v>
      </c>
      <c r="F1313" s="97">
        <v>200</v>
      </c>
      <c r="G1313" s="97">
        <v>215</v>
      </c>
      <c r="H1313" s="97">
        <v>215</v>
      </c>
      <c r="I1313" s="97">
        <v>242</v>
      </c>
      <c r="J1313" s="97">
        <v>242</v>
      </c>
      <c r="K1313" s="97">
        <v>242</v>
      </c>
      <c r="L1313" s="97">
        <v>302</v>
      </c>
      <c r="M1313" s="97">
        <v>302</v>
      </c>
    </row>
    <row r="1314" spans="1:14" x14ac:dyDescent="0.25">
      <c r="A1314" s="68" t="s">
        <v>18</v>
      </c>
      <c r="B1314" s="72">
        <v>250</v>
      </c>
      <c r="C1314" s="72">
        <v>215.6</v>
      </c>
      <c r="D1314" s="72">
        <v>250</v>
      </c>
      <c r="E1314" s="72">
        <v>250</v>
      </c>
      <c r="F1314" s="97">
        <v>250</v>
      </c>
      <c r="G1314" s="97">
        <v>265</v>
      </c>
      <c r="H1314" s="97">
        <v>265</v>
      </c>
      <c r="I1314" s="97">
        <f>I1313+0.25*G1313</f>
        <v>295.75</v>
      </c>
      <c r="J1314" s="97">
        <f>J1313+0.25*H1313</f>
        <v>295.75</v>
      </c>
      <c r="K1314" s="97">
        <f>K1313+I1313*0.25</f>
        <v>302.5</v>
      </c>
      <c r="L1314" s="97">
        <f>L1313+J1313*0.25</f>
        <v>362.5</v>
      </c>
      <c r="M1314" s="97">
        <f>M1313+K1313*0.25</f>
        <v>362.5</v>
      </c>
    </row>
    <row r="1315" spans="1:14" x14ac:dyDescent="0.25">
      <c r="A1315" s="68" t="s">
        <v>19</v>
      </c>
      <c r="B1315" s="434" t="s">
        <v>132</v>
      </c>
      <c r="C1315" s="253" t="s">
        <v>133</v>
      </c>
      <c r="D1315" s="253" t="s">
        <v>134</v>
      </c>
      <c r="E1315" s="253" t="s">
        <v>134</v>
      </c>
      <c r="F1315" s="253" t="s">
        <v>134</v>
      </c>
      <c r="G1315" s="253" t="s">
        <v>497</v>
      </c>
      <c r="H1315" s="253" t="s">
        <v>497</v>
      </c>
      <c r="I1315" s="253" t="s">
        <v>498</v>
      </c>
      <c r="J1315" s="253" t="s">
        <v>498</v>
      </c>
      <c r="K1315" s="253" t="s">
        <v>822</v>
      </c>
      <c r="L1315" s="253" t="s">
        <v>822</v>
      </c>
      <c r="M1315" s="253" t="s">
        <v>822</v>
      </c>
    </row>
    <row r="1316" spans="1:14" x14ac:dyDescent="0.25">
      <c r="A1316" s="68" t="s">
        <v>20</v>
      </c>
      <c r="B1316" s="72">
        <v>63.87</v>
      </c>
      <c r="C1316" s="72">
        <v>4.54</v>
      </c>
      <c r="D1316" s="72">
        <v>13.18</v>
      </c>
      <c r="E1316" s="72">
        <v>7.9</v>
      </c>
      <c r="F1316" s="97">
        <v>27.27</v>
      </c>
      <c r="G1316" s="97">
        <v>48.48</v>
      </c>
      <c r="H1316" s="12">
        <v>115.9</v>
      </c>
      <c r="I1316" s="12">
        <v>114.61</v>
      </c>
      <c r="J1316" s="12">
        <v>124.28</v>
      </c>
      <c r="K1316" s="12">
        <v>105.64</v>
      </c>
      <c r="L1316" s="12">
        <v>127.99</v>
      </c>
      <c r="M1316" s="12"/>
    </row>
    <row r="1317" spans="1:14" x14ac:dyDescent="0.25">
      <c r="A1317" s="68" t="s">
        <v>21</v>
      </c>
      <c r="B1317" s="72">
        <v>186.13</v>
      </c>
      <c r="C1317" s="72">
        <v>211.06</v>
      </c>
      <c r="D1317" s="72">
        <v>236.82</v>
      </c>
      <c r="E1317" s="72">
        <v>242.1</v>
      </c>
      <c r="F1317" s="97">
        <v>222.73</v>
      </c>
      <c r="G1317" s="97">
        <f t="shared" ref="G1317:L1317" si="51">G1314-G1316</f>
        <v>216.52</v>
      </c>
      <c r="H1317" s="12">
        <f t="shared" si="51"/>
        <v>149.1</v>
      </c>
      <c r="I1317" s="12">
        <f t="shared" si="51"/>
        <v>181.14</v>
      </c>
      <c r="J1317" s="12">
        <f t="shared" si="51"/>
        <v>171.47</v>
      </c>
      <c r="K1317" s="12">
        <f t="shared" si="51"/>
        <v>196.86</v>
      </c>
      <c r="L1317" s="12">
        <f t="shared" si="51"/>
        <v>234.51</v>
      </c>
      <c r="M1317" s="12"/>
    </row>
    <row r="1318" spans="1:14" x14ac:dyDescent="0.25">
      <c r="A1318" s="73" t="s">
        <v>22</v>
      </c>
      <c r="B1318" s="254">
        <v>2016</v>
      </c>
      <c r="C1318" s="254">
        <v>2017</v>
      </c>
      <c r="D1318" s="254">
        <v>2018</v>
      </c>
      <c r="E1318" s="254">
        <v>2019</v>
      </c>
      <c r="F1318" s="435">
        <v>2020</v>
      </c>
      <c r="G1318" s="435">
        <v>2021</v>
      </c>
      <c r="H1318" s="159">
        <v>2022</v>
      </c>
      <c r="I1318" s="159">
        <v>2023</v>
      </c>
      <c r="J1318" s="159">
        <v>2024</v>
      </c>
      <c r="K1318" s="159">
        <v>2025</v>
      </c>
      <c r="L1318" s="159">
        <v>2026</v>
      </c>
      <c r="M1318" s="180">
        <v>2027</v>
      </c>
    </row>
    <row r="1319" spans="1:14" x14ac:dyDescent="0.25">
      <c r="A1319" s="436" t="s">
        <v>135</v>
      </c>
      <c r="B1319" s="437"/>
      <c r="C1319" s="437"/>
      <c r="D1319" s="437"/>
      <c r="E1319" s="437"/>
      <c r="F1319" s="437"/>
      <c r="G1319" s="437"/>
      <c r="H1319" s="437"/>
      <c r="I1319" s="437"/>
      <c r="J1319" s="30"/>
      <c r="K1319" s="30"/>
      <c r="L1319" s="30"/>
      <c r="M1319" s="88"/>
    </row>
    <row r="1320" spans="1:14" x14ac:dyDescent="0.25">
      <c r="A1320" s="315"/>
      <c r="C1320" s="348"/>
    </row>
    <row r="1321" spans="1:14" x14ac:dyDescent="0.25">
      <c r="A1321" s="98" t="s">
        <v>14</v>
      </c>
      <c r="B1321" s="66" t="s">
        <v>638</v>
      </c>
      <c r="C1321" s="66" t="s">
        <v>15</v>
      </c>
      <c r="D1321" s="8"/>
      <c r="E1321" s="8"/>
      <c r="F1321" s="8"/>
      <c r="G1321" s="8"/>
    </row>
    <row r="1322" spans="1:14" x14ac:dyDescent="0.25">
      <c r="A1322" s="95" t="s">
        <v>16</v>
      </c>
      <c r="B1322" s="270">
        <v>2014</v>
      </c>
      <c r="C1322" s="263">
        <v>2015</v>
      </c>
      <c r="D1322" s="263">
        <v>2016</v>
      </c>
      <c r="E1322" s="263">
        <v>2017</v>
      </c>
      <c r="F1322" s="341">
        <v>2018</v>
      </c>
      <c r="G1322" s="341">
        <v>2019</v>
      </c>
      <c r="H1322" s="154">
        <v>2020</v>
      </c>
      <c r="I1322" s="154">
        <v>2021</v>
      </c>
      <c r="J1322" s="154">
        <v>2022</v>
      </c>
      <c r="K1322" s="154">
        <v>2023</v>
      </c>
      <c r="L1322" s="154">
        <v>2024</v>
      </c>
      <c r="M1322" s="154">
        <v>2025</v>
      </c>
      <c r="N1322" s="154">
        <v>2026</v>
      </c>
    </row>
    <row r="1323" spans="1:14" x14ac:dyDescent="0.25">
      <c r="A1323" s="68" t="s">
        <v>17</v>
      </c>
      <c r="B1323" s="72">
        <v>140</v>
      </c>
      <c r="C1323" s="72">
        <v>140</v>
      </c>
      <c r="D1323" s="72">
        <v>140</v>
      </c>
      <c r="E1323" s="72">
        <v>140</v>
      </c>
      <c r="F1323" s="97">
        <v>140</v>
      </c>
      <c r="G1323" s="97">
        <v>140</v>
      </c>
      <c r="H1323" s="97">
        <v>140</v>
      </c>
      <c r="I1323" s="97">
        <v>140</v>
      </c>
      <c r="J1323" s="97">
        <v>140</v>
      </c>
      <c r="K1323" s="97">
        <v>170</v>
      </c>
      <c r="L1323" s="97">
        <v>170</v>
      </c>
      <c r="M1323" s="97">
        <v>170</v>
      </c>
      <c r="N1323" s="97">
        <v>170</v>
      </c>
    </row>
    <row r="1324" spans="1:14" x14ac:dyDescent="0.25">
      <c r="A1324" s="68" t="s">
        <v>18</v>
      </c>
      <c r="B1324" s="72">
        <v>140</v>
      </c>
      <c r="C1324" s="72">
        <v>177.5</v>
      </c>
      <c r="D1324" s="72">
        <v>175</v>
      </c>
      <c r="E1324" s="72">
        <v>175</v>
      </c>
      <c r="F1324" s="97">
        <v>175</v>
      </c>
      <c r="G1324" s="97">
        <v>175</v>
      </c>
      <c r="H1324" s="97">
        <v>148.36000000000001</v>
      </c>
      <c r="I1324" s="97">
        <v>144.99</v>
      </c>
      <c r="J1324" s="97">
        <f>J1323+H1327</f>
        <v>156.91000000000003</v>
      </c>
      <c r="K1324" s="97">
        <f>K1323+I1327</f>
        <v>183.97</v>
      </c>
      <c r="L1324" s="97">
        <f>L1323+2.08</f>
        <v>172.08</v>
      </c>
      <c r="M1324" s="97">
        <f>M1323+0.25*K1323</f>
        <v>212.5</v>
      </c>
      <c r="N1324" s="97">
        <f>N1323+0.25*L1323</f>
        <v>212.5</v>
      </c>
    </row>
    <row r="1325" spans="1:14" x14ac:dyDescent="0.25">
      <c r="A1325" s="68" t="s">
        <v>19</v>
      </c>
      <c r="B1325" s="253" t="s">
        <v>136</v>
      </c>
      <c r="C1325" s="253" t="s">
        <v>137</v>
      </c>
      <c r="D1325" s="253" t="s">
        <v>138</v>
      </c>
      <c r="E1325" s="253" t="s">
        <v>138</v>
      </c>
      <c r="F1325" s="253" t="s">
        <v>138</v>
      </c>
      <c r="G1325" s="253" t="s">
        <v>138</v>
      </c>
      <c r="H1325" s="253" t="s">
        <v>285</v>
      </c>
      <c r="I1325" s="253" t="s">
        <v>499</v>
      </c>
      <c r="J1325" s="253" t="s">
        <v>500</v>
      </c>
      <c r="K1325" s="253" t="s">
        <v>733</v>
      </c>
      <c r="L1325" s="253" t="s">
        <v>926</v>
      </c>
      <c r="M1325" s="253" t="s">
        <v>1105</v>
      </c>
      <c r="N1325" s="253" t="s">
        <v>1105</v>
      </c>
    </row>
    <row r="1326" spans="1:14" x14ac:dyDescent="0.25">
      <c r="A1326" s="68" t="s">
        <v>20</v>
      </c>
      <c r="B1326" s="72">
        <v>3.42</v>
      </c>
      <c r="C1326" s="72">
        <v>3.47</v>
      </c>
      <c r="D1326" s="72">
        <v>48.27</v>
      </c>
      <c r="E1326" s="72">
        <v>85.96</v>
      </c>
      <c r="F1326" s="97">
        <v>166.64</v>
      </c>
      <c r="G1326" s="97">
        <v>170.01</v>
      </c>
      <c r="H1326" s="12">
        <v>131.44999999999999</v>
      </c>
      <c r="I1326" s="12">
        <v>131.02000000000001</v>
      </c>
      <c r="J1326" s="12">
        <v>152.91999999999999</v>
      </c>
      <c r="K1326" s="12">
        <v>88</v>
      </c>
      <c r="L1326" s="12">
        <v>168.33</v>
      </c>
      <c r="M1326" s="12"/>
      <c r="N1326" s="12"/>
    </row>
    <row r="1327" spans="1:14" x14ac:dyDescent="0.25">
      <c r="A1327" s="68" t="s">
        <v>21</v>
      </c>
      <c r="B1327" s="438">
        <v>136.58000000000001</v>
      </c>
      <c r="C1327" s="72">
        <v>174.03</v>
      </c>
      <c r="D1327" s="72">
        <v>126.73</v>
      </c>
      <c r="E1327" s="72">
        <v>89.04</v>
      </c>
      <c r="F1327" s="97">
        <v>8.36</v>
      </c>
      <c r="G1327" s="97">
        <f t="shared" ref="G1327:K1327" si="52">G1324-G1326</f>
        <v>4.9900000000000091</v>
      </c>
      <c r="H1327" s="12">
        <f t="shared" si="52"/>
        <v>16.910000000000025</v>
      </c>
      <c r="I1327" s="12">
        <f t="shared" si="52"/>
        <v>13.969999999999999</v>
      </c>
      <c r="J1327" s="12">
        <f t="shared" si="52"/>
        <v>3.9900000000000375</v>
      </c>
      <c r="K1327" s="12">
        <f t="shared" si="52"/>
        <v>95.97</v>
      </c>
      <c r="L1327" s="12">
        <f>L1324-L1326</f>
        <v>3.75</v>
      </c>
      <c r="M1327" s="12"/>
      <c r="N1327" s="12"/>
    </row>
    <row r="1328" spans="1:14" x14ac:dyDescent="0.25">
      <c r="A1328" s="73" t="s">
        <v>22</v>
      </c>
      <c r="B1328" s="254">
        <v>2016</v>
      </c>
      <c r="C1328" s="254">
        <v>2017</v>
      </c>
      <c r="D1328" s="254">
        <v>2018</v>
      </c>
      <c r="E1328" s="254">
        <v>2019</v>
      </c>
      <c r="F1328" s="435">
        <v>2020</v>
      </c>
      <c r="G1328" s="435">
        <v>2021</v>
      </c>
      <c r="H1328" s="159">
        <v>2022</v>
      </c>
      <c r="I1328" s="159">
        <v>2023</v>
      </c>
      <c r="J1328" s="159">
        <v>2024</v>
      </c>
      <c r="K1328" s="159">
        <v>2025</v>
      </c>
      <c r="L1328" s="159">
        <v>2026</v>
      </c>
      <c r="M1328" s="159">
        <v>2027</v>
      </c>
      <c r="N1328" s="197">
        <v>2028</v>
      </c>
    </row>
    <row r="1329" spans="1:14" x14ac:dyDescent="0.25">
      <c r="A1329" s="92" t="s">
        <v>135</v>
      </c>
      <c r="B1329" s="255"/>
      <c r="C1329" s="255"/>
      <c r="D1329" s="255"/>
      <c r="E1329" s="255"/>
      <c r="F1329" s="255"/>
      <c r="G1329" s="255"/>
      <c r="H1329" s="439"/>
      <c r="I1329" s="439"/>
      <c r="J1329" s="439"/>
      <c r="K1329" s="439"/>
      <c r="L1329" s="439"/>
      <c r="M1329" s="439"/>
      <c r="N1329" s="63"/>
    </row>
    <row r="1330" spans="1:14" x14ac:dyDescent="0.25">
      <c r="A1330" s="440" t="s">
        <v>927</v>
      </c>
      <c r="B1330" s="111"/>
      <c r="C1330" s="111"/>
      <c r="D1330" s="111"/>
      <c r="E1330" s="111"/>
      <c r="F1330" s="111"/>
      <c r="G1330" s="111"/>
      <c r="H1330" s="111"/>
      <c r="I1330" s="181"/>
      <c r="J1330" s="181"/>
      <c r="K1330" s="181"/>
      <c r="L1330" s="181"/>
      <c r="M1330" s="181"/>
      <c r="N1330" s="48"/>
    </row>
    <row r="1331" spans="1:14" x14ac:dyDescent="0.25">
      <c r="A1331" s="315"/>
      <c r="C1331" s="348"/>
    </row>
    <row r="1332" spans="1:14" x14ac:dyDescent="0.25">
      <c r="A1332" s="98" t="s">
        <v>14</v>
      </c>
      <c r="B1332" s="66" t="s">
        <v>623</v>
      </c>
      <c r="C1332" s="66" t="s">
        <v>152</v>
      </c>
      <c r="D1332" s="8"/>
      <c r="E1332" s="8"/>
      <c r="F1332" s="8"/>
      <c r="G1332" s="8"/>
    </row>
    <row r="1333" spans="1:14" x14ac:dyDescent="0.25">
      <c r="A1333" s="95" t="s">
        <v>16</v>
      </c>
      <c r="B1333" s="270">
        <v>2014</v>
      </c>
      <c r="C1333" s="263">
        <v>2015</v>
      </c>
      <c r="D1333" s="263">
        <v>2016</v>
      </c>
      <c r="E1333" s="263" t="s">
        <v>242</v>
      </c>
      <c r="F1333" s="263" t="s">
        <v>243</v>
      </c>
      <c r="G1333" s="263" t="s">
        <v>244</v>
      </c>
      <c r="H1333" s="263" t="s">
        <v>286</v>
      </c>
      <c r="I1333" s="263" t="s">
        <v>504</v>
      </c>
      <c r="J1333" s="263" t="s">
        <v>674</v>
      </c>
      <c r="K1333" s="263" t="s">
        <v>823</v>
      </c>
      <c r="L1333" s="263" t="s">
        <v>1043</v>
      </c>
      <c r="M1333" s="441" t="s">
        <v>1189</v>
      </c>
    </row>
    <row r="1334" spans="1:14" x14ac:dyDescent="0.25">
      <c r="A1334" s="68" t="s">
        <v>17</v>
      </c>
      <c r="B1334" s="72">
        <v>50</v>
      </c>
      <c r="C1334" s="72">
        <v>50</v>
      </c>
      <c r="D1334" s="72">
        <v>50</v>
      </c>
      <c r="E1334" s="72">
        <v>50</v>
      </c>
      <c r="F1334" s="72">
        <v>50</v>
      </c>
      <c r="G1334" s="72">
        <v>50</v>
      </c>
      <c r="H1334" s="12">
        <v>50</v>
      </c>
      <c r="I1334" s="12">
        <v>50</v>
      </c>
      <c r="J1334" s="12">
        <v>50</v>
      </c>
      <c r="K1334" s="12">
        <v>50</v>
      </c>
      <c r="L1334" s="12">
        <v>50</v>
      </c>
      <c r="M1334" s="442">
        <v>50</v>
      </c>
    </row>
    <row r="1335" spans="1:14" x14ac:dyDescent="0.25">
      <c r="A1335" s="68" t="s">
        <v>18</v>
      </c>
      <c r="B1335" s="72">
        <v>45.6</v>
      </c>
      <c r="C1335" s="72">
        <v>45.6</v>
      </c>
      <c r="D1335" s="72">
        <v>65.34</v>
      </c>
      <c r="E1335" s="72">
        <v>75</v>
      </c>
      <c r="F1335" s="72">
        <v>70</v>
      </c>
      <c r="G1335" s="72">
        <v>70</v>
      </c>
      <c r="H1335" s="12">
        <v>70</v>
      </c>
      <c r="I1335" s="12">
        <v>70</v>
      </c>
      <c r="J1335" s="12">
        <v>70</v>
      </c>
      <c r="K1335" s="12">
        <v>70</v>
      </c>
      <c r="L1335" s="12">
        <v>70</v>
      </c>
      <c r="M1335" s="442">
        <f>M1334+(K1334*0.4)</f>
        <v>70</v>
      </c>
    </row>
    <row r="1336" spans="1:14" x14ac:dyDescent="0.25">
      <c r="A1336" s="68" t="s">
        <v>19</v>
      </c>
      <c r="B1336" s="251" t="s">
        <v>139</v>
      </c>
      <c r="C1336" s="253" t="s">
        <v>139</v>
      </c>
      <c r="D1336" s="253" t="s">
        <v>140</v>
      </c>
      <c r="E1336" s="253" t="s">
        <v>141</v>
      </c>
      <c r="F1336" s="253" t="s">
        <v>245</v>
      </c>
      <c r="G1336" s="253" t="s">
        <v>245</v>
      </c>
      <c r="H1336" s="11" t="s">
        <v>245</v>
      </c>
      <c r="I1336" s="11" t="s">
        <v>245</v>
      </c>
      <c r="J1336" s="11" t="s">
        <v>245</v>
      </c>
      <c r="K1336" s="11" t="s">
        <v>245</v>
      </c>
      <c r="L1336" s="11" t="s">
        <v>245</v>
      </c>
      <c r="M1336" s="443" t="s">
        <v>1190</v>
      </c>
    </row>
    <row r="1337" spans="1:14" x14ac:dyDescent="0.25">
      <c r="A1337" s="68" t="s">
        <v>20</v>
      </c>
      <c r="B1337" s="72">
        <v>34.659999999999997</v>
      </c>
      <c r="C1337" s="72">
        <v>0</v>
      </c>
      <c r="D1337" s="72">
        <v>9.14</v>
      </c>
      <c r="E1337" s="72">
        <v>18.559999999999999</v>
      </c>
      <c r="F1337" s="72">
        <v>8.7899999999999991</v>
      </c>
      <c r="G1337" s="72">
        <v>9.3699999999999992</v>
      </c>
      <c r="H1337" s="12">
        <v>13.7</v>
      </c>
      <c r="I1337" s="12">
        <v>13.48</v>
      </c>
      <c r="J1337" s="12">
        <v>16.86</v>
      </c>
      <c r="K1337" s="12">
        <v>19.89</v>
      </c>
      <c r="L1337" s="12">
        <v>17.59</v>
      </c>
      <c r="M1337" s="442"/>
    </row>
    <row r="1338" spans="1:14" x14ac:dyDescent="0.25">
      <c r="A1338" s="68" t="s">
        <v>21</v>
      </c>
      <c r="B1338" s="72">
        <v>10.94</v>
      </c>
      <c r="C1338" s="72">
        <v>45.6</v>
      </c>
      <c r="D1338" s="72">
        <v>56.2</v>
      </c>
      <c r="E1338" s="72">
        <v>56.44</v>
      </c>
      <c r="F1338" s="72">
        <v>61.21</v>
      </c>
      <c r="G1338" s="72">
        <f t="shared" ref="G1338:L1338" si="53">G1335-G1337</f>
        <v>60.63</v>
      </c>
      <c r="H1338" s="72">
        <f t="shared" si="53"/>
        <v>56.3</v>
      </c>
      <c r="I1338" s="72">
        <f t="shared" si="53"/>
        <v>56.519999999999996</v>
      </c>
      <c r="J1338" s="72">
        <f t="shared" si="53"/>
        <v>53.14</v>
      </c>
      <c r="K1338" s="72">
        <f t="shared" si="53"/>
        <v>50.11</v>
      </c>
      <c r="L1338" s="72">
        <f t="shared" si="53"/>
        <v>52.41</v>
      </c>
      <c r="M1338" s="442"/>
    </row>
    <row r="1339" spans="1:14" x14ac:dyDescent="0.25">
      <c r="A1339" s="73" t="s">
        <v>22</v>
      </c>
      <c r="B1339" s="254">
        <v>2016</v>
      </c>
      <c r="C1339" s="254">
        <v>2017</v>
      </c>
      <c r="D1339" s="254">
        <v>2018</v>
      </c>
      <c r="E1339" s="254">
        <v>2019</v>
      </c>
      <c r="F1339" s="254">
        <v>2020</v>
      </c>
      <c r="G1339" s="254">
        <v>2021</v>
      </c>
      <c r="H1339" s="159">
        <v>2022</v>
      </c>
      <c r="I1339" s="159">
        <v>2023</v>
      </c>
      <c r="J1339" s="159">
        <v>2024</v>
      </c>
      <c r="K1339" s="159">
        <v>2025</v>
      </c>
      <c r="L1339" s="159">
        <v>2026</v>
      </c>
      <c r="M1339" s="444">
        <v>2026</v>
      </c>
    </row>
    <row r="1340" spans="1:14" x14ac:dyDescent="0.25">
      <c r="A1340" s="92" t="s">
        <v>579</v>
      </c>
      <c r="B1340" s="255"/>
      <c r="C1340" s="255"/>
      <c r="D1340" s="255"/>
      <c r="E1340" s="255"/>
      <c r="F1340" s="255"/>
      <c r="G1340" s="255"/>
      <c r="H1340" s="439"/>
      <c r="I1340" s="439"/>
      <c r="J1340" s="439"/>
      <c r="K1340" s="439"/>
      <c r="L1340" s="439"/>
      <c r="M1340" s="63"/>
    </row>
    <row r="1341" spans="1:14" x14ac:dyDescent="0.25">
      <c r="A1341" s="94" t="s">
        <v>502</v>
      </c>
      <c r="B1341" s="445"/>
      <c r="C1341" s="445"/>
      <c r="D1341" s="445"/>
      <c r="E1341" s="445"/>
      <c r="F1341" s="445"/>
      <c r="G1341" s="445"/>
      <c r="H1341" s="446"/>
      <c r="M1341" s="64"/>
    </row>
    <row r="1342" spans="1:14" x14ac:dyDescent="0.25">
      <c r="A1342" s="95" t="s">
        <v>503</v>
      </c>
      <c r="B1342" s="85"/>
      <c r="C1342" s="85"/>
      <c r="D1342" s="85"/>
      <c r="E1342" s="85"/>
      <c r="F1342" s="85"/>
      <c r="G1342" s="85"/>
      <c r="H1342" s="85"/>
      <c r="I1342" s="34"/>
      <c r="J1342" s="34"/>
      <c r="K1342" s="34"/>
      <c r="L1342" s="34"/>
      <c r="M1342" s="48"/>
    </row>
    <row r="1343" spans="1:14" ht="15.6" customHeight="1" x14ac:dyDescent="0.25">
      <c r="A1343" s="119"/>
      <c r="B1343" s="8"/>
      <c r="C1343" s="8"/>
      <c r="D1343" s="8"/>
      <c r="E1343" s="8"/>
      <c r="F1343" s="8"/>
      <c r="G1343" s="8"/>
    </row>
    <row r="1344" spans="1:14" x14ac:dyDescent="0.25">
      <c r="A1344" s="98" t="s">
        <v>14</v>
      </c>
      <c r="B1344" s="66" t="s">
        <v>641</v>
      </c>
      <c r="C1344" s="137" t="s">
        <v>152</v>
      </c>
      <c r="D1344" s="8"/>
      <c r="E1344" s="8"/>
      <c r="F1344" s="8"/>
      <c r="G1344" s="8"/>
    </row>
    <row r="1345" spans="1:14" x14ac:dyDescent="0.25">
      <c r="A1345" s="95" t="s">
        <v>16</v>
      </c>
      <c r="B1345" s="270">
        <v>2014</v>
      </c>
      <c r="C1345" s="263">
        <v>2015</v>
      </c>
      <c r="D1345" s="263">
        <v>2016</v>
      </c>
      <c r="E1345" s="263">
        <v>2017</v>
      </c>
      <c r="F1345" s="263" t="s">
        <v>243</v>
      </c>
      <c r="G1345" s="263" t="s">
        <v>244</v>
      </c>
      <c r="H1345" s="154" t="s">
        <v>286</v>
      </c>
      <c r="I1345" s="154" t="s">
        <v>504</v>
      </c>
      <c r="J1345" s="154" t="s">
        <v>674</v>
      </c>
      <c r="K1345" s="154">
        <v>2023</v>
      </c>
      <c r="L1345" s="154">
        <v>2023</v>
      </c>
      <c r="M1345" s="447">
        <v>2024</v>
      </c>
      <c r="N1345" s="447">
        <v>2025</v>
      </c>
    </row>
    <row r="1346" spans="1:14" x14ac:dyDescent="0.25">
      <c r="A1346" s="68" t="s">
        <v>17</v>
      </c>
      <c r="B1346" s="72">
        <v>50</v>
      </c>
      <c r="C1346" s="72">
        <v>50</v>
      </c>
      <c r="D1346" s="72">
        <v>50</v>
      </c>
      <c r="E1346" s="72">
        <v>50</v>
      </c>
      <c r="F1346" s="72">
        <v>50</v>
      </c>
      <c r="G1346" s="72">
        <v>50</v>
      </c>
      <c r="H1346" s="12">
        <v>50</v>
      </c>
      <c r="I1346" s="12">
        <v>50</v>
      </c>
      <c r="J1346" s="12">
        <v>50</v>
      </c>
      <c r="K1346" s="12">
        <v>50</v>
      </c>
      <c r="L1346" s="12">
        <v>50</v>
      </c>
      <c r="M1346" s="442">
        <v>50</v>
      </c>
      <c r="N1346" s="442">
        <v>50</v>
      </c>
    </row>
    <row r="1347" spans="1:14" x14ac:dyDescent="0.25">
      <c r="A1347" s="68" t="s">
        <v>18</v>
      </c>
      <c r="B1347" s="72">
        <v>50</v>
      </c>
      <c r="C1347" s="72">
        <v>60.7</v>
      </c>
      <c r="D1347" s="72">
        <v>47.37</v>
      </c>
      <c r="E1347" s="72">
        <v>65</v>
      </c>
      <c r="F1347" s="72">
        <v>60</v>
      </c>
      <c r="G1347" s="72">
        <v>60</v>
      </c>
      <c r="H1347" s="12">
        <f>H1346*1.2</f>
        <v>60</v>
      </c>
      <c r="I1347" s="12">
        <f>I1346*1.2</f>
        <v>60</v>
      </c>
      <c r="J1347" s="12">
        <f>J1346*1.2</f>
        <v>60</v>
      </c>
      <c r="K1347" s="12">
        <v>55</v>
      </c>
      <c r="L1347" s="12">
        <v>55</v>
      </c>
      <c r="M1347" s="442">
        <f>M1346+(K1346*0.1)</f>
        <v>55</v>
      </c>
      <c r="N1347" s="442">
        <f>N1346+(L1346*0.1)</f>
        <v>55</v>
      </c>
    </row>
    <row r="1348" spans="1:14" x14ac:dyDescent="0.25">
      <c r="A1348" s="68" t="s">
        <v>19</v>
      </c>
      <c r="B1348" s="253"/>
      <c r="C1348" s="253" t="s">
        <v>142</v>
      </c>
      <c r="D1348" s="253" t="s">
        <v>143</v>
      </c>
      <c r="E1348" s="253" t="s">
        <v>144</v>
      </c>
      <c r="F1348" s="253" t="s">
        <v>287</v>
      </c>
      <c r="G1348" s="253" t="s">
        <v>287</v>
      </c>
      <c r="H1348" s="253" t="s">
        <v>287</v>
      </c>
      <c r="I1348" s="253" t="s">
        <v>287</v>
      </c>
      <c r="J1348" s="253" t="s">
        <v>287</v>
      </c>
      <c r="K1348" s="253" t="s">
        <v>826</v>
      </c>
      <c r="L1348" s="253" t="s">
        <v>826</v>
      </c>
      <c r="M1348" s="448" t="s">
        <v>1191</v>
      </c>
      <c r="N1348" s="448" t="s">
        <v>1191</v>
      </c>
    </row>
    <row r="1349" spans="1:14" x14ac:dyDescent="0.25">
      <c r="A1349" s="68" t="s">
        <v>20</v>
      </c>
      <c r="B1349" s="72">
        <v>52.63</v>
      </c>
      <c r="C1349" s="72">
        <v>5.45</v>
      </c>
      <c r="D1349" s="72">
        <v>19.25</v>
      </c>
      <c r="E1349" s="72">
        <v>10.92</v>
      </c>
      <c r="F1349" s="72">
        <v>17.18</v>
      </c>
      <c r="G1349" s="72">
        <v>8.6999999999999993</v>
      </c>
      <c r="H1349" s="12">
        <v>15.41</v>
      </c>
      <c r="I1349" s="12">
        <v>5.56</v>
      </c>
      <c r="J1349" s="12">
        <v>6.37</v>
      </c>
      <c r="K1349" s="12">
        <v>4.57</v>
      </c>
      <c r="L1349" s="12"/>
      <c r="M1349" s="442">
        <v>9.85</v>
      </c>
      <c r="N1349" s="442"/>
    </row>
    <row r="1350" spans="1:14" x14ac:dyDescent="0.25">
      <c r="A1350" s="68" t="s">
        <v>21</v>
      </c>
      <c r="B1350" s="72">
        <v>-2.63</v>
      </c>
      <c r="C1350" s="72">
        <v>55.25</v>
      </c>
      <c r="D1350" s="72">
        <v>28.12</v>
      </c>
      <c r="E1350" s="72">
        <v>54.08</v>
      </c>
      <c r="F1350" s="72">
        <f t="shared" ref="F1350:K1350" si="54">F1347-F1349</f>
        <v>42.82</v>
      </c>
      <c r="G1350" s="72">
        <f t="shared" si="54"/>
        <v>51.3</v>
      </c>
      <c r="H1350" s="12">
        <f t="shared" si="54"/>
        <v>44.59</v>
      </c>
      <c r="I1350" s="12">
        <f t="shared" si="54"/>
        <v>54.44</v>
      </c>
      <c r="J1350" s="12">
        <f t="shared" si="54"/>
        <v>53.63</v>
      </c>
      <c r="K1350" s="12">
        <f t="shared" si="54"/>
        <v>50.43</v>
      </c>
      <c r="L1350" s="12"/>
      <c r="M1350" s="442">
        <f>M1347-M1349</f>
        <v>45.15</v>
      </c>
      <c r="N1350" s="442"/>
    </row>
    <row r="1351" spans="1:14" x14ac:dyDescent="0.25">
      <c r="A1351" s="73" t="s">
        <v>22</v>
      </c>
      <c r="B1351" s="254">
        <v>2016</v>
      </c>
      <c r="C1351" s="254">
        <v>2017</v>
      </c>
      <c r="D1351" s="254">
        <v>2018</v>
      </c>
      <c r="E1351" s="254">
        <v>2019</v>
      </c>
      <c r="F1351" s="254">
        <v>2020</v>
      </c>
      <c r="G1351" s="254">
        <v>2021</v>
      </c>
      <c r="H1351" s="159">
        <v>2022</v>
      </c>
      <c r="I1351" s="159">
        <v>2023</v>
      </c>
      <c r="J1351" s="159">
        <v>2024</v>
      </c>
      <c r="K1351" s="159">
        <v>2025</v>
      </c>
      <c r="L1351" s="159">
        <v>2025</v>
      </c>
      <c r="M1351" s="449">
        <v>2026</v>
      </c>
      <c r="N1351" s="449">
        <v>2026</v>
      </c>
    </row>
    <row r="1352" spans="1:14" x14ac:dyDescent="0.25">
      <c r="A1352" s="92" t="s">
        <v>455</v>
      </c>
      <c r="B1352" s="255"/>
      <c r="C1352" s="255"/>
      <c r="D1352" s="255"/>
      <c r="E1352" s="255"/>
      <c r="F1352" s="255"/>
      <c r="G1352" s="255"/>
      <c r="H1352" s="439"/>
      <c r="I1352" s="19"/>
      <c r="J1352" s="19"/>
      <c r="K1352" s="19"/>
      <c r="L1352" s="19"/>
      <c r="M1352" s="19"/>
      <c r="N1352" s="63"/>
    </row>
    <row r="1353" spans="1:14" x14ac:dyDescent="0.25">
      <c r="A1353" s="94" t="s">
        <v>824</v>
      </c>
      <c r="B1353" s="445"/>
      <c r="C1353" s="445"/>
      <c r="D1353" s="445"/>
      <c r="E1353" s="445"/>
      <c r="F1353" s="445"/>
      <c r="G1353" s="445"/>
      <c r="H1353" s="446"/>
      <c r="N1353" s="64"/>
    </row>
    <row r="1354" spans="1:14" x14ac:dyDescent="0.25">
      <c r="A1354" s="95" t="s">
        <v>825</v>
      </c>
      <c r="B1354" s="85"/>
      <c r="C1354" s="85"/>
      <c r="D1354" s="85"/>
      <c r="E1354" s="85"/>
      <c r="F1354" s="85"/>
      <c r="G1354" s="85"/>
      <c r="H1354" s="85"/>
      <c r="I1354" s="34"/>
      <c r="J1354" s="34"/>
      <c r="K1354" s="34"/>
      <c r="L1354" s="34"/>
      <c r="M1354" s="34"/>
      <c r="N1354" s="48"/>
    </row>
    <row r="1355" spans="1:14" ht="14.4" customHeight="1" x14ac:dyDescent="0.25">
      <c r="A1355" s="138"/>
      <c r="B1355" s="138"/>
      <c r="C1355" s="138"/>
      <c r="D1355" s="138"/>
      <c r="E1355" s="138"/>
      <c r="F1355" s="138"/>
      <c r="G1355" s="138"/>
      <c r="H1355" s="138"/>
    </row>
    <row r="1356" spans="1:14" ht="14.4" customHeight="1" x14ac:dyDescent="0.25">
      <c r="A1356" s="98" t="s">
        <v>203</v>
      </c>
      <c r="B1356" s="66" t="s">
        <v>642</v>
      </c>
      <c r="C1356" s="66" t="s">
        <v>152</v>
      </c>
      <c r="D1356" s="8"/>
      <c r="E1356" s="8"/>
      <c r="F1356" s="8"/>
      <c r="G1356" s="8"/>
    </row>
    <row r="1357" spans="1:14" ht="14.4" customHeight="1" x14ac:dyDescent="0.25">
      <c r="A1357" s="95" t="s">
        <v>16</v>
      </c>
      <c r="B1357" s="247"/>
      <c r="C1357" s="69"/>
      <c r="D1357" s="263">
        <v>2016</v>
      </c>
      <c r="E1357" s="263">
        <v>2017</v>
      </c>
      <c r="F1357" s="263">
        <v>2018</v>
      </c>
      <c r="G1357" s="263">
        <v>2019</v>
      </c>
      <c r="H1357" s="154">
        <v>2020</v>
      </c>
      <c r="I1357" s="154">
        <v>2021</v>
      </c>
      <c r="J1357" s="154">
        <v>2022</v>
      </c>
      <c r="K1357" s="154">
        <v>2023</v>
      </c>
      <c r="L1357" s="154">
        <v>2024</v>
      </c>
      <c r="M1357" s="154">
        <v>2025</v>
      </c>
    </row>
    <row r="1358" spans="1:14" ht="14.4" customHeight="1" x14ac:dyDescent="0.25">
      <c r="A1358" s="68" t="s">
        <v>17</v>
      </c>
      <c r="B1358" s="72"/>
      <c r="C1358" s="72"/>
      <c r="D1358" s="72">
        <v>113.66</v>
      </c>
      <c r="E1358" s="72">
        <v>136.46</v>
      </c>
      <c r="F1358" s="72">
        <v>160</v>
      </c>
      <c r="G1358" s="72">
        <v>184</v>
      </c>
      <c r="H1358" s="12">
        <v>200</v>
      </c>
      <c r="I1358" s="12">
        <v>200</v>
      </c>
      <c r="J1358" s="12">
        <v>200</v>
      </c>
      <c r="K1358" s="12">
        <v>221</v>
      </c>
      <c r="L1358" s="12">
        <v>221</v>
      </c>
      <c r="M1358" s="90">
        <v>221</v>
      </c>
    </row>
    <row r="1359" spans="1:14" ht="14.4" customHeight="1" x14ac:dyDescent="0.25">
      <c r="A1359" s="68" t="s">
        <v>18</v>
      </c>
      <c r="B1359" s="72"/>
      <c r="C1359" s="72"/>
      <c r="D1359" s="72">
        <v>163.66</v>
      </c>
      <c r="E1359" s="72">
        <v>181.46</v>
      </c>
      <c r="F1359" s="72">
        <v>210</v>
      </c>
      <c r="G1359" s="72">
        <v>234</v>
      </c>
      <c r="H1359" s="12">
        <v>251.57</v>
      </c>
      <c r="I1359" s="12">
        <f>I1358+50+H1362</f>
        <v>254.29999999999998</v>
      </c>
      <c r="J1359" s="12">
        <f>J1358+50+10</f>
        <v>260</v>
      </c>
      <c r="K1359" s="12">
        <f>K1358+50+J1362</f>
        <v>278.72399999999999</v>
      </c>
      <c r="L1359" s="12">
        <v>276.17</v>
      </c>
      <c r="M1359" s="90">
        <v>279.22000000000003</v>
      </c>
    </row>
    <row r="1360" spans="1:14" ht="14.4" customHeight="1" x14ac:dyDescent="0.25">
      <c r="A1360" s="68" t="s">
        <v>19</v>
      </c>
      <c r="B1360" s="252"/>
      <c r="C1360" s="252"/>
      <c r="D1360" s="253" t="s">
        <v>290</v>
      </c>
      <c r="E1360" s="253" t="s">
        <v>291</v>
      </c>
      <c r="F1360" s="253" t="s">
        <v>292</v>
      </c>
      <c r="G1360" s="253" t="s">
        <v>293</v>
      </c>
      <c r="H1360" s="11" t="s">
        <v>294</v>
      </c>
      <c r="I1360" s="11" t="s">
        <v>506</v>
      </c>
      <c r="J1360" s="11" t="s">
        <v>676</v>
      </c>
      <c r="K1360" s="11" t="s">
        <v>829</v>
      </c>
      <c r="L1360" s="11" t="s">
        <v>1140</v>
      </c>
      <c r="M1360" s="90" t="s">
        <v>1141</v>
      </c>
    </row>
    <row r="1361" spans="1:13" ht="14.4" customHeight="1" x14ac:dyDescent="0.25">
      <c r="A1361" s="68" t="s">
        <v>20</v>
      </c>
      <c r="B1361" s="72"/>
      <c r="C1361" s="72"/>
      <c r="D1361" s="72">
        <v>161.08000000000001</v>
      </c>
      <c r="E1361" s="72">
        <v>181.19</v>
      </c>
      <c r="F1361" s="72">
        <v>207.97</v>
      </c>
      <c r="G1361" s="72">
        <v>232.43299999999999</v>
      </c>
      <c r="H1361" s="12">
        <v>247.27</v>
      </c>
      <c r="I1361" s="12">
        <v>242.24</v>
      </c>
      <c r="J1361" s="12">
        <v>252.27600000000001</v>
      </c>
      <c r="K1361" s="12">
        <v>273.55</v>
      </c>
      <c r="L1361" s="12">
        <v>267.99</v>
      </c>
      <c r="M1361" s="90"/>
    </row>
    <row r="1362" spans="1:13" ht="14.4" customHeight="1" x14ac:dyDescent="0.25">
      <c r="A1362" s="68" t="s">
        <v>21</v>
      </c>
      <c r="B1362" s="72"/>
      <c r="C1362" s="72"/>
      <c r="D1362" s="72">
        <v>2.58</v>
      </c>
      <c r="E1362" s="72">
        <v>0.27</v>
      </c>
      <c r="F1362" s="72">
        <v>2.0299999999999998</v>
      </c>
      <c r="G1362" s="72">
        <v>1.5670000000000073</v>
      </c>
      <c r="H1362" s="12">
        <f>H1359-H1361</f>
        <v>4.2999999999999829</v>
      </c>
      <c r="I1362" s="12">
        <f>I1359-I1361</f>
        <v>12.059999999999974</v>
      </c>
      <c r="J1362" s="12">
        <f>J1359-J1361</f>
        <v>7.7239999999999895</v>
      </c>
      <c r="K1362" s="12">
        <f>K1359-K1361</f>
        <v>5.1739999999999782</v>
      </c>
      <c r="L1362" s="12">
        <v>8.1800000000000068</v>
      </c>
      <c r="M1362" s="90"/>
    </row>
    <row r="1363" spans="1:13" ht="14.4" customHeight="1" x14ac:dyDescent="0.25">
      <c r="A1363" s="73" t="s">
        <v>22</v>
      </c>
      <c r="B1363" s="74"/>
      <c r="C1363" s="74"/>
      <c r="D1363" s="74"/>
      <c r="E1363" s="74"/>
      <c r="F1363" s="74"/>
      <c r="G1363" s="254">
        <v>2020</v>
      </c>
      <c r="H1363" s="159">
        <v>2021</v>
      </c>
      <c r="I1363" s="17">
        <v>2022</v>
      </c>
      <c r="J1363" s="17">
        <v>2023</v>
      </c>
      <c r="K1363" s="17">
        <v>2024</v>
      </c>
      <c r="L1363" s="17">
        <v>2025</v>
      </c>
      <c r="M1363" s="90">
        <v>2026</v>
      </c>
    </row>
    <row r="1364" spans="1:13" ht="14.4" customHeight="1" x14ac:dyDescent="0.25">
      <c r="A1364" s="92" t="s">
        <v>295</v>
      </c>
      <c r="B1364" s="93"/>
      <c r="C1364" s="93"/>
      <c r="D1364" s="93"/>
      <c r="E1364" s="93"/>
      <c r="F1364" s="93"/>
      <c r="G1364" s="93"/>
      <c r="H1364" s="19"/>
      <c r="I1364" s="19"/>
      <c r="J1364" s="19"/>
      <c r="K1364" s="19"/>
      <c r="L1364" s="19"/>
      <c r="M1364" s="63"/>
    </row>
    <row r="1365" spans="1:13" ht="14.4" customHeight="1" x14ac:dyDescent="0.25">
      <c r="A1365" s="94" t="s">
        <v>296</v>
      </c>
      <c r="B1365" s="8"/>
      <c r="C1365" s="8"/>
      <c r="D1365" s="8"/>
      <c r="E1365" s="8"/>
      <c r="F1365" s="8"/>
      <c r="G1365" s="8"/>
      <c r="M1365" s="64"/>
    </row>
    <row r="1366" spans="1:13" ht="14.4" customHeight="1" x14ac:dyDescent="0.25">
      <c r="A1366" s="94" t="s">
        <v>297</v>
      </c>
      <c r="B1366" s="8"/>
      <c r="C1366" s="8"/>
      <c r="D1366" s="8"/>
      <c r="E1366" s="8"/>
      <c r="F1366" s="8"/>
      <c r="G1366" s="8"/>
      <c r="M1366" s="64"/>
    </row>
    <row r="1367" spans="1:13" ht="14.4" customHeight="1" x14ac:dyDescent="0.25">
      <c r="A1367" s="94" t="s">
        <v>298</v>
      </c>
      <c r="B1367" s="8"/>
      <c r="C1367" s="8"/>
      <c r="D1367" s="8"/>
      <c r="E1367" s="8"/>
      <c r="F1367" s="8"/>
      <c r="G1367" s="8"/>
      <c r="M1367" s="64"/>
    </row>
    <row r="1368" spans="1:13" ht="14.4" customHeight="1" x14ac:dyDescent="0.25">
      <c r="A1368" s="94" t="s">
        <v>505</v>
      </c>
      <c r="B1368" s="8"/>
      <c r="C1368" s="8"/>
      <c r="D1368" s="8"/>
      <c r="E1368" s="8"/>
      <c r="F1368" s="8"/>
      <c r="G1368" s="8"/>
      <c r="M1368" s="64"/>
    </row>
    <row r="1369" spans="1:13" ht="14.4" customHeight="1" x14ac:dyDescent="0.25">
      <c r="A1369" s="94" t="s">
        <v>675</v>
      </c>
      <c r="B1369" s="8"/>
      <c r="C1369" s="8"/>
      <c r="D1369" s="8"/>
      <c r="E1369" s="8"/>
      <c r="F1369" s="8"/>
      <c r="G1369" s="8"/>
      <c r="M1369" s="64"/>
    </row>
    <row r="1370" spans="1:13" ht="14.4" customHeight="1" x14ac:dyDescent="0.25">
      <c r="A1370" s="94" t="s">
        <v>827</v>
      </c>
      <c r="B1370" s="8"/>
      <c r="C1370" s="8"/>
      <c r="D1370" s="8"/>
      <c r="E1370" s="8"/>
      <c r="F1370" s="8"/>
      <c r="G1370" s="8"/>
      <c r="M1370" s="64"/>
    </row>
    <row r="1371" spans="1:13" ht="14.4" customHeight="1" x14ac:dyDescent="0.25">
      <c r="A1371" s="95" t="s">
        <v>828</v>
      </c>
      <c r="B1371" s="85"/>
      <c r="C1371" s="85"/>
      <c r="D1371" s="85"/>
      <c r="E1371" s="85"/>
      <c r="F1371" s="85"/>
      <c r="G1371" s="85"/>
      <c r="H1371" s="34"/>
      <c r="I1371" s="34"/>
      <c r="J1371" s="34"/>
      <c r="K1371" s="34"/>
      <c r="L1371" s="34"/>
      <c r="M1371" s="48"/>
    </row>
    <row r="1372" spans="1:13" ht="14.4" customHeight="1" x14ac:dyDescent="0.25">
      <c r="A1372" s="138"/>
      <c r="B1372" s="138"/>
      <c r="C1372" s="138"/>
      <c r="D1372" s="138"/>
      <c r="E1372" s="138"/>
      <c r="F1372" s="138"/>
      <c r="G1372" s="138"/>
      <c r="H1372" s="138"/>
    </row>
    <row r="1373" spans="1:13" x14ac:dyDescent="0.25">
      <c r="A1373" s="98" t="s">
        <v>203</v>
      </c>
      <c r="B1373" s="66" t="s">
        <v>66</v>
      </c>
      <c r="C1373" s="66" t="s">
        <v>152</v>
      </c>
      <c r="D1373" s="8"/>
      <c r="E1373" s="8"/>
      <c r="F1373" s="8"/>
      <c r="G1373" s="8"/>
    </row>
    <row r="1374" spans="1:13" x14ac:dyDescent="0.25">
      <c r="A1374" s="95" t="s">
        <v>16</v>
      </c>
      <c r="B1374" s="270">
        <v>2014</v>
      </c>
      <c r="C1374" s="263">
        <v>2015</v>
      </c>
      <c r="D1374" s="263">
        <v>2016</v>
      </c>
      <c r="E1374" s="263">
        <v>2017</v>
      </c>
      <c r="F1374" s="263">
        <v>2018</v>
      </c>
      <c r="G1374" s="263">
        <v>2019</v>
      </c>
      <c r="H1374" s="154">
        <v>2020</v>
      </c>
      <c r="I1374" s="154">
        <v>2021</v>
      </c>
      <c r="J1374" s="154">
        <v>2022</v>
      </c>
      <c r="K1374" s="154">
        <v>2023</v>
      </c>
      <c r="L1374" s="154">
        <v>2024</v>
      </c>
      <c r="M1374" s="447" t="s">
        <v>1192</v>
      </c>
    </row>
    <row r="1375" spans="1:13" x14ac:dyDescent="0.25">
      <c r="A1375" s="68" t="s">
        <v>17</v>
      </c>
      <c r="B1375" s="72">
        <v>1983</v>
      </c>
      <c r="C1375" s="72">
        <v>1983</v>
      </c>
      <c r="D1375" s="72">
        <v>1486</v>
      </c>
      <c r="E1375" s="72">
        <v>1486</v>
      </c>
      <c r="F1375" s="72">
        <v>1486</v>
      </c>
      <c r="G1375" s="72">
        <v>1486</v>
      </c>
      <c r="H1375" s="12">
        <v>1000</v>
      </c>
      <c r="I1375" s="12">
        <v>984</v>
      </c>
      <c r="J1375" s="12">
        <v>992</v>
      </c>
      <c r="K1375" s="12">
        <v>992</v>
      </c>
      <c r="L1375" s="12">
        <v>992</v>
      </c>
      <c r="M1375" s="442">
        <v>1100</v>
      </c>
    </row>
    <row r="1376" spans="1:13" x14ac:dyDescent="0.25">
      <c r="A1376" s="68" t="s">
        <v>18</v>
      </c>
      <c r="B1376" s="72">
        <v>2557.9</v>
      </c>
      <c r="C1376" s="72">
        <v>2557.9</v>
      </c>
      <c r="D1376" s="72">
        <v>2080.9</v>
      </c>
      <c r="E1376" s="72">
        <v>1708.9</v>
      </c>
      <c r="F1376" s="72">
        <v>1485.9</v>
      </c>
      <c r="G1376" s="72">
        <v>1485.9</v>
      </c>
      <c r="H1376" s="12">
        <f>H1375+F1375*0.15-223</f>
        <v>999.90000000000009</v>
      </c>
      <c r="I1376" s="12">
        <f>I1375-223+G1375*0.1</f>
        <v>909.6</v>
      </c>
      <c r="J1376" s="12">
        <f>J1375-223+H1375*0.1</f>
        <v>869</v>
      </c>
      <c r="K1376" s="12">
        <f>K1375+0.1*I1375-223</f>
        <v>867.40000000000009</v>
      </c>
      <c r="L1376" s="12">
        <f>L1375+0.1*J1375-223</f>
        <v>868.2</v>
      </c>
      <c r="M1376" s="450">
        <v>1010.74</v>
      </c>
    </row>
    <row r="1377" spans="1:13" ht="28.95" customHeight="1" x14ac:dyDescent="0.25">
      <c r="A1377" s="68" t="s">
        <v>19</v>
      </c>
      <c r="B1377" s="252" t="s">
        <v>145</v>
      </c>
      <c r="C1377" s="252" t="s">
        <v>145</v>
      </c>
      <c r="D1377" s="252" t="s">
        <v>146</v>
      </c>
      <c r="E1377" s="252" t="s">
        <v>147</v>
      </c>
      <c r="F1377" s="252" t="s">
        <v>215</v>
      </c>
      <c r="G1377" s="252" t="s">
        <v>216</v>
      </c>
      <c r="H1377" s="195" t="s">
        <v>508</v>
      </c>
      <c r="I1377" s="195" t="s">
        <v>677</v>
      </c>
      <c r="J1377" s="195" t="s">
        <v>678</v>
      </c>
      <c r="K1377" s="195" t="s">
        <v>832</v>
      </c>
      <c r="L1377" s="195" t="s">
        <v>1044</v>
      </c>
      <c r="M1377" s="450"/>
    </row>
    <row r="1378" spans="1:13" x14ac:dyDescent="0.25">
      <c r="A1378" s="68" t="s">
        <v>20</v>
      </c>
      <c r="B1378" s="72">
        <v>1038.83</v>
      </c>
      <c r="C1378" s="72">
        <v>670.7</v>
      </c>
      <c r="D1378" s="72">
        <v>561.97</v>
      </c>
      <c r="E1378" s="72">
        <v>432.09</v>
      </c>
      <c r="F1378" s="72">
        <v>662.7</v>
      </c>
      <c r="G1378" s="72">
        <v>539.84</v>
      </c>
      <c r="H1378" s="12">
        <v>587.15</v>
      </c>
      <c r="I1378" s="12">
        <v>674.38</v>
      </c>
      <c r="J1378" s="12">
        <v>763.45</v>
      </c>
      <c r="K1378" s="12">
        <v>724.12</v>
      </c>
      <c r="L1378" s="12">
        <v>728.31</v>
      </c>
      <c r="M1378" s="442"/>
    </row>
    <row r="1379" spans="1:13" x14ac:dyDescent="0.25">
      <c r="A1379" s="68" t="s">
        <v>21</v>
      </c>
      <c r="B1379" s="72">
        <v>1519.07</v>
      </c>
      <c r="C1379" s="72">
        <v>1887.2</v>
      </c>
      <c r="D1379" s="72">
        <v>1518.93</v>
      </c>
      <c r="E1379" s="72">
        <v>1276.8100000000002</v>
      </c>
      <c r="F1379" s="72">
        <v>823.2</v>
      </c>
      <c r="G1379" s="72">
        <f t="shared" ref="G1379:L1379" si="55">G1376-G1378</f>
        <v>946.06000000000006</v>
      </c>
      <c r="H1379" s="12">
        <f t="shared" si="55"/>
        <v>412.75000000000011</v>
      </c>
      <c r="I1379" s="12">
        <f t="shared" si="55"/>
        <v>235.22000000000003</v>
      </c>
      <c r="J1379" s="12">
        <f t="shared" si="55"/>
        <v>105.54999999999995</v>
      </c>
      <c r="K1379" s="12">
        <f t="shared" si="55"/>
        <v>143.28000000000009</v>
      </c>
      <c r="L1379" s="12">
        <f t="shared" si="55"/>
        <v>139.8900000000001</v>
      </c>
      <c r="M1379" s="442"/>
    </row>
    <row r="1380" spans="1:13" x14ac:dyDescent="0.25">
      <c r="A1380" s="73" t="s">
        <v>22</v>
      </c>
      <c r="B1380" s="254">
        <v>2016</v>
      </c>
      <c r="C1380" s="254">
        <v>2017</v>
      </c>
      <c r="D1380" s="254">
        <v>2018</v>
      </c>
      <c r="E1380" s="254">
        <v>2019</v>
      </c>
      <c r="F1380" s="254">
        <v>2020</v>
      </c>
      <c r="G1380" s="254">
        <v>2021</v>
      </c>
      <c r="H1380" s="159">
        <v>2022</v>
      </c>
      <c r="I1380" s="159">
        <v>2023</v>
      </c>
      <c r="J1380" s="159">
        <v>2024</v>
      </c>
      <c r="K1380" s="159">
        <v>2025</v>
      </c>
      <c r="L1380" s="159">
        <v>2026</v>
      </c>
      <c r="M1380" s="444">
        <v>2027</v>
      </c>
    </row>
    <row r="1381" spans="1:13" x14ac:dyDescent="0.25">
      <c r="A1381" s="92" t="s">
        <v>580</v>
      </c>
      <c r="B1381" s="255"/>
      <c r="C1381" s="255"/>
      <c r="D1381" s="255"/>
      <c r="E1381" s="255"/>
      <c r="F1381" s="255"/>
      <c r="G1381" s="255"/>
      <c r="H1381" s="439"/>
      <c r="I1381" s="439"/>
      <c r="J1381" s="439"/>
      <c r="K1381" s="439"/>
      <c r="L1381" s="439"/>
      <c r="M1381" s="63"/>
    </row>
    <row r="1382" spans="1:13" x14ac:dyDescent="0.25">
      <c r="A1382" s="94" t="s">
        <v>288</v>
      </c>
      <c r="B1382" s="8"/>
      <c r="C1382" s="8"/>
      <c r="D1382" s="8"/>
      <c r="E1382" s="8"/>
      <c r="F1382" s="8"/>
      <c r="G1382" s="8"/>
      <c r="M1382" s="64"/>
    </row>
    <row r="1383" spans="1:13" x14ac:dyDescent="0.25">
      <c r="A1383" s="94" t="s">
        <v>289</v>
      </c>
      <c r="B1383" s="8"/>
      <c r="C1383" s="8"/>
      <c r="D1383" s="8"/>
      <c r="E1383" s="8"/>
      <c r="F1383" s="8"/>
      <c r="G1383" s="8"/>
      <c r="M1383" s="64"/>
    </row>
    <row r="1384" spans="1:13" x14ac:dyDescent="0.25">
      <c r="A1384" s="94" t="s">
        <v>509</v>
      </c>
      <c r="B1384" s="8"/>
      <c r="C1384" s="8"/>
      <c r="D1384" s="8"/>
      <c r="E1384" s="8"/>
      <c r="F1384" s="8"/>
      <c r="G1384" s="8"/>
      <c r="M1384" s="64"/>
    </row>
    <row r="1385" spans="1:13" x14ac:dyDescent="0.25">
      <c r="A1385" s="94" t="s">
        <v>148</v>
      </c>
      <c r="B1385" s="8"/>
      <c r="C1385" s="8"/>
      <c r="D1385" s="8"/>
      <c r="E1385" s="8"/>
      <c r="F1385" s="8"/>
      <c r="G1385" s="8"/>
      <c r="M1385" s="64"/>
    </row>
    <row r="1386" spans="1:13" x14ac:dyDescent="0.25">
      <c r="A1386" s="94" t="s">
        <v>507</v>
      </c>
      <c r="B1386" s="8"/>
      <c r="C1386" s="8"/>
      <c r="D1386" s="8"/>
      <c r="E1386" s="8"/>
      <c r="F1386" s="8"/>
      <c r="G1386" s="8"/>
      <c r="M1386" s="64"/>
    </row>
    <row r="1387" spans="1:13" x14ac:dyDescent="0.25">
      <c r="A1387" s="94" t="s">
        <v>679</v>
      </c>
      <c r="B1387" s="8"/>
      <c r="C1387" s="8"/>
      <c r="D1387" s="8"/>
      <c r="E1387" s="8"/>
      <c r="F1387" s="8"/>
      <c r="G1387" s="8"/>
      <c r="M1387" s="64"/>
    </row>
    <row r="1388" spans="1:13" x14ac:dyDescent="0.25">
      <c r="A1388" s="94" t="s">
        <v>830</v>
      </c>
      <c r="B1388" s="8"/>
      <c r="C1388" s="8"/>
      <c r="D1388" s="8"/>
      <c r="E1388" s="8"/>
      <c r="F1388" s="8"/>
      <c r="G1388" s="8"/>
      <c r="M1388" s="64"/>
    </row>
    <row r="1389" spans="1:13" x14ac:dyDescent="0.25">
      <c r="A1389" s="95" t="s">
        <v>831</v>
      </c>
      <c r="B1389" s="85"/>
      <c r="C1389" s="85"/>
      <c r="D1389" s="85"/>
      <c r="E1389" s="85"/>
      <c r="F1389" s="85"/>
      <c r="G1389" s="85"/>
      <c r="H1389" s="34"/>
      <c r="I1389" s="34"/>
      <c r="J1389" s="34"/>
      <c r="K1389" s="34"/>
      <c r="L1389" s="34"/>
      <c r="M1389" s="48"/>
    </row>
    <row r="1390" spans="1:13" x14ac:dyDescent="0.25">
      <c r="A1390" s="8"/>
      <c r="B1390" s="8"/>
      <c r="C1390" s="8"/>
      <c r="D1390" s="8"/>
      <c r="E1390" s="8"/>
      <c r="F1390" s="8"/>
      <c r="G1390" s="8"/>
    </row>
    <row r="1391" spans="1:13" x14ac:dyDescent="0.25">
      <c r="A1391" s="315"/>
      <c r="C1391" s="348"/>
    </row>
    <row r="1392" spans="1:13" x14ac:dyDescent="0.25">
      <c r="A1392" s="98" t="s">
        <v>203</v>
      </c>
      <c r="B1392" s="66" t="s">
        <v>74</v>
      </c>
      <c r="C1392" s="66" t="s">
        <v>152</v>
      </c>
      <c r="D1392" s="8"/>
      <c r="E1392" s="8"/>
      <c r="F1392" s="8"/>
      <c r="G1392" s="8"/>
    </row>
    <row r="1393" spans="1:13" x14ac:dyDescent="0.25">
      <c r="A1393" s="95" t="s">
        <v>16</v>
      </c>
      <c r="B1393" s="270">
        <v>2014</v>
      </c>
      <c r="C1393" s="263">
        <v>2015</v>
      </c>
      <c r="D1393" s="263">
        <v>2016</v>
      </c>
      <c r="E1393" s="263">
        <v>2017</v>
      </c>
      <c r="F1393" s="263">
        <v>2018</v>
      </c>
      <c r="G1393" s="263">
        <v>2019</v>
      </c>
      <c r="H1393" s="154">
        <v>2020</v>
      </c>
      <c r="I1393" s="154">
        <v>2021</v>
      </c>
      <c r="J1393" s="154">
        <v>2022</v>
      </c>
      <c r="K1393" s="154">
        <v>2023</v>
      </c>
      <c r="L1393" s="154">
        <v>2024</v>
      </c>
      <c r="M1393" s="154">
        <v>2025</v>
      </c>
    </row>
    <row r="1394" spans="1:13" x14ac:dyDescent="0.25">
      <c r="A1394" s="68" t="s">
        <v>17</v>
      </c>
      <c r="B1394" s="72">
        <v>35</v>
      </c>
      <c r="C1394" s="72">
        <v>35</v>
      </c>
      <c r="D1394" s="72">
        <v>35</v>
      </c>
      <c r="E1394" s="72">
        <v>35</v>
      </c>
      <c r="F1394" s="72">
        <v>35</v>
      </c>
      <c r="G1394" s="72">
        <v>35</v>
      </c>
      <c r="H1394" s="12">
        <v>29.4</v>
      </c>
      <c r="I1394" s="12">
        <v>29.4</v>
      </c>
      <c r="J1394" s="12">
        <v>29.4</v>
      </c>
      <c r="K1394" s="12">
        <v>29.4</v>
      </c>
      <c r="L1394" s="12">
        <v>29.4</v>
      </c>
      <c r="M1394" s="12">
        <v>29.4</v>
      </c>
    </row>
    <row r="1395" spans="1:13" x14ac:dyDescent="0.25">
      <c r="A1395" s="68" t="s">
        <v>18</v>
      </c>
      <c r="B1395" s="72">
        <v>35</v>
      </c>
      <c r="C1395" s="72">
        <v>42</v>
      </c>
      <c r="D1395" s="72">
        <v>42</v>
      </c>
      <c r="E1395" s="72">
        <v>42</v>
      </c>
      <c r="F1395" s="72">
        <v>42</v>
      </c>
      <c r="G1395" s="72">
        <v>42</v>
      </c>
      <c r="H1395" s="12">
        <v>36.4</v>
      </c>
      <c r="I1395" s="12">
        <v>36.4</v>
      </c>
      <c r="J1395" s="12"/>
      <c r="K1395" s="12"/>
      <c r="L1395" s="12">
        <v>29.4</v>
      </c>
      <c r="M1395" s="12">
        <v>29.4</v>
      </c>
    </row>
    <row r="1396" spans="1:13" x14ac:dyDescent="0.25">
      <c r="A1396" s="68" t="s">
        <v>19</v>
      </c>
      <c r="B1396" s="264" t="s">
        <v>136</v>
      </c>
      <c r="C1396" s="451" t="s">
        <v>149</v>
      </c>
      <c r="D1396" s="451" t="s">
        <v>149</v>
      </c>
      <c r="E1396" s="451" t="s">
        <v>149</v>
      </c>
      <c r="F1396" s="451" t="s">
        <v>149</v>
      </c>
      <c r="G1396" s="451" t="s">
        <v>149</v>
      </c>
      <c r="H1396" s="284" t="s">
        <v>299</v>
      </c>
      <c r="I1396" s="284" t="s">
        <v>299</v>
      </c>
      <c r="J1396" s="284"/>
      <c r="K1396" s="284"/>
      <c r="L1396" s="12">
        <v>29.4</v>
      </c>
      <c r="M1396" s="12">
        <v>29.4</v>
      </c>
    </row>
    <row r="1397" spans="1:13" x14ac:dyDescent="0.25">
      <c r="A1397" s="68" t="s">
        <v>20</v>
      </c>
      <c r="B1397" s="72">
        <v>9.7799999999999994</v>
      </c>
      <c r="C1397" s="72">
        <v>3.07</v>
      </c>
      <c r="D1397" s="72">
        <v>26.19</v>
      </c>
      <c r="E1397" s="72">
        <v>25.13</v>
      </c>
      <c r="F1397" s="72">
        <v>24.55</v>
      </c>
      <c r="G1397" s="72">
        <v>12.91</v>
      </c>
      <c r="H1397" s="12">
        <v>20.36</v>
      </c>
      <c r="I1397" s="12">
        <v>11.52</v>
      </c>
      <c r="J1397" s="12">
        <v>10.3</v>
      </c>
      <c r="K1397" s="12">
        <v>12.92</v>
      </c>
      <c r="L1397" s="12">
        <v>16.309999999999999</v>
      </c>
      <c r="M1397" s="12"/>
    </row>
    <row r="1398" spans="1:13" x14ac:dyDescent="0.25">
      <c r="A1398" s="68" t="s">
        <v>21</v>
      </c>
      <c r="B1398" s="72">
        <v>25.22</v>
      </c>
      <c r="C1398" s="72">
        <v>38.93</v>
      </c>
      <c r="D1398" s="72">
        <v>15.81</v>
      </c>
      <c r="E1398" s="72">
        <v>16.87</v>
      </c>
      <c r="F1398" s="72">
        <v>17.45</v>
      </c>
      <c r="G1398" s="72">
        <f>G1395-G1397</f>
        <v>29.09</v>
      </c>
      <c r="H1398" s="12">
        <f>H1395-H1397</f>
        <v>16.04</v>
      </c>
      <c r="I1398" s="12">
        <f>I1395-I1397</f>
        <v>24.88</v>
      </c>
      <c r="J1398" s="12">
        <f>J1394-J1397</f>
        <v>19.099999999999998</v>
      </c>
      <c r="K1398" s="12">
        <f>K1394-K1397</f>
        <v>16.479999999999997</v>
      </c>
      <c r="L1398" s="12">
        <f>L1394-L1397</f>
        <v>13.09</v>
      </c>
      <c r="M1398" s="90"/>
    </row>
    <row r="1399" spans="1:13" x14ac:dyDescent="0.25">
      <c r="A1399" s="73" t="s">
        <v>22</v>
      </c>
      <c r="B1399" s="254">
        <v>2016</v>
      </c>
      <c r="C1399" s="254">
        <v>2017</v>
      </c>
      <c r="D1399" s="254">
        <v>2018</v>
      </c>
      <c r="E1399" s="254">
        <v>2019</v>
      </c>
      <c r="F1399" s="254">
        <v>2020</v>
      </c>
      <c r="G1399" s="254">
        <v>2021</v>
      </c>
      <c r="H1399" s="254">
        <v>2022</v>
      </c>
      <c r="I1399" s="254">
        <v>2023</v>
      </c>
      <c r="J1399" s="254">
        <v>2024</v>
      </c>
      <c r="K1399" s="254">
        <v>2025</v>
      </c>
      <c r="L1399" s="254">
        <v>2026</v>
      </c>
      <c r="M1399" s="254">
        <v>2027</v>
      </c>
    </row>
    <row r="1400" spans="1:13" x14ac:dyDescent="0.25">
      <c r="A1400" s="92" t="s">
        <v>150</v>
      </c>
      <c r="B1400" s="255"/>
      <c r="C1400" s="255"/>
      <c r="D1400" s="255"/>
      <c r="E1400" s="255"/>
      <c r="F1400" s="255"/>
      <c r="G1400" s="255"/>
      <c r="H1400" s="255"/>
      <c r="I1400" s="255"/>
      <c r="J1400" s="255"/>
      <c r="K1400" s="255"/>
      <c r="L1400" s="19"/>
      <c r="M1400" s="63"/>
    </row>
    <row r="1401" spans="1:13" x14ac:dyDescent="0.25">
      <c r="A1401" s="94" t="s">
        <v>581</v>
      </c>
      <c r="B1401" s="445"/>
      <c r="C1401" s="445"/>
      <c r="D1401" s="445"/>
      <c r="E1401" s="445"/>
      <c r="F1401" s="445"/>
      <c r="G1401" s="445"/>
      <c r="H1401" s="445"/>
      <c r="I1401" s="445"/>
      <c r="J1401" s="445"/>
      <c r="K1401" s="445"/>
      <c r="M1401" s="64"/>
    </row>
    <row r="1402" spans="1:13" x14ac:dyDescent="0.25">
      <c r="A1402" s="110" t="s">
        <v>510</v>
      </c>
      <c r="B1402" s="111"/>
      <c r="C1402" s="111"/>
      <c r="D1402" s="111"/>
      <c r="E1402" s="111"/>
      <c r="F1402" s="111"/>
      <c r="G1402" s="111"/>
      <c r="H1402" s="111"/>
      <c r="I1402" s="111"/>
      <c r="J1402" s="111"/>
      <c r="K1402" s="111"/>
      <c r="L1402" s="34"/>
      <c r="M1402" s="48"/>
    </row>
    <row r="1403" spans="1:13" x14ac:dyDescent="0.25">
      <c r="A1403" s="315"/>
      <c r="C1403" s="348"/>
    </row>
    <row r="1404" spans="1:13" x14ac:dyDescent="0.25">
      <c r="A1404" s="98" t="s">
        <v>14</v>
      </c>
      <c r="B1404" s="66" t="s">
        <v>79</v>
      </c>
      <c r="C1404" s="66" t="s">
        <v>152</v>
      </c>
      <c r="D1404" s="8"/>
      <c r="E1404" s="8"/>
      <c r="F1404" s="8"/>
      <c r="G1404" s="8"/>
    </row>
    <row r="1405" spans="1:13" x14ac:dyDescent="0.25">
      <c r="A1405" s="95" t="s">
        <v>16</v>
      </c>
      <c r="B1405" s="270">
        <v>2014</v>
      </c>
      <c r="C1405" s="263">
        <v>2015</v>
      </c>
      <c r="D1405" s="263">
        <v>2016</v>
      </c>
      <c r="E1405" s="263">
        <v>2017</v>
      </c>
      <c r="F1405" s="263">
        <v>2018</v>
      </c>
      <c r="G1405" s="263">
        <v>2019</v>
      </c>
      <c r="H1405" s="154">
        <v>2020</v>
      </c>
      <c r="I1405" s="154">
        <v>2021</v>
      </c>
      <c r="J1405" s="154">
        <v>2022</v>
      </c>
      <c r="K1405" s="154">
        <v>2023</v>
      </c>
      <c r="L1405" s="447">
        <v>2024</v>
      </c>
      <c r="M1405" s="447">
        <v>2025</v>
      </c>
    </row>
    <row r="1406" spans="1:13" x14ac:dyDescent="0.25">
      <c r="A1406" s="68" t="s">
        <v>17</v>
      </c>
      <c r="B1406" s="72">
        <v>20</v>
      </c>
      <c r="C1406" s="72">
        <v>20</v>
      </c>
      <c r="D1406" s="72">
        <v>20</v>
      </c>
      <c r="E1406" s="72">
        <v>20</v>
      </c>
      <c r="F1406" s="72">
        <v>20</v>
      </c>
      <c r="G1406" s="72">
        <v>20</v>
      </c>
      <c r="H1406" s="72">
        <v>20</v>
      </c>
      <c r="I1406" s="72">
        <v>20</v>
      </c>
      <c r="J1406" s="72">
        <v>20</v>
      </c>
      <c r="K1406" s="72">
        <v>20</v>
      </c>
      <c r="L1406" s="452">
        <v>20</v>
      </c>
      <c r="M1406" s="452">
        <v>20</v>
      </c>
    </row>
    <row r="1407" spans="1:13" x14ac:dyDescent="0.25">
      <c r="A1407" s="68" t="s">
        <v>18</v>
      </c>
      <c r="B1407" s="72">
        <v>20</v>
      </c>
      <c r="C1407" s="72">
        <v>24</v>
      </c>
      <c r="D1407" s="72">
        <v>24</v>
      </c>
      <c r="E1407" s="72">
        <v>24</v>
      </c>
      <c r="F1407" s="72">
        <v>24</v>
      </c>
      <c r="G1407" s="72">
        <v>24</v>
      </c>
      <c r="H1407" s="72">
        <v>24</v>
      </c>
      <c r="I1407" s="72">
        <v>24</v>
      </c>
      <c r="J1407" s="72"/>
      <c r="K1407" s="72"/>
      <c r="L1407" s="452">
        <v>20</v>
      </c>
      <c r="M1407" s="452">
        <v>20</v>
      </c>
    </row>
    <row r="1408" spans="1:13" x14ac:dyDescent="0.25">
      <c r="A1408" s="68" t="s">
        <v>19</v>
      </c>
      <c r="B1408" s="264" t="s">
        <v>136</v>
      </c>
      <c r="C1408" s="264" t="s">
        <v>151</v>
      </c>
      <c r="D1408" s="264" t="s">
        <v>151</v>
      </c>
      <c r="E1408" s="264" t="s">
        <v>151</v>
      </c>
      <c r="F1408" s="264" t="s">
        <v>151</v>
      </c>
      <c r="G1408" s="264" t="s">
        <v>151</v>
      </c>
      <c r="H1408" s="264" t="s">
        <v>151</v>
      </c>
      <c r="I1408" s="264" t="s">
        <v>151</v>
      </c>
      <c r="J1408" s="264"/>
      <c r="K1408" s="264"/>
      <c r="L1408" s="453">
        <v>20</v>
      </c>
      <c r="M1408" s="453">
        <v>20</v>
      </c>
    </row>
    <row r="1409" spans="1:13" x14ac:dyDescent="0.25">
      <c r="A1409" s="68" t="s">
        <v>20</v>
      </c>
      <c r="B1409" s="72">
        <v>0.15</v>
      </c>
      <c r="C1409" s="72">
        <v>0</v>
      </c>
      <c r="D1409" s="72">
        <v>0</v>
      </c>
      <c r="E1409" s="72">
        <v>0.14000000000000001</v>
      </c>
      <c r="F1409" s="72">
        <v>0</v>
      </c>
      <c r="G1409" s="72">
        <v>0</v>
      </c>
      <c r="H1409" s="12">
        <v>0</v>
      </c>
      <c r="I1409" s="12">
        <v>0</v>
      </c>
      <c r="J1409" s="12">
        <v>0</v>
      </c>
      <c r="K1409" s="12">
        <v>0</v>
      </c>
      <c r="L1409" s="442">
        <v>0</v>
      </c>
      <c r="M1409" s="442"/>
    </row>
    <row r="1410" spans="1:13" x14ac:dyDescent="0.25">
      <c r="A1410" s="68" t="s">
        <v>21</v>
      </c>
      <c r="B1410" s="72">
        <v>19.850000000000001</v>
      </c>
      <c r="C1410" s="72">
        <v>24</v>
      </c>
      <c r="D1410" s="72">
        <v>24</v>
      </c>
      <c r="E1410" s="72">
        <v>23.86</v>
      </c>
      <c r="F1410" s="72">
        <v>24</v>
      </c>
      <c r="G1410" s="72">
        <f>G1407-G1409</f>
        <v>24</v>
      </c>
      <c r="H1410" s="72">
        <f>H1407-H1409</f>
        <v>24</v>
      </c>
      <c r="I1410" s="12">
        <v>24</v>
      </c>
      <c r="J1410" s="12">
        <v>20</v>
      </c>
      <c r="K1410" s="12">
        <v>20</v>
      </c>
      <c r="L1410" s="442">
        <v>20</v>
      </c>
      <c r="M1410" s="442"/>
    </row>
    <row r="1411" spans="1:13" x14ac:dyDescent="0.25">
      <c r="A1411" s="73" t="s">
        <v>22</v>
      </c>
      <c r="B1411" s="254">
        <v>2016</v>
      </c>
      <c r="C1411" s="254">
        <v>2017</v>
      </c>
      <c r="D1411" s="254">
        <v>2018</v>
      </c>
      <c r="E1411" s="254">
        <v>2019</v>
      </c>
      <c r="F1411" s="254">
        <v>2020</v>
      </c>
      <c r="G1411" s="254">
        <v>2021</v>
      </c>
      <c r="H1411" s="254"/>
      <c r="I1411" s="254"/>
      <c r="J1411" s="254"/>
      <c r="K1411" s="254"/>
      <c r="L1411" s="254"/>
      <c r="M1411" s="254"/>
    </row>
    <row r="1412" spans="1:13" x14ac:dyDescent="0.25">
      <c r="A1412" s="92" t="s">
        <v>150</v>
      </c>
      <c r="B1412" s="255"/>
      <c r="C1412" s="255"/>
      <c r="D1412" s="255"/>
      <c r="E1412" s="255"/>
      <c r="F1412" s="255"/>
      <c r="G1412" s="255"/>
      <c r="H1412" s="255"/>
      <c r="I1412" s="255"/>
      <c r="J1412" s="255"/>
      <c r="K1412" s="255"/>
      <c r="L1412" s="19"/>
      <c r="M1412" s="63"/>
    </row>
    <row r="1413" spans="1:13" x14ac:dyDescent="0.25">
      <c r="A1413" s="110" t="s">
        <v>510</v>
      </c>
      <c r="B1413" s="111"/>
      <c r="C1413" s="111"/>
      <c r="D1413" s="111"/>
      <c r="E1413" s="111"/>
      <c r="F1413" s="111"/>
      <c r="G1413" s="111"/>
      <c r="H1413" s="111"/>
      <c r="I1413" s="111"/>
      <c r="J1413" s="111"/>
      <c r="K1413" s="111"/>
      <c r="L1413" s="34"/>
      <c r="M1413" s="48"/>
    </row>
    <row r="1414" spans="1:13" x14ac:dyDescent="0.25">
      <c r="A1414" s="315"/>
      <c r="C1414" s="348"/>
    </row>
    <row r="1415" spans="1:13" x14ac:dyDescent="0.25">
      <c r="A1415" s="315"/>
      <c r="C1415" s="348"/>
    </row>
    <row r="1416" spans="1:13" x14ac:dyDescent="0.25">
      <c r="A1416" s="6" t="s">
        <v>12</v>
      </c>
      <c r="B1416" s="7" t="s">
        <v>398</v>
      </c>
    </row>
    <row r="1417" spans="1:13" s="202" customFormat="1" x14ac:dyDescent="0.25">
      <c r="A1417" s="6" t="s">
        <v>14</v>
      </c>
      <c r="B1417" s="7" t="s">
        <v>623</v>
      </c>
      <c r="C1417" s="7" t="s">
        <v>152</v>
      </c>
      <c r="D1417" s="3"/>
      <c r="E1417" s="3"/>
      <c r="F1417" s="3"/>
      <c r="G1417" s="3"/>
      <c r="H1417" s="3"/>
      <c r="I1417" s="3"/>
      <c r="J1417" s="3"/>
    </row>
    <row r="1418" spans="1:13" s="202" customFormat="1" x14ac:dyDescent="0.25">
      <c r="A1418" s="41" t="s">
        <v>16</v>
      </c>
      <c r="B1418" s="274">
        <v>2016</v>
      </c>
      <c r="C1418" s="154">
        <v>2017</v>
      </c>
      <c r="D1418" s="154">
        <v>2018</v>
      </c>
      <c r="E1418" s="154">
        <v>2019</v>
      </c>
      <c r="F1418" s="154">
        <v>2020</v>
      </c>
      <c r="G1418" s="154">
        <v>2021</v>
      </c>
      <c r="H1418" s="154">
        <v>2022</v>
      </c>
      <c r="I1418" s="154">
        <v>2023</v>
      </c>
      <c r="J1418" s="154">
        <v>2024</v>
      </c>
      <c r="K1418" s="154">
        <v>2025</v>
      </c>
    </row>
    <row r="1419" spans="1:13" s="202" customFormat="1" x14ac:dyDescent="0.25">
      <c r="A1419" s="10" t="s">
        <v>17</v>
      </c>
      <c r="B1419" s="12"/>
      <c r="C1419" s="12"/>
      <c r="D1419" s="12"/>
      <c r="E1419" s="12"/>
      <c r="F1419" s="12"/>
      <c r="G1419" s="12"/>
      <c r="H1419" s="12"/>
      <c r="I1419" s="12"/>
      <c r="J1419" s="12"/>
      <c r="K1419" s="12"/>
    </row>
    <row r="1420" spans="1:13" s="202" customFormat="1" x14ac:dyDescent="0.25">
      <c r="A1420" s="10" t="s">
        <v>18</v>
      </c>
      <c r="B1420" s="12"/>
      <c r="C1420" s="12"/>
      <c r="D1420" s="12">
        <f>D1419-C1422</f>
        <v>-94.685890000000001</v>
      </c>
      <c r="E1420" s="12">
        <f t="shared" ref="E1420:I1420" si="56">E1419+D1423</f>
        <v>-97.335890000000006</v>
      </c>
      <c r="F1420" s="12">
        <f t="shared" si="56"/>
        <v>-104.01589000000001</v>
      </c>
      <c r="G1420" s="12">
        <f t="shared" si="56"/>
        <v>-110.74589000000002</v>
      </c>
      <c r="H1420" s="12">
        <f t="shared" si="56"/>
        <v>-114.20589000000001</v>
      </c>
      <c r="I1420" s="12">
        <f t="shared" si="56"/>
        <v>-114.69860000000001</v>
      </c>
      <c r="J1420" s="12">
        <f>J1419+I1423</f>
        <v>-115.27760000000001</v>
      </c>
      <c r="K1420" s="12">
        <f>K1419+J1423</f>
        <v>-118.1876</v>
      </c>
    </row>
    <row r="1421" spans="1:13" s="202" customFormat="1" x14ac:dyDescent="0.25">
      <c r="A1421" s="10" t="s">
        <v>19</v>
      </c>
      <c r="B1421" s="156"/>
      <c r="C1421" s="722" t="s">
        <v>863</v>
      </c>
      <c r="D1421" s="723"/>
      <c r="E1421" s="723"/>
      <c r="F1421" s="723"/>
      <c r="G1421" s="723"/>
      <c r="H1421" s="723"/>
      <c r="I1421" s="723"/>
      <c r="J1421" s="724"/>
      <c r="K1421" s="219"/>
    </row>
    <row r="1422" spans="1:13" s="202" customFormat="1" x14ac:dyDescent="0.25">
      <c r="A1422" s="10" t="s">
        <v>20</v>
      </c>
      <c r="B1422" s="156"/>
      <c r="C1422" s="454">
        <v>94.685890000000001</v>
      </c>
      <c r="D1422" s="454">
        <v>2.65</v>
      </c>
      <c r="E1422" s="455">
        <v>6.68</v>
      </c>
      <c r="F1422" s="156">
        <v>6.73</v>
      </c>
      <c r="G1422" s="156">
        <v>3.46</v>
      </c>
      <c r="H1422" s="12">
        <v>0.49270999999999998</v>
      </c>
      <c r="I1422" s="12">
        <v>0.57899999999999996</v>
      </c>
      <c r="J1422" s="15">
        <v>2.91</v>
      </c>
      <c r="K1422" s="219"/>
    </row>
    <row r="1423" spans="1:13" s="202" customFormat="1" x14ac:dyDescent="0.25">
      <c r="A1423" s="10" t="s">
        <v>21</v>
      </c>
      <c r="B1423" s="12"/>
      <c r="C1423" s="12">
        <f>C1419-C1422</f>
        <v>-94.685890000000001</v>
      </c>
      <c r="D1423" s="12">
        <f t="shared" ref="D1423:I1423" si="57">D1420-D1422</f>
        <v>-97.335890000000006</v>
      </c>
      <c r="E1423" s="12">
        <f t="shared" si="57"/>
        <v>-104.01589000000001</v>
      </c>
      <c r="F1423" s="12">
        <f t="shared" si="57"/>
        <v>-110.74589000000002</v>
      </c>
      <c r="G1423" s="12">
        <f t="shared" si="57"/>
        <v>-114.20589000000001</v>
      </c>
      <c r="H1423" s="12">
        <f t="shared" si="57"/>
        <v>-114.69860000000001</v>
      </c>
      <c r="I1423" s="12">
        <f t="shared" si="57"/>
        <v>-115.27760000000001</v>
      </c>
      <c r="J1423" s="12">
        <f>J1420-J1422</f>
        <v>-118.1876</v>
      </c>
      <c r="K1423" s="219"/>
    </row>
    <row r="1424" spans="1:13" s="202" customFormat="1" x14ac:dyDescent="0.25">
      <c r="A1424" s="16" t="s">
        <v>22</v>
      </c>
      <c r="B1424" s="642">
        <v>2017</v>
      </c>
      <c r="C1424" s="642">
        <v>2018</v>
      </c>
      <c r="D1424" s="642">
        <v>2019</v>
      </c>
      <c r="E1424" s="642">
        <v>2020</v>
      </c>
      <c r="F1424" s="642">
        <v>2021</v>
      </c>
      <c r="G1424" s="642">
        <v>2022</v>
      </c>
      <c r="H1424" s="642">
        <v>2023</v>
      </c>
      <c r="I1424" s="642">
        <v>2024</v>
      </c>
      <c r="J1424" s="642">
        <v>2025</v>
      </c>
      <c r="K1424" s="642">
        <v>2026</v>
      </c>
    </row>
    <row r="1425" spans="1:11" s="202" customFormat="1" x14ac:dyDescent="0.25">
      <c r="A1425" s="18" t="s">
        <v>179</v>
      </c>
      <c r="B1425" s="19"/>
      <c r="C1425" s="19"/>
      <c r="D1425" s="19"/>
      <c r="E1425" s="19"/>
      <c r="F1425" s="19"/>
      <c r="G1425" s="19"/>
      <c r="H1425" s="19"/>
      <c r="I1425" s="19"/>
      <c r="J1425" s="19"/>
      <c r="K1425" s="232"/>
    </row>
    <row r="1426" spans="1:11" s="202" customFormat="1" x14ac:dyDescent="0.25">
      <c r="A1426" s="29" t="s">
        <v>1016</v>
      </c>
      <c r="B1426" s="30"/>
      <c r="C1426" s="30"/>
      <c r="D1426" s="30"/>
      <c r="E1426" s="30"/>
      <c r="F1426" s="30"/>
      <c r="G1426" s="30"/>
      <c r="H1426" s="30"/>
      <c r="I1426" s="30"/>
      <c r="J1426" s="30"/>
      <c r="K1426" s="228"/>
    </row>
    <row r="1427" spans="1:11" s="202" customFormat="1" x14ac:dyDescent="0.25">
      <c r="A1427" s="39"/>
      <c r="B1427" s="3"/>
      <c r="C1427" s="3"/>
      <c r="D1427" s="3"/>
      <c r="E1427" s="3"/>
      <c r="F1427" s="3"/>
      <c r="G1427" s="3"/>
      <c r="H1427" s="3"/>
      <c r="I1427" s="3"/>
      <c r="J1427" s="3"/>
    </row>
    <row r="1428" spans="1:11" s="202" customFormat="1" x14ac:dyDescent="0.25">
      <c r="A1428" s="39"/>
      <c r="B1428" s="3"/>
      <c r="C1428" s="3"/>
      <c r="D1428" s="3"/>
      <c r="E1428" s="3"/>
      <c r="F1428" s="3"/>
      <c r="G1428" s="3"/>
      <c r="H1428" s="3"/>
      <c r="I1428" s="3"/>
      <c r="J1428" s="3"/>
    </row>
    <row r="1429" spans="1:11" x14ac:dyDescent="0.25">
      <c r="A1429" s="6" t="s">
        <v>14</v>
      </c>
      <c r="B1429" s="7" t="s">
        <v>74</v>
      </c>
      <c r="C1429" s="9" t="s">
        <v>152</v>
      </c>
    </row>
    <row r="1430" spans="1:11" x14ac:dyDescent="0.25">
      <c r="A1430" s="41" t="s">
        <v>16</v>
      </c>
      <c r="B1430" s="274">
        <v>2016</v>
      </c>
      <c r="C1430" s="154">
        <v>2017</v>
      </c>
      <c r="D1430" s="154">
        <v>2018</v>
      </c>
      <c r="E1430" s="154">
        <v>2019</v>
      </c>
      <c r="F1430" s="154">
        <v>2020</v>
      </c>
      <c r="G1430" s="154">
        <v>2021</v>
      </c>
      <c r="H1430" s="154">
        <v>2022</v>
      </c>
      <c r="I1430" s="154">
        <v>2023</v>
      </c>
      <c r="J1430" s="154">
        <v>2024</v>
      </c>
      <c r="K1430" s="154">
        <v>2025</v>
      </c>
    </row>
    <row r="1431" spans="1:11" x14ac:dyDescent="0.25">
      <c r="A1431" s="10" t="s">
        <v>17</v>
      </c>
      <c r="B1431" s="12">
        <v>10</v>
      </c>
      <c r="C1431" s="12">
        <v>10</v>
      </c>
      <c r="D1431" s="12">
        <v>10</v>
      </c>
      <c r="E1431" s="12">
        <v>10</v>
      </c>
      <c r="F1431" s="12">
        <v>10</v>
      </c>
      <c r="G1431" s="12">
        <v>10</v>
      </c>
      <c r="H1431" s="12">
        <v>10</v>
      </c>
      <c r="I1431" s="12">
        <v>10</v>
      </c>
      <c r="J1431" s="12">
        <v>10</v>
      </c>
      <c r="K1431" s="12">
        <v>10</v>
      </c>
    </row>
    <row r="1432" spans="1:11" x14ac:dyDescent="0.25">
      <c r="A1432" s="10" t="s">
        <v>18</v>
      </c>
      <c r="B1432" s="12">
        <v>10</v>
      </c>
      <c r="C1432" s="12">
        <f>C1431+B1435</f>
        <v>-106.85</v>
      </c>
      <c r="D1432" s="12">
        <f>D1431+C1435</f>
        <v>-107.18599999999999</v>
      </c>
      <c r="E1432" s="12">
        <f>E1431+D1435</f>
        <v>-97.965349999999987</v>
      </c>
      <c r="F1432" s="12">
        <f>F1431+E1435</f>
        <v>-89.945349999999991</v>
      </c>
      <c r="G1432" s="12">
        <f>F1435+G1431</f>
        <v>-81.765349999999984</v>
      </c>
      <c r="H1432" s="12">
        <f xml:space="preserve"> 1.25*G1435+H1431</f>
        <v>-94.519187499999973</v>
      </c>
      <c r="I1432" s="12">
        <f xml:space="preserve"> 1.25*H1435+I1431</f>
        <v>-115.64898437499997</v>
      </c>
      <c r="J1432" s="12">
        <f xml:space="preserve"> 1.25*I1435+J1431</f>
        <v>-136.97123046874995</v>
      </c>
      <c r="K1432" s="12">
        <f xml:space="preserve"> 1.25*J1435+K1431</f>
        <v>-161.21403808593743</v>
      </c>
    </row>
    <row r="1433" spans="1:11" x14ac:dyDescent="0.25">
      <c r="A1433" s="10" t="s">
        <v>19</v>
      </c>
      <c r="B1433" s="156"/>
      <c r="C1433" s="156" t="s">
        <v>399</v>
      </c>
      <c r="D1433" s="156" t="s">
        <v>400</v>
      </c>
      <c r="E1433" s="156" t="s">
        <v>401</v>
      </c>
      <c r="F1433" s="156" t="s">
        <v>402</v>
      </c>
      <c r="G1433" s="156" t="s">
        <v>566</v>
      </c>
      <c r="H1433" s="156" t="s">
        <v>604</v>
      </c>
      <c r="I1433" s="156" t="s">
        <v>625</v>
      </c>
      <c r="J1433" s="156" t="s">
        <v>784</v>
      </c>
      <c r="K1433" s="156" t="s">
        <v>999</v>
      </c>
    </row>
    <row r="1434" spans="1:11" x14ac:dyDescent="0.25">
      <c r="A1434" s="10" t="s">
        <v>20</v>
      </c>
      <c r="B1434" s="156">
        <v>126.85</v>
      </c>
      <c r="C1434" s="156">
        <v>10.336</v>
      </c>
      <c r="D1434" s="156">
        <v>0.77934999999999999</v>
      </c>
      <c r="E1434" s="156">
        <v>1.98</v>
      </c>
      <c r="F1434" s="156">
        <v>1.82</v>
      </c>
      <c r="G1434" s="156">
        <v>1.85</v>
      </c>
      <c r="H1434" s="156">
        <v>6</v>
      </c>
      <c r="I1434" s="156">
        <v>1.9279999999999999</v>
      </c>
      <c r="J1434" s="674"/>
      <c r="K1434" s="156"/>
    </row>
    <row r="1435" spans="1:11" x14ac:dyDescent="0.25">
      <c r="A1435" s="10" t="s">
        <v>21</v>
      </c>
      <c r="B1435" s="12">
        <f t="shared" ref="B1435:J1435" si="58">B1432-B1434</f>
        <v>-116.85</v>
      </c>
      <c r="C1435" s="12">
        <f t="shared" si="58"/>
        <v>-117.18599999999999</v>
      </c>
      <c r="D1435" s="12">
        <f t="shared" si="58"/>
        <v>-107.96534999999999</v>
      </c>
      <c r="E1435" s="12">
        <f t="shared" si="58"/>
        <v>-99.945349999999991</v>
      </c>
      <c r="F1435" s="12">
        <f t="shared" si="58"/>
        <v>-91.765349999999984</v>
      </c>
      <c r="G1435" s="12">
        <f t="shared" si="58"/>
        <v>-83.615349999999978</v>
      </c>
      <c r="H1435" s="12">
        <f t="shared" si="58"/>
        <v>-100.51918749999997</v>
      </c>
      <c r="I1435" s="12">
        <f t="shared" si="58"/>
        <v>-117.57698437499997</v>
      </c>
      <c r="J1435" s="12">
        <f t="shared" si="58"/>
        <v>-136.97123046874995</v>
      </c>
      <c r="K1435" s="12"/>
    </row>
    <row r="1436" spans="1:11" x14ac:dyDescent="0.25">
      <c r="A1436" s="18" t="s">
        <v>22</v>
      </c>
      <c r="B1436" s="642">
        <v>2017</v>
      </c>
      <c r="C1436" s="642">
        <v>2018</v>
      </c>
      <c r="D1436" s="642">
        <v>2019</v>
      </c>
      <c r="E1436" s="642">
        <v>2020</v>
      </c>
      <c r="F1436" s="642">
        <v>2021</v>
      </c>
      <c r="G1436" s="642">
        <v>2022</v>
      </c>
      <c r="H1436" s="642">
        <v>2023</v>
      </c>
      <c r="I1436" s="642">
        <v>2024</v>
      </c>
      <c r="J1436" s="642">
        <v>2025</v>
      </c>
      <c r="K1436" s="642">
        <v>2026</v>
      </c>
    </row>
    <row r="1437" spans="1:11" x14ac:dyDescent="0.25">
      <c r="A1437" s="18" t="s">
        <v>179</v>
      </c>
      <c r="B1437" s="19"/>
      <c r="C1437" s="19"/>
      <c r="D1437" s="19"/>
      <c r="E1437" s="19"/>
      <c r="F1437" s="19"/>
      <c r="G1437" s="19"/>
      <c r="H1437" s="19"/>
      <c r="I1437" s="19"/>
      <c r="J1437" s="19"/>
      <c r="K1437" s="63"/>
    </row>
    <row r="1438" spans="1:11" x14ac:dyDescent="0.25">
      <c r="A1438" s="56" t="s">
        <v>403</v>
      </c>
      <c r="K1438" s="64"/>
    </row>
    <row r="1439" spans="1:11" x14ac:dyDescent="0.25">
      <c r="A1439" s="56" t="s">
        <v>404</v>
      </c>
      <c r="K1439" s="64"/>
    </row>
    <row r="1440" spans="1:11" x14ac:dyDescent="0.25">
      <c r="A1440" s="56" t="s">
        <v>405</v>
      </c>
      <c r="K1440" s="64"/>
    </row>
    <row r="1441" spans="1:11" x14ac:dyDescent="0.25">
      <c r="A1441" s="56" t="s">
        <v>565</v>
      </c>
      <c r="C1441" s="348"/>
      <c r="K1441" s="64"/>
    </row>
    <row r="1442" spans="1:11" x14ac:dyDescent="0.25">
      <c r="A1442" s="56" t="s">
        <v>567</v>
      </c>
      <c r="C1442" s="348"/>
      <c r="K1442" s="64"/>
    </row>
    <row r="1443" spans="1:11" x14ac:dyDescent="0.25">
      <c r="A1443" s="56" t="s">
        <v>895</v>
      </c>
      <c r="C1443" s="348"/>
      <c r="K1443" s="64"/>
    </row>
    <row r="1444" spans="1:11" x14ac:dyDescent="0.25">
      <c r="A1444" s="56" t="s">
        <v>896</v>
      </c>
      <c r="C1444" s="348"/>
      <c r="K1444" s="64"/>
    </row>
    <row r="1445" spans="1:11" x14ac:dyDescent="0.25">
      <c r="A1445" s="56" t="s">
        <v>1026</v>
      </c>
      <c r="C1445" s="348"/>
      <c r="K1445" s="64"/>
    </row>
    <row r="1446" spans="1:11" s="34" customFormat="1" x14ac:dyDescent="0.25">
      <c r="A1446" s="312" t="s">
        <v>1130</v>
      </c>
      <c r="C1446" s="313"/>
      <c r="K1446" s="48"/>
    </row>
    <row r="1447" spans="1:11" x14ac:dyDescent="0.25">
      <c r="A1447" s="315"/>
      <c r="C1447" s="348"/>
    </row>
    <row r="1448" spans="1:11" x14ac:dyDescent="0.25">
      <c r="A1448" s="6" t="s">
        <v>12</v>
      </c>
      <c r="B1448" s="7" t="s">
        <v>1245</v>
      </c>
    </row>
    <row r="1449" spans="1:11" x14ac:dyDescent="0.25">
      <c r="A1449" s="648" t="s">
        <v>14</v>
      </c>
      <c r="B1449" s="649" t="s">
        <v>1241</v>
      </c>
      <c r="C1449" s="66" t="s">
        <v>152</v>
      </c>
      <c r="D1449" s="138"/>
      <c r="E1449" s="119"/>
      <c r="F1449" s="119"/>
    </row>
    <row r="1450" spans="1:11" x14ac:dyDescent="0.25">
      <c r="A1450" s="95" t="s">
        <v>16</v>
      </c>
      <c r="B1450" s="263"/>
      <c r="C1450" s="263">
        <v>2018</v>
      </c>
      <c r="D1450" s="263">
        <v>2019</v>
      </c>
      <c r="E1450" s="263">
        <v>2020</v>
      </c>
      <c r="F1450" s="263">
        <v>2021</v>
      </c>
      <c r="G1450" s="263">
        <v>2022</v>
      </c>
      <c r="H1450" s="263">
        <v>2023</v>
      </c>
      <c r="I1450" s="263">
        <v>2024</v>
      </c>
      <c r="J1450" s="263">
        <v>2025</v>
      </c>
    </row>
    <row r="1451" spans="1:11" x14ac:dyDescent="0.25">
      <c r="A1451" s="68" t="s">
        <v>17</v>
      </c>
      <c r="B1451" s="72"/>
      <c r="C1451" s="130"/>
      <c r="D1451" s="130"/>
      <c r="E1451" s="130"/>
      <c r="F1451" s="130"/>
      <c r="G1451" s="650"/>
      <c r="H1451" s="650"/>
      <c r="I1451" s="651"/>
      <c r="J1451" s="658">
        <v>125</v>
      </c>
    </row>
    <row r="1452" spans="1:11" x14ac:dyDescent="0.25">
      <c r="A1452" s="68" t="s">
        <v>18</v>
      </c>
      <c r="B1452" s="72"/>
      <c r="C1452" s="130"/>
      <c r="D1452" s="130"/>
      <c r="E1452" s="130">
        <v>-4.5005962749999959</v>
      </c>
      <c r="F1452" s="130">
        <v>-95.627388774999986</v>
      </c>
      <c r="G1452" s="652">
        <v>-275.36213877500001</v>
      </c>
      <c r="H1452" s="653">
        <v>-555.68713877499999</v>
      </c>
      <c r="I1452" s="653">
        <v>-786.01213877500004</v>
      </c>
      <c r="J1452" s="653">
        <v>-761.33713877500008</v>
      </c>
    </row>
    <row r="1453" spans="1:11" ht="26.4" x14ac:dyDescent="0.25">
      <c r="A1453" s="68" t="s">
        <v>19</v>
      </c>
      <c r="B1453" s="264"/>
      <c r="C1453" s="132"/>
      <c r="D1453" s="654" t="s">
        <v>1246</v>
      </c>
      <c r="E1453" s="654" t="s">
        <v>1247</v>
      </c>
      <c r="F1453" s="654" t="s">
        <v>1248</v>
      </c>
      <c r="G1453" s="654" t="s">
        <v>1249</v>
      </c>
      <c r="H1453" s="654" t="s">
        <v>1243</v>
      </c>
      <c r="I1453" s="654" t="s">
        <v>1242</v>
      </c>
      <c r="J1453" s="654"/>
    </row>
    <row r="1454" spans="1:11" x14ac:dyDescent="0.25">
      <c r="A1454" s="68" t="s">
        <v>20</v>
      </c>
      <c r="B1454" s="72"/>
      <c r="C1454" s="130">
        <v>70</v>
      </c>
      <c r="D1454" s="130">
        <v>26</v>
      </c>
      <c r="E1454" s="130">
        <v>112</v>
      </c>
      <c r="F1454" s="130">
        <v>200</v>
      </c>
      <c r="G1454" s="130">
        <v>300</v>
      </c>
      <c r="H1454" s="130">
        <v>250</v>
      </c>
      <c r="I1454" s="130">
        <v>120</v>
      </c>
      <c r="J1454" s="130"/>
    </row>
    <row r="1455" spans="1:11" x14ac:dyDescent="0.25">
      <c r="A1455" s="68" t="s">
        <v>21</v>
      </c>
      <c r="B1455" s="72"/>
      <c r="C1455" s="130"/>
      <c r="D1455" s="130">
        <v>-4.5005962749999959</v>
      </c>
      <c r="E1455" s="130">
        <v>-95.627388774999986</v>
      </c>
      <c r="F1455" s="130">
        <v>-275.36213877500001</v>
      </c>
      <c r="G1455" s="130">
        <v>-555.68713877499999</v>
      </c>
      <c r="H1455" s="130">
        <v>-786.01213877500004</v>
      </c>
      <c r="I1455" s="130">
        <v>-886.33713877500008</v>
      </c>
      <c r="J1455" s="651"/>
    </row>
    <row r="1456" spans="1:11" x14ac:dyDescent="0.25">
      <c r="A1456" s="92" t="s">
        <v>22</v>
      </c>
      <c r="B1456" s="272"/>
      <c r="C1456" s="272"/>
      <c r="D1456" s="272"/>
      <c r="E1456" s="272"/>
      <c r="F1456" s="272"/>
      <c r="G1456" s="659"/>
      <c r="H1456" s="659"/>
      <c r="I1456" s="660"/>
      <c r="J1456" s="660"/>
    </row>
    <row r="1457" spans="1:11" x14ac:dyDescent="0.25">
      <c r="A1457" s="436" t="s">
        <v>23</v>
      </c>
      <c r="B1457" s="656"/>
      <c r="C1457" s="647"/>
      <c r="D1457" s="647"/>
      <c r="E1457" s="656"/>
      <c r="F1457" s="656"/>
      <c r="G1457" s="30"/>
      <c r="H1457" s="30"/>
      <c r="I1457" s="30"/>
      <c r="J1457" s="88"/>
    </row>
    <row r="1458" spans="1:11" ht="12.6" customHeight="1" x14ac:dyDescent="0.25">
      <c r="A1458" s="315"/>
      <c r="C1458" s="348"/>
    </row>
    <row r="1460" spans="1:11" x14ac:dyDescent="0.25">
      <c r="A1460" s="6" t="s">
        <v>11</v>
      </c>
      <c r="B1460" s="7" t="s">
        <v>0</v>
      </c>
    </row>
    <row r="1461" spans="1:11" s="202" customFormat="1" x14ac:dyDescent="0.25">
      <c r="A1461" s="6" t="s">
        <v>1</v>
      </c>
      <c r="B1461" s="7" t="s">
        <v>624</v>
      </c>
      <c r="C1461" s="9" t="s">
        <v>2</v>
      </c>
      <c r="D1461" s="3"/>
      <c r="E1461" s="3"/>
      <c r="F1461" s="3"/>
      <c r="G1461" s="3"/>
    </row>
    <row r="1462" spans="1:11" s="202" customFormat="1" x14ac:dyDescent="0.25">
      <c r="A1462" s="10" t="s">
        <v>3</v>
      </c>
      <c r="B1462" s="154">
        <v>2017</v>
      </c>
      <c r="C1462" s="154">
        <v>2018</v>
      </c>
      <c r="D1462" s="172">
        <v>2019</v>
      </c>
      <c r="E1462" s="154">
        <v>2020</v>
      </c>
      <c r="F1462" s="154">
        <v>2021</v>
      </c>
      <c r="G1462" s="154">
        <v>2022</v>
      </c>
      <c r="H1462" s="154">
        <v>2023</v>
      </c>
      <c r="I1462" s="154">
        <v>2024</v>
      </c>
      <c r="J1462" s="154">
        <v>2025</v>
      </c>
      <c r="K1462" s="457">
        <v>2026</v>
      </c>
    </row>
    <row r="1463" spans="1:11" s="202" customFormat="1" x14ac:dyDescent="0.25">
      <c r="A1463" s="10" t="s">
        <v>4</v>
      </c>
      <c r="B1463" s="156">
        <v>200</v>
      </c>
      <c r="C1463" s="156">
        <v>200</v>
      </c>
      <c r="D1463" s="174">
        <v>215</v>
      </c>
      <c r="E1463" s="156">
        <v>215</v>
      </c>
      <c r="F1463" s="175">
        <v>242</v>
      </c>
      <c r="G1463" s="175">
        <v>242</v>
      </c>
      <c r="H1463" s="175">
        <v>242</v>
      </c>
      <c r="I1463" s="175">
        <v>302</v>
      </c>
      <c r="J1463" s="175">
        <v>302</v>
      </c>
      <c r="K1463" s="458">
        <v>302</v>
      </c>
    </row>
    <row r="1464" spans="1:11" s="202" customFormat="1" x14ac:dyDescent="0.25">
      <c r="A1464" s="10" t="s">
        <v>5</v>
      </c>
      <c r="B1464" s="156">
        <v>250</v>
      </c>
      <c r="C1464" s="156">
        <v>250</v>
      </c>
      <c r="D1464" s="174">
        <v>265</v>
      </c>
      <c r="E1464" s="156">
        <v>265</v>
      </c>
      <c r="F1464" s="175">
        <f>F1463+0.25*D1463</f>
        <v>295.75</v>
      </c>
      <c r="G1464" s="175">
        <f>G1463+0.25*E1463</f>
        <v>295.75</v>
      </c>
      <c r="H1464" s="175">
        <f>H1463+0.25*F1463</f>
        <v>302.5</v>
      </c>
      <c r="I1464" s="175">
        <f>I1463+0.25*G1463</f>
        <v>362.5</v>
      </c>
      <c r="J1464" s="175">
        <f>J1463+0.25*H1463</f>
        <v>362.5</v>
      </c>
      <c r="K1464" s="458">
        <f t="shared" ref="K1464" si="59">K1463+0.25*I1463</f>
        <v>377.5</v>
      </c>
    </row>
    <row r="1465" spans="1:11" s="202" customFormat="1" x14ac:dyDescent="0.25">
      <c r="A1465" s="10" t="s">
        <v>6</v>
      </c>
      <c r="B1465" s="156"/>
      <c r="C1465" s="156"/>
      <c r="D1465" s="156"/>
      <c r="E1465" s="156"/>
      <c r="F1465" s="175"/>
      <c r="G1465" s="175"/>
      <c r="H1465" s="175"/>
      <c r="I1465" s="175"/>
      <c r="J1465" s="175"/>
      <c r="K1465" s="458"/>
    </row>
    <row r="1466" spans="1:11" s="202" customFormat="1" x14ac:dyDescent="0.25">
      <c r="A1466" s="10" t="s">
        <v>7</v>
      </c>
      <c r="B1466" s="156">
        <v>20</v>
      </c>
      <c r="C1466" s="156">
        <v>20</v>
      </c>
      <c r="D1466" s="156">
        <v>25</v>
      </c>
      <c r="E1466" s="156">
        <v>29</v>
      </c>
      <c r="F1466" s="175">
        <v>40</v>
      </c>
      <c r="G1466" s="175">
        <v>60</v>
      </c>
      <c r="H1466" s="175">
        <v>90</v>
      </c>
      <c r="I1466" s="175">
        <v>120</v>
      </c>
      <c r="J1466" s="175"/>
      <c r="K1466" s="458"/>
    </row>
    <row r="1467" spans="1:11" s="202" customFormat="1" x14ac:dyDescent="0.25">
      <c r="A1467" s="10" t="s">
        <v>8</v>
      </c>
      <c r="B1467" s="156">
        <v>230</v>
      </c>
      <c r="C1467" s="156">
        <v>230</v>
      </c>
      <c r="D1467" s="156">
        <v>240</v>
      </c>
      <c r="E1467" s="156">
        <v>236</v>
      </c>
      <c r="F1467" s="175">
        <f>F1464-F1466</f>
        <v>255.75</v>
      </c>
      <c r="G1467" s="175">
        <f>G1464-G1466</f>
        <v>235.75</v>
      </c>
      <c r="H1467" s="175">
        <f>H1464-H1466</f>
        <v>212.5</v>
      </c>
      <c r="I1467" s="175">
        <f>I1464-I1466</f>
        <v>242.5</v>
      </c>
      <c r="J1467" s="175"/>
      <c r="K1467" s="458"/>
    </row>
    <row r="1468" spans="1:11" s="202" customFormat="1" x14ac:dyDescent="0.25">
      <c r="A1468" s="16" t="s">
        <v>9</v>
      </c>
      <c r="B1468" s="159">
        <v>2019</v>
      </c>
      <c r="C1468" s="159">
        <v>2020</v>
      </c>
      <c r="D1468" s="178">
        <v>2021</v>
      </c>
      <c r="E1468" s="159">
        <v>2022</v>
      </c>
      <c r="F1468" s="179">
        <v>2023</v>
      </c>
      <c r="G1468" s="179">
        <v>2024</v>
      </c>
      <c r="H1468" s="179">
        <v>2025</v>
      </c>
      <c r="I1468" s="179">
        <v>2026</v>
      </c>
      <c r="J1468" s="179">
        <v>2027</v>
      </c>
      <c r="K1468" s="459">
        <v>2028</v>
      </c>
    </row>
    <row r="1469" spans="1:11" s="202" customFormat="1" x14ac:dyDescent="0.25">
      <c r="A1469" s="29" t="s">
        <v>10</v>
      </c>
      <c r="B1469" s="30"/>
      <c r="C1469" s="30"/>
      <c r="D1469" s="30"/>
      <c r="E1469" s="30"/>
      <c r="F1469" s="30"/>
      <c r="G1469" s="30"/>
      <c r="H1469" s="460"/>
      <c r="I1469" s="460"/>
      <c r="J1469" s="460"/>
      <c r="K1469" s="228"/>
    </row>
    <row r="1470" spans="1:11" s="202" customFormat="1" x14ac:dyDescent="0.25">
      <c r="A1470" s="700" t="s">
        <v>737</v>
      </c>
      <c r="B1470" s="701"/>
      <c r="C1470" s="701"/>
      <c r="D1470" s="701"/>
      <c r="E1470" s="701"/>
      <c r="F1470" s="701"/>
      <c r="G1470" s="701"/>
      <c r="H1470" s="461"/>
      <c r="I1470" s="461"/>
      <c r="J1470" s="461"/>
      <c r="K1470" s="232"/>
    </row>
    <row r="1471" spans="1:11" s="202" customFormat="1" x14ac:dyDescent="0.25">
      <c r="A1471" s="718" t="s">
        <v>738</v>
      </c>
      <c r="B1471" s="719"/>
      <c r="C1471" s="719"/>
      <c r="D1471" s="719"/>
      <c r="E1471" s="719"/>
      <c r="F1471" s="719"/>
      <c r="G1471" s="719"/>
      <c r="K1471" s="234"/>
    </row>
    <row r="1472" spans="1:11" s="202" customFormat="1" x14ac:dyDescent="0.25">
      <c r="A1472" s="718" t="s">
        <v>739</v>
      </c>
      <c r="B1472" s="719"/>
      <c r="C1472" s="719"/>
      <c r="D1472" s="719"/>
      <c r="E1472" s="719"/>
      <c r="F1472" s="719"/>
      <c r="G1472" s="719"/>
      <c r="K1472" s="234"/>
    </row>
    <row r="1473" spans="1:11" x14ac:dyDescent="0.25">
      <c r="A1473" s="718" t="s">
        <v>740</v>
      </c>
      <c r="B1473" s="719"/>
      <c r="C1473" s="719"/>
      <c r="D1473" s="719"/>
      <c r="E1473" s="719"/>
      <c r="F1473" s="719"/>
      <c r="G1473" s="719"/>
      <c r="K1473" s="64"/>
    </row>
    <row r="1474" spans="1:11" x14ac:dyDescent="0.25">
      <c r="A1474" s="462" t="s">
        <v>939</v>
      </c>
      <c r="B1474" s="315"/>
      <c r="C1474" s="315"/>
      <c r="D1474" s="315"/>
      <c r="E1474" s="315"/>
      <c r="F1474" s="315"/>
      <c r="G1474" s="315"/>
      <c r="K1474" s="64"/>
    </row>
    <row r="1475" spans="1:11" x14ac:dyDescent="0.25">
      <c r="A1475" s="462" t="s">
        <v>959</v>
      </c>
      <c r="B1475" s="315"/>
      <c r="C1475" s="315"/>
      <c r="D1475" s="315"/>
      <c r="E1475" s="315"/>
      <c r="F1475" s="315"/>
      <c r="G1475" s="315"/>
      <c r="K1475" s="64"/>
    </row>
    <row r="1476" spans="1:11" x14ac:dyDescent="0.25">
      <c r="A1476" s="428" t="s">
        <v>1193</v>
      </c>
      <c r="B1476" s="463"/>
      <c r="C1476" s="463"/>
      <c r="D1476" s="463"/>
      <c r="E1476" s="463"/>
      <c r="F1476" s="463"/>
      <c r="G1476" s="463"/>
      <c r="H1476" s="34"/>
      <c r="I1476" s="34"/>
      <c r="J1476" s="34"/>
      <c r="K1476" s="48"/>
    </row>
    <row r="1477" spans="1:11" x14ac:dyDescent="0.25">
      <c r="A1477" s="2"/>
      <c r="B1477" s="2"/>
    </row>
    <row r="1478" spans="1:11" x14ac:dyDescent="0.25">
      <c r="A1478" s="6" t="s">
        <v>1</v>
      </c>
      <c r="B1478" s="7" t="s">
        <v>623</v>
      </c>
      <c r="C1478" s="9" t="s">
        <v>2</v>
      </c>
    </row>
    <row r="1479" spans="1:11" x14ac:dyDescent="0.25">
      <c r="A1479" s="10" t="s">
        <v>3</v>
      </c>
      <c r="B1479" s="154">
        <v>2017</v>
      </c>
      <c r="C1479" s="154">
        <v>2018</v>
      </c>
      <c r="D1479" s="172">
        <v>2019</v>
      </c>
      <c r="E1479" s="154">
        <v>2020</v>
      </c>
      <c r="F1479" s="154">
        <v>2021</v>
      </c>
      <c r="G1479" s="154">
        <v>2022</v>
      </c>
      <c r="H1479" s="154">
        <v>2023</v>
      </c>
      <c r="I1479" s="154">
        <v>2024</v>
      </c>
      <c r="J1479" s="154">
        <v>2025</v>
      </c>
      <c r="K1479" s="457">
        <v>2026</v>
      </c>
    </row>
    <row r="1480" spans="1:11" x14ac:dyDescent="0.25">
      <c r="A1480" s="10" t="s">
        <v>4</v>
      </c>
      <c r="B1480" s="156">
        <v>850</v>
      </c>
      <c r="C1480" s="156">
        <v>850</v>
      </c>
      <c r="D1480" s="174">
        <v>850</v>
      </c>
      <c r="E1480" s="156">
        <v>850</v>
      </c>
      <c r="F1480" s="175">
        <v>850</v>
      </c>
      <c r="G1480" s="175">
        <v>850</v>
      </c>
      <c r="H1480" s="175">
        <v>850</v>
      </c>
      <c r="I1480" s="175">
        <v>850</v>
      </c>
      <c r="J1480" s="175">
        <v>850</v>
      </c>
      <c r="K1480" s="464">
        <v>1186</v>
      </c>
    </row>
    <row r="1481" spans="1:11" x14ac:dyDescent="0.25">
      <c r="A1481" s="10" t="s">
        <v>5</v>
      </c>
      <c r="B1481" s="156">
        <v>950</v>
      </c>
      <c r="C1481" s="156">
        <v>900</v>
      </c>
      <c r="D1481" s="174">
        <v>1000</v>
      </c>
      <c r="E1481" s="156">
        <v>995</v>
      </c>
      <c r="F1481" s="175">
        <v>1095</v>
      </c>
      <c r="G1481" s="175">
        <f>G1480+E1484+150+20+25</f>
        <v>1104.1799999999998</v>
      </c>
      <c r="H1481" s="175">
        <f>H1480+0.15*F1480+150+20+25</f>
        <v>1172.5</v>
      </c>
      <c r="I1481" s="175">
        <f>I1480+G1484+150+20+25+200</f>
        <v>1263.81</v>
      </c>
      <c r="J1481" s="175">
        <f>J1480+H1484+150+20+25+200</f>
        <v>1272.43</v>
      </c>
      <c r="K1481" s="464">
        <f>K1480+I1480*0.15+150+25</f>
        <v>1488.5</v>
      </c>
    </row>
    <row r="1482" spans="1:11" x14ac:dyDescent="0.25">
      <c r="A1482" s="10" t="s">
        <v>6</v>
      </c>
      <c r="B1482" s="156"/>
      <c r="C1482" s="156"/>
      <c r="D1482" s="174"/>
      <c r="E1482" s="156"/>
      <c r="F1482" s="175"/>
      <c r="G1482" s="175"/>
      <c r="H1482" s="175"/>
      <c r="I1482" s="175"/>
      <c r="J1482" s="175"/>
      <c r="K1482" s="458"/>
    </row>
    <row r="1483" spans="1:11" x14ac:dyDescent="0.25">
      <c r="A1483" s="10" t="s">
        <v>7</v>
      </c>
      <c r="B1483" s="156">
        <v>900</v>
      </c>
      <c r="C1483" s="156">
        <v>950</v>
      </c>
      <c r="D1483" s="174">
        <v>950</v>
      </c>
      <c r="E1483" s="156">
        <v>935.82</v>
      </c>
      <c r="F1483" s="175">
        <v>955.3</v>
      </c>
      <c r="G1483" s="175">
        <v>1085.3699999999999</v>
      </c>
      <c r="H1483" s="175">
        <v>1145.07</v>
      </c>
      <c r="I1483" s="175">
        <v>886.85</v>
      </c>
      <c r="J1483" s="175"/>
      <c r="K1483" s="458"/>
    </row>
    <row r="1484" spans="1:11" x14ac:dyDescent="0.25">
      <c r="A1484" s="10" t="s">
        <v>8</v>
      </c>
      <c r="B1484" s="156">
        <f t="shared" ref="B1484:I1484" si="60">B1481-B1483</f>
        <v>50</v>
      </c>
      <c r="C1484" s="156">
        <f t="shared" si="60"/>
        <v>-50</v>
      </c>
      <c r="D1484" s="156">
        <f t="shared" si="60"/>
        <v>50</v>
      </c>
      <c r="E1484" s="156">
        <f t="shared" si="60"/>
        <v>59.17999999999995</v>
      </c>
      <c r="F1484" s="175">
        <f t="shared" si="60"/>
        <v>139.70000000000005</v>
      </c>
      <c r="G1484" s="175">
        <f t="shared" si="60"/>
        <v>18.809999999999945</v>
      </c>
      <c r="H1484" s="175">
        <f t="shared" si="60"/>
        <v>27.430000000000064</v>
      </c>
      <c r="I1484" s="175">
        <f t="shared" si="60"/>
        <v>376.95999999999992</v>
      </c>
      <c r="J1484" s="175"/>
      <c r="K1484" s="458"/>
    </row>
    <row r="1485" spans="1:11" ht="13.2" customHeight="1" x14ac:dyDescent="0.25">
      <c r="A1485" s="16" t="s">
        <v>9</v>
      </c>
      <c r="B1485" s="159">
        <v>2019</v>
      </c>
      <c r="C1485" s="159">
        <v>2020</v>
      </c>
      <c r="D1485" s="178">
        <v>2021</v>
      </c>
      <c r="E1485" s="159">
        <v>2022</v>
      </c>
      <c r="F1485" s="179">
        <v>2023</v>
      </c>
      <c r="G1485" s="179">
        <v>2024</v>
      </c>
      <c r="H1485" s="179">
        <v>2025</v>
      </c>
      <c r="I1485" s="179">
        <v>2026</v>
      </c>
      <c r="J1485" s="179">
        <v>2027</v>
      </c>
      <c r="K1485" s="459">
        <v>2028</v>
      </c>
    </row>
    <row r="1486" spans="1:11" ht="13.2" customHeight="1" x14ac:dyDescent="0.25">
      <c r="A1486" s="29" t="s">
        <v>10</v>
      </c>
      <c r="B1486" s="30"/>
      <c r="C1486" s="30"/>
      <c r="D1486" s="30"/>
      <c r="E1486" s="30"/>
      <c r="F1486" s="30"/>
      <c r="G1486" s="30"/>
      <c r="H1486" s="30"/>
      <c r="I1486" s="30"/>
      <c r="J1486" s="30"/>
      <c r="K1486" s="88"/>
    </row>
    <row r="1487" spans="1:11" x14ac:dyDescent="0.25">
      <c r="A1487" s="18" t="s">
        <v>741</v>
      </c>
      <c r="B1487" s="19"/>
      <c r="C1487" s="19"/>
      <c r="D1487" s="19"/>
      <c r="E1487" s="19"/>
      <c r="F1487" s="19"/>
      <c r="G1487" s="19"/>
      <c r="H1487" s="19"/>
      <c r="I1487" s="19"/>
      <c r="J1487" s="19"/>
      <c r="K1487" s="63"/>
    </row>
    <row r="1488" spans="1:11" x14ac:dyDescent="0.25">
      <c r="A1488" s="39" t="s">
        <v>742</v>
      </c>
      <c r="K1488" s="64"/>
    </row>
    <row r="1489" spans="1:11" x14ac:dyDescent="0.25">
      <c r="A1489" s="56" t="s">
        <v>743</v>
      </c>
      <c r="B1489" s="49"/>
      <c r="C1489" s="49"/>
      <c r="D1489" s="49"/>
      <c r="E1489" s="49"/>
      <c r="F1489" s="49"/>
      <c r="G1489" s="49"/>
      <c r="H1489" s="49"/>
      <c r="K1489" s="64"/>
    </row>
    <row r="1490" spans="1:11" x14ac:dyDescent="0.25">
      <c r="A1490" s="39" t="s">
        <v>744</v>
      </c>
      <c r="K1490" s="64"/>
    </row>
    <row r="1491" spans="1:11" x14ac:dyDescent="0.25">
      <c r="A1491" s="39" t="s">
        <v>745</v>
      </c>
      <c r="K1491" s="64"/>
    </row>
    <row r="1492" spans="1:11" x14ac:dyDescent="0.25">
      <c r="A1492" s="39" t="s">
        <v>746</v>
      </c>
      <c r="K1492" s="64"/>
    </row>
    <row r="1493" spans="1:11" x14ac:dyDescent="0.25">
      <c r="A1493" s="161" t="s">
        <v>960</v>
      </c>
      <c r="B1493" s="32"/>
      <c r="C1493" s="32"/>
      <c r="D1493" s="32"/>
      <c r="E1493" s="32"/>
      <c r="F1493" s="32"/>
      <c r="G1493" s="32"/>
      <c r="H1493" s="32"/>
      <c r="K1493" s="64"/>
    </row>
    <row r="1494" spans="1:11" x14ac:dyDescent="0.25">
      <c r="A1494" s="161" t="s">
        <v>961</v>
      </c>
      <c r="B1494" s="32"/>
      <c r="C1494" s="32"/>
      <c r="D1494" s="32"/>
      <c r="E1494" s="32"/>
      <c r="F1494" s="32"/>
      <c r="G1494" s="32"/>
      <c r="H1494" s="32"/>
      <c r="K1494" s="64"/>
    </row>
    <row r="1495" spans="1:11" x14ac:dyDescent="0.25">
      <c r="A1495" s="162" t="s">
        <v>1194</v>
      </c>
      <c r="B1495" s="22"/>
      <c r="C1495" s="22"/>
      <c r="D1495" s="22"/>
      <c r="E1495" s="22"/>
      <c r="F1495" s="22"/>
      <c r="G1495" s="22"/>
      <c r="H1495" s="22"/>
      <c r="I1495" s="34"/>
      <c r="J1495" s="34"/>
      <c r="K1495" s="48"/>
    </row>
    <row r="1497" spans="1:11" x14ac:dyDescent="0.25">
      <c r="A1497" s="6" t="s">
        <v>1</v>
      </c>
      <c r="B1497" s="7" t="s">
        <v>642</v>
      </c>
      <c r="C1497" s="9" t="s">
        <v>2</v>
      </c>
    </row>
    <row r="1498" spans="1:11" x14ac:dyDescent="0.25">
      <c r="A1498" s="10" t="s">
        <v>3</v>
      </c>
      <c r="B1498" s="11"/>
      <c r="C1498" s="197"/>
      <c r="D1498" s="36"/>
      <c r="E1498" s="154">
        <v>2020</v>
      </c>
      <c r="F1498" s="154">
        <v>2021</v>
      </c>
      <c r="G1498" s="154">
        <v>2022</v>
      </c>
      <c r="H1498" s="154">
        <v>2023</v>
      </c>
      <c r="I1498" s="465">
        <v>2024</v>
      </c>
      <c r="J1498" s="465">
        <v>2025</v>
      </c>
    </row>
    <row r="1499" spans="1:11" x14ac:dyDescent="0.25">
      <c r="A1499" s="10" t="s">
        <v>4</v>
      </c>
      <c r="B1499" s="11"/>
      <c r="C1499" s="466"/>
      <c r="D1499" s="188"/>
      <c r="E1499" s="12">
        <v>3284</v>
      </c>
      <c r="F1499" s="189">
        <v>3284</v>
      </c>
      <c r="G1499" s="189">
        <v>3284</v>
      </c>
      <c r="H1499" s="189">
        <v>3700</v>
      </c>
      <c r="I1499" s="467">
        <v>3700</v>
      </c>
      <c r="J1499" s="467">
        <v>3700</v>
      </c>
    </row>
    <row r="1500" spans="1:11" x14ac:dyDescent="0.25">
      <c r="A1500" s="10" t="s">
        <v>5</v>
      </c>
      <c r="B1500" s="11"/>
      <c r="C1500" s="466"/>
      <c r="D1500" s="188"/>
      <c r="E1500" s="12">
        <v>3488.62</v>
      </c>
      <c r="F1500" s="189">
        <v>3318.91</v>
      </c>
      <c r="G1500" s="189">
        <f>G1499+F1503+259.62</f>
        <v>3568.2699999999995</v>
      </c>
      <c r="H1500" s="189">
        <f>H1499+3</f>
        <v>3703</v>
      </c>
      <c r="I1500" s="467">
        <f>I1499+H1503</f>
        <v>3739</v>
      </c>
      <c r="J1500" s="468">
        <f>J1499+I1503+50</f>
        <v>3870.13</v>
      </c>
    </row>
    <row r="1501" spans="1:11" x14ac:dyDescent="0.25">
      <c r="A1501" s="10" t="s">
        <v>6</v>
      </c>
      <c r="B1501" s="11"/>
      <c r="C1501" s="466"/>
      <c r="D1501" s="188"/>
      <c r="E1501" s="12"/>
      <c r="F1501" s="189"/>
      <c r="G1501" s="189"/>
      <c r="H1501" s="189"/>
      <c r="I1501" s="467"/>
      <c r="J1501" s="467"/>
    </row>
    <row r="1502" spans="1:11" x14ac:dyDescent="0.25">
      <c r="A1502" s="10" t="s">
        <v>7</v>
      </c>
      <c r="B1502" s="11"/>
      <c r="C1502" s="466"/>
      <c r="D1502" s="188"/>
      <c r="E1502" s="12">
        <v>3453.71</v>
      </c>
      <c r="F1502" s="189">
        <v>3294.26</v>
      </c>
      <c r="G1502" s="189">
        <v>3565.05</v>
      </c>
      <c r="H1502" s="189">
        <v>3664</v>
      </c>
      <c r="I1502" s="467">
        <v>3618.87</v>
      </c>
      <c r="J1502" s="467"/>
    </row>
    <row r="1503" spans="1:11" x14ac:dyDescent="0.25">
      <c r="A1503" s="10" t="s">
        <v>8</v>
      </c>
      <c r="B1503" s="11"/>
      <c r="C1503" s="466"/>
      <c r="D1503" s="188"/>
      <c r="E1503" s="12">
        <v>34.909999999999997</v>
      </c>
      <c r="F1503" s="189">
        <f>F1500-F1502</f>
        <v>24.649999999999636</v>
      </c>
      <c r="G1503" s="189">
        <f>G1500-G1502</f>
        <v>3.2199999999993452</v>
      </c>
      <c r="H1503" s="189">
        <f>H1500-H1502</f>
        <v>39</v>
      </c>
      <c r="I1503" s="467">
        <f>I1500-I1502</f>
        <v>120.13000000000011</v>
      </c>
      <c r="J1503" s="467"/>
    </row>
    <row r="1504" spans="1:11" x14ac:dyDescent="0.25">
      <c r="A1504" s="16" t="s">
        <v>9</v>
      </c>
      <c r="B1504" s="17"/>
      <c r="C1504" s="159"/>
      <c r="D1504" s="46"/>
      <c r="E1504" s="159">
        <v>2021</v>
      </c>
      <c r="F1504" s="179">
        <v>2022</v>
      </c>
      <c r="G1504" s="179">
        <v>2023</v>
      </c>
      <c r="H1504" s="179">
        <v>2024</v>
      </c>
      <c r="I1504" s="179">
        <v>2025</v>
      </c>
      <c r="J1504" s="179">
        <v>2026</v>
      </c>
    </row>
    <row r="1505" spans="1:10" x14ac:dyDescent="0.25">
      <c r="A1505" s="29" t="s">
        <v>10</v>
      </c>
      <c r="B1505" s="30"/>
      <c r="C1505" s="30"/>
      <c r="D1505" s="30"/>
      <c r="E1505" s="30"/>
      <c r="F1505" s="30"/>
      <c r="G1505" s="30"/>
      <c r="H1505" s="30"/>
      <c r="I1505" s="30"/>
      <c r="J1505" s="88"/>
    </row>
    <row r="1506" spans="1:10" x14ac:dyDescent="0.25">
      <c r="A1506" s="56" t="s">
        <v>748</v>
      </c>
      <c r="I1506" s="64"/>
    </row>
    <row r="1507" spans="1:10" x14ac:dyDescent="0.25">
      <c r="A1507" s="462" t="s">
        <v>749</v>
      </c>
      <c r="I1507" s="64"/>
    </row>
    <row r="1508" spans="1:10" x14ac:dyDescent="0.25">
      <c r="A1508" s="462" t="s">
        <v>750</v>
      </c>
      <c r="B1508" s="429"/>
      <c r="C1508" s="429"/>
      <c r="D1508" s="429"/>
      <c r="E1508" s="429"/>
      <c r="F1508" s="429"/>
      <c r="G1508" s="429"/>
      <c r="I1508" s="64"/>
    </row>
    <row r="1509" spans="1:10" x14ac:dyDescent="0.25">
      <c r="A1509" s="39" t="s">
        <v>747</v>
      </c>
      <c r="I1509" s="64"/>
    </row>
    <row r="1510" spans="1:10" x14ac:dyDescent="0.25">
      <c r="A1510" s="39" t="s">
        <v>962</v>
      </c>
      <c r="I1510" s="64"/>
    </row>
    <row r="1511" spans="1:10" s="34" customFormat="1" x14ac:dyDescent="0.25">
      <c r="A1511" s="43" t="s">
        <v>1142</v>
      </c>
    </row>
    <row r="1512" spans="1:10" x14ac:dyDescent="0.25">
      <c r="A1512" s="41"/>
      <c r="B1512" s="34"/>
      <c r="C1512" s="34"/>
    </row>
    <row r="1513" spans="1:10" x14ac:dyDescent="0.25">
      <c r="A1513" s="151" t="s">
        <v>1</v>
      </c>
      <c r="B1513" s="24" t="s">
        <v>74</v>
      </c>
      <c r="C1513" s="469" t="s">
        <v>2</v>
      </c>
    </row>
    <row r="1514" spans="1:10" x14ac:dyDescent="0.25">
      <c r="A1514" s="10" t="s">
        <v>3</v>
      </c>
      <c r="B1514" s="154">
        <v>2017</v>
      </c>
      <c r="C1514" s="154">
        <v>2018</v>
      </c>
      <c r="D1514" s="172">
        <v>2019</v>
      </c>
      <c r="E1514" s="154">
        <v>2020</v>
      </c>
      <c r="F1514" s="154">
        <v>2021</v>
      </c>
      <c r="G1514" s="154">
        <v>2022</v>
      </c>
      <c r="H1514" s="154">
        <v>2023</v>
      </c>
      <c r="I1514" s="154">
        <v>2024</v>
      </c>
      <c r="J1514" s="457">
        <v>2025</v>
      </c>
    </row>
    <row r="1515" spans="1:10" x14ac:dyDescent="0.25">
      <c r="A1515" s="10" t="s">
        <v>4</v>
      </c>
      <c r="B1515" s="12">
        <v>10</v>
      </c>
      <c r="C1515" s="466">
        <v>10</v>
      </c>
      <c r="D1515" s="188">
        <v>10</v>
      </c>
      <c r="E1515" s="12">
        <v>10</v>
      </c>
      <c r="F1515" s="189">
        <v>10</v>
      </c>
      <c r="G1515" s="189">
        <v>10</v>
      </c>
      <c r="H1515" s="189">
        <v>10</v>
      </c>
      <c r="I1515" s="189">
        <v>10</v>
      </c>
      <c r="J1515" s="470">
        <v>10</v>
      </c>
    </row>
    <row r="1516" spans="1:10" x14ac:dyDescent="0.25">
      <c r="A1516" s="10" t="s">
        <v>5</v>
      </c>
      <c r="B1516" s="12">
        <v>10</v>
      </c>
      <c r="C1516" s="466">
        <v>-62</v>
      </c>
      <c r="D1516" s="188">
        <v>-52</v>
      </c>
      <c r="E1516" s="12">
        <v>-42</v>
      </c>
      <c r="F1516" s="189">
        <v>-32</v>
      </c>
      <c r="G1516" s="189">
        <v>-22</v>
      </c>
      <c r="H1516" s="189">
        <v>-12</v>
      </c>
      <c r="I1516" s="189">
        <f>H1519+I1515</f>
        <v>-2</v>
      </c>
      <c r="J1516" s="470">
        <f>I1519+J1515</f>
        <v>8</v>
      </c>
    </row>
    <row r="1517" spans="1:10" x14ac:dyDescent="0.25">
      <c r="A1517" s="10" t="s">
        <v>6</v>
      </c>
      <c r="B1517" s="12"/>
      <c r="C1517" s="466"/>
      <c r="D1517" s="188"/>
      <c r="E1517" s="12"/>
      <c r="F1517" s="189"/>
      <c r="G1517" s="189"/>
      <c r="H1517" s="189"/>
      <c r="I1517" s="189"/>
      <c r="J1517" s="470"/>
    </row>
    <row r="1518" spans="1:10" x14ac:dyDescent="0.25">
      <c r="A1518" s="10" t="s">
        <v>7</v>
      </c>
      <c r="B1518" s="12">
        <v>82</v>
      </c>
      <c r="C1518" s="466">
        <v>0</v>
      </c>
      <c r="D1518" s="188">
        <v>0</v>
      </c>
      <c r="E1518" s="12">
        <v>0</v>
      </c>
      <c r="F1518" s="189">
        <v>0</v>
      </c>
      <c r="G1518" s="189">
        <v>0</v>
      </c>
      <c r="H1518" s="189">
        <v>0</v>
      </c>
      <c r="I1518" s="189">
        <v>0</v>
      </c>
      <c r="J1518" s="470"/>
    </row>
    <row r="1519" spans="1:10" x14ac:dyDescent="0.25">
      <c r="A1519" s="10" t="s">
        <v>8</v>
      </c>
      <c r="B1519" s="12">
        <v>-72</v>
      </c>
      <c r="C1519" s="466">
        <v>-62</v>
      </c>
      <c r="D1519" s="188">
        <v>-52</v>
      </c>
      <c r="E1519" s="12">
        <v>-42</v>
      </c>
      <c r="F1519" s="189">
        <v>-32</v>
      </c>
      <c r="G1519" s="189">
        <v>-22</v>
      </c>
      <c r="H1519" s="189">
        <f>H1516-H1518</f>
        <v>-12</v>
      </c>
      <c r="I1519" s="189">
        <f>I1516-I1518</f>
        <v>-2</v>
      </c>
      <c r="J1519" s="470"/>
    </row>
    <row r="1520" spans="1:10" x14ac:dyDescent="0.25">
      <c r="A1520" s="16" t="s">
        <v>9</v>
      </c>
      <c r="B1520" s="159">
        <v>2018</v>
      </c>
      <c r="C1520" s="159">
        <v>2019</v>
      </c>
      <c r="D1520" s="159">
        <v>2020</v>
      </c>
      <c r="E1520" s="159">
        <v>2021</v>
      </c>
      <c r="F1520" s="159">
        <v>2022</v>
      </c>
      <c r="G1520" s="159">
        <v>2023</v>
      </c>
      <c r="H1520" s="159">
        <v>2024</v>
      </c>
      <c r="I1520" s="159">
        <v>2025</v>
      </c>
      <c r="J1520" s="295">
        <v>2026</v>
      </c>
    </row>
    <row r="1521" spans="1:11" x14ac:dyDescent="0.25">
      <c r="A1521" s="18" t="s">
        <v>10</v>
      </c>
      <c r="B1521" s="19"/>
      <c r="C1521" s="19"/>
      <c r="D1521" s="19"/>
      <c r="E1521" s="19"/>
      <c r="F1521" s="19"/>
      <c r="G1521" s="19"/>
      <c r="H1521" s="19"/>
      <c r="I1521" s="63"/>
      <c r="J1521" s="471"/>
    </row>
    <row r="1522" spans="1:11" x14ac:dyDescent="0.25">
      <c r="A1522" s="472" t="s">
        <v>752</v>
      </c>
      <c r="B1522" s="53"/>
      <c r="C1522" s="53"/>
      <c r="D1522" s="53"/>
      <c r="E1522" s="53"/>
      <c r="F1522" s="53"/>
      <c r="G1522" s="19"/>
      <c r="H1522" s="19"/>
      <c r="I1522" s="19"/>
      <c r="J1522" s="63"/>
    </row>
    <row r="1523" spans="1:11" x14ac:dyDescent="0.25">
      <c r="A1523" s="39" t="s">
        <v>753</v>
      </c>
      <c r="B1523" s="49"/>
      <c r="C1523" s="49"/>
      <c r="D1523" s="49"/>
      <c r="E1523" s="49"/>
      <c r="F1523" s="49"/>
      <c r="J1523" s="64"/>
    </row>
    <row r="1524" spans="1:11" x14ac:dyDescent="0.25">
      <c r="A1524" s="56" t="s">
        <v>754</v>
      </c>
      <c r="B1524" s="49"/>
      <c r="C1524" s="49"/>
      <c r="D1524" s="49"/>
      <c r="E1524" s="49"/>
      <c r="F1524" s="49"/>
      <c r="J1524" s="64"/>
    </row>
    <row r="1525" spans="1:11" x14ac:dyDescent="0.25">
      <c r="A1525" s="39" t="s">
        <v>755</v>
      </c>
      <c r="J1525" s="64"/>
    </row>
    <row r="1526" spans="1:11" x14ac:dyDescent="0.25">
      <c r="A1526" s="41" t="s">
        <v>751</v>
      </c>
      <c r="J1526" s="64"/>
    </row>
    <row r="1527" spans="1:11" x14ac:dyDescent="0.25">
      <c r="A1527" s="42" t="s">
        <v>1195</v>
      </c>
      <c r="B1527" s="34"/>
      <c r="C1527" s="34"/>
      <c r="D1527" s="34"/>
      <c r="E1527" s="34"/>
      <c r="F1527" s="34"/>
      <c r="G1527" s="34"/>
      <c r="H1527" s="34"/>
      <c r="I1527" s="34"/>
      <c r="J1527" s="48"/>
    </row>
    <row r="1530" spans="1:11" x14ac:dyDescent="0.25">
      <c r="A1530" s="6" t="s">
        <v>24</v>
      </c>
      <c r="B1530" s="7" t="s">
        <v>25</v>
      </c>
    </row>
    <row r="1531" spans="1:11" x14ac:dyDescent="0.25">
      <c r="A1531" s="151" t="s">
        <v>14</v>
      </c>
      <c r="B1531" s="24" t="s">
        <v>624</v>
      </c>
      <c r="C1531" s="473" t="s">
        <v>26</v>
      </c>
    </row>
    <row r="1532" spans="1:11" x14ac:dyDescent="0.25">
      <c r="A1532" s="170" t="s">
        <v>27</v>
      </c>
      <c r="B1532" s="274">
        <v>2016</v>
      </c>
      <c r="C1532" s="154">
        <v>2017</v>
      </c>
      <c r="D1532" s="474">
        <v>2018</v>
      </c>
      <c r="E1532" s="154">
        <v>2019</v>
      </c>
      <c r="F1532" s="154">
        <v>2020</v>
      </c>
      <c r="G1532" s="154">
        <v>2021</v>
      </c>
      <c r="H1532" s="154">
        <v>2022</v>
      </c>
      <c r="I1532" s="154">
        <v>2023</v>
      </c>
      <c r="J1532" s="154">
        <v>2024</v>
      </c>
      <c r="K1532" s="154">
        <v>2025</v>
      </c>
    </row>
    <row r="1533" spans="1:11" x14ac:dyDescent="0.25">
      <c r="A1533" s="11" t="s">
        <v>28</v>
      </c>
      <c r="B1533" s="72">
        <v>200</v>
      </c>
      <c r="C1533" s="72">
        <v>200</v>
      </c>
      <c r="D1533" s="72">
        <v>200</v>
      </c>
      <c r="E1533" s="72">
        <v>215</v>
      </c>
      <c r="F1533" s="12">
        <v>215</v>
      </c>
      <c r="G1533" s="11">
        <v>242</v>
      </c>
      <c r="H1533" s="11">
        <v>242</v>
      </c>
      <c r="I1533" s="11">
        <v>242</v>
      </c>
      <c r="J1533" s="11">
        <v>302</v>
      </c>
      <c r="K1533" s="11">
        <v>302</v>
      </c>
    </row>
    <row r="1534" spans="1:11" x14ac:dyDescent="0.25">
      <c r="A1534" s="11" t="s">
        <v>29</v>
      </c>
      <c r="B1534" s="72">
        <f>200+200*0.25</f>
        <v>250</v>
      </c>
      <c r="C1534" s="72">
        <f>200+200*0.25</f>
        <v>250</v>
      </c>
      <c r="D1534" s="72">
        <f t="shared" ref="D1534:K1534" si="61">D1533+B1533*0.25</f>
        <v>250</v>
      </c>
      <c r="E1534" s="72">
        <f t="shared" si="61"/>
        <v>265</v>
      </c>
      <c r="F1534" s="72">
        <f t="shared" si="61"/>
        <v>265</v>
      </c>
      <c r="G1534" s="72">
        <f t="shared" si="61"/>
        <v>295.75</v>
      </c>
      <c r="H1534" s="72">
        <f t="shared" si="61"/>
        <v>295.75</v>
      </c>
      <c r="I1534" s="72">
        <f t="shared" si="61"/>
        <v>302.5</v>
      </c>
      <c r="J1534" s="72">
        <f t="shared" si="61"/>
        <v>362.5</v>
      </c>
      <c r="K1534" s="72">
        <f t="shared" si="61"/>
        <v>362.5</v>
      </c>
    </row>
    <row r="1535" spans="1:11" x14ac:dyDescent="0.25">
      <c r="A1535" s="11" t="s">
        <v>30</v>
      </c>
      <c r="B1535" s="252" t="s">
        <v>410</v>
      </c>
      <c r="C1535" s="252" t="s">
        <v>410</v>
      </c>
      <c r="D1535" s="252" t="s">
        <v>410</v>
      </c>
      <c r="E1535" s="252" t="s">
        <v>411</v>
      </c>
      <c r="F1535" s="252" t="s">
        <v>411</v>
      </c>
      <c r="G1535" s="252" t="s">
        <v>430</v>
      </c>
      <c r="H1535" s="252" t="s">
        <v>430</v>
      </c>
      <c r="I1535" s="252" t="s">
        <v>803</v>
      </c>
      <c r="J1535" s="252" t="s">
        <v>1049</v>
      </c>
      <c r="K1535" s="252" t="s">
        <v>1049</v>
      </c>
    </row>
    <row r="1536" spans="1:11" x14ac:dyDescent="0.25">
      <c r="A1536" s="11" t="s">
        <v>31</v>
      </c>
      <c r="B1536" s="72">
        <v>2.19</v>
      </c>
      <c r="C1536" s="72">
        <v>0.38</v>
      </c>
      <c r="D1536" s="72">
        <v>7.19</v>
      </c>
      <c r="E1536" s="72">
        <v>0.28999999999999998</v>
      </c>
      <c r="F1536" s="12">
        <v>1.45</v>
      </c>
      <c r="G1536" s="11">
        <v>0.72</v>
      </c>
      <c r="H1536" s="11">
        <v>0.64</v>
      </c>
      <c r="I1536" s="11">
        <v>0.2</v>
      </c>
      <c r="J1536" s="11">
        <v>0</v>
      </c>
      <c r="K1536" s="11"/>
    </row>
    <row r="1537" spans="1:15" x14ac:dyDescent="0.25">
      <c r="A1537" s="11" t="s">
        <v>32</v>
      </c>
      <c r="B1537" s="72">
        <f t="shared" ref="B1537:J1537" si="62">B1534-B1536</f>
        <v>247.81</v>
      </c>
      <c r="C1537" s="72">
        <f t="shared" si="62"/>
        <v>249.62</v>
      </c>
      <c r="D1537" s="72">
        <f t="shared" si="62"/>
        <v>242.81</v>
      </c>
      <c r="E1537" s="72">
        <f t="shared" si="62"/>
        <v>264.70999999999998</v>
      </c>
      <c r="F1537" s="72">
        <f t="shared" si="62"/>
        <v>263.55</v>
      </c>
      <c r="G1537" s="12">
        <f t="shared" si="62"/>
        <v>295.02999999999997</v>
      </c>
      <c r="H1537" s="12">
        <f t="shared" si="62"/>
        <v>295.11</v>
      </c>
      <c r="I1537" s="12">
        <f t="shared" si="62"/>
        <v>302.3</v>
      </c>
      <c r="J1537" s="12">
        <f t="shared" si="62"/>
        <v>362.5</v>
      </c>
      <c r="K1537" s="12"/>
    </row>
    <row r="1538" spans="1:15" x14ac:dyDescent="0.25">
      <c r="A1538" s="16" t="s">
        <v>33</v>
      </c>
      <c r="B1538" s="159">
        <v>2018</v>
      </c>
      <c r="C1538" s="159">
        <v>2019</v>
      </c>
      <c r="D1538" s="475">
        <v>2020</v>
      </c>
      <c r="E1538" s="159">
        <v>2021</v>
      </c>
      <c r="F1538" s="159">
        <v>2022</v>
      </c>
      <c r="G1538" s="17">
        <v>2023</v>
      </c>
      <c r="H1538" s="17">
        <v>2024</v>
      </c>
      <c r="I1538" s="17">
        <v>2025</v>
      </c>
      <c r="J1538" s="17">
        <v>2026</v>
      </c>
      <c r="K1538" s="17">
        <v>2027</v>
      </c>
    </row>
    <row r="1539" spans="1:15" ht="13.2" customHeight="1" x14ac:dyDescent="0.25">
      <c r="A1539" s="10" t="s">
        <v>135</v>
      </c>
      <c r="B1539" s="36"/>
      <c r="C1539" s="36"/>
      <c r="D1539" s="36"/>
      <c r="E1539" s="36"/>
      <c r="F1539" s="36"/>
      <c r="G1539" s="36"/>
      <c r="H1539" s="37"/>
      <c r="I1539" s="37"/>
      <c r="J1539" s="37"/>
      <c r="K1539" s="37"/>
    </row>
    <row r="1540" spans="1:15" x14ac:dyDescent="0.25">
      <c r="A1540" s="2"/>
      <c r="B1540" s="2"/>
    </row>
    <row r="1541" spans="1:15" x14ac:dyDescent="0.25">
      <c r="A1541" s="6" t="s">
        <v>14</v>
      </c>
      <c r="B1541" s="7" t="s">
        <v>623</v>
      </c>
      <c r="C1541" s="473" t="s">
        <v>26</v>
      </c>
    </row>
    <row r="1542" spans="1:15" x14ac:dyDescent="0.25">
      <c r="A1542" s="170" t="s">
        <v>27</v>
      </c>
      <c r="B1542" s="274">
        <v>2013</v>
      </c>
      <c r="C1542" s="154">
        <v>2014</v>
      </c>
      <c r="D1542" s="474">
        <v>2015</v>
      </c>
      <c r="E1542" s="154">
        <v>2016</v>
      </c>
      <c r="F1542" s="154">
        <v>2017</v>
      </c>
      <c r="G1542" s="474">
        <v>2018</v>
      </c>
      <c r="H1542" s="154">
        <v>2019</v>
      </c>
      <c r="I1542" s="154">
        <v>2020</v>
      </c>
      <c r="J1542" s="154">
        <v>2021</v>
      </c>
      <c r="K1542" s="154">
        <v>2022</v>
      </c>
      <c r="L1542" s="154">
        <v>2023</v>
      </c>
      <c r="M1542" s="154">
        <v>2024</v>
      </c>
      <c r="N1542" s="154">
        <v>2025</v>
      </c>
    </row>
    <row r="1543" spans="1:15" x14ac:dyDescent="0.25">
      <c r="A1543" s="11" t="s">
        <v>28</v>
      </c>
      <c r="B1543" s="12">
        <v>200</v>
      </c>
      <c r="C1543" s="12">
        <v>200</v>
      </c>
      <c r="D1543" s="72">
        <v>200</v>
      </c>
      <c r="E1543" s="72">
        <v>200</v>
      </c>
      <c r="F1543" s="72">
        <v>200</v>
      </c>
      <c r="G1543" s="72">
        <v>200</v>
      </c>
      <c r="H1543" s="72">
        <v>200</v>
      </c>
      <c r="I1543" s="12">
        <v>200</v>
      </c>
      <c r="J1543" s="12">
        <v>200</v>
      </c>
      <c r="K1543" s="12">
        <v>200</v>
      </c>
      <c r="L1543" s="12">
        <v>200</v>
      </c>
      <c r="M1543" s="12">
        <v>200</v>
      </c>
      <c r="N1543" s="12">
        <v>200</v>
      </c>
    </row>
    <row r="1544" spans="1:15" x14ac:dyDescent="0.25">
      <c r="A1544" s="11" t="s">
        <v>29</v>
      </c>
      <c r="B1544" s="156">
        <f>(B1545)</f>
        <v>300</v>
      </c>
      <c r="C1544" s="156">
        <f>(C1545)</f>
        <v>300</v>
      </c>
      <c r="D1544" s="72">
        <v>300</v>
      </c>
      <c r="E1544" s="72">
        <v>300</v>
      </c>
      <c r="F1544" s="72">
        <v>300</v>
      </c>
      <c r="G1544" s="72">
        <v>280</v>
      </c>
      <c r="H1544" s="72">
        <v>280</v>
      </c>
      <c r="I1544" s="12">
        <v>280</v>
      </c>
      <c r="J1544" s="12">
        <v>280</v>
      </c>
      <c r="K1544" s="12">
        <v>280</v>
      </c>
      <c r="L1544" s="12">
        <v>280</v>
      </c>
      <c r="M1544" s="12">
        <v>280</v>
      </c>
      <c r="N1544" s="12">
        <f>(200+(200*0.4))</f>
        <v>280</v>
      </c>
    </row>
    <row r="1545" spans="1:15" x14ac:dyDescent="0.25">
      <c r="A1545" s="11" t="s">
        <v>30</v>
      </c>
      <c r="B1545" s="12">
        <f>(B1543*50%)+B1543</f>
        <v>300</v>
      </c>
      <c r="C1545" s="12">
        <f>(C1543*50%)+C1543</f>
        <v>300</v>
      </c>
      <c r="D1545" s="252" t="s">
        <v>247</v>
      </c>
      <c r="E1545" s="252" t="s">
        <v>247</v>
      </c>
      <c r="F1545" s="252" t="s">
        <v>247</v>
      </c>
      <c r="G1545" s="252" t="s">
        <v>248</v>
      </c>
      <c r="H1545" s="252" t="s">
        <v>248</v>
      </c>
      <c r="I1545" s="252" t="s">
        <v>248</v>
      </c>
      <c r="J1545" s="252" t="s">
        <v>248</v>
      </c>
      <c r="K1545" s="252" t="s">
        <v>248</v>
      </c>
      <c r="L1545" s="252" t="s">
        <v>248</v>
      </c>
      <c r="M1545" s="252" t="s">
        <v>248</v>
      </c>
      <c r="N1545" s="156" t="s">
        <v>248</v>
      </c>
    </row>
    <row r="1546" spans="1:15" x14ac:dyDescent="0.25">
      <c r="A1546" s="11" t="s">
        <v>31</v>
      </c>
      <c r="B1546" s="12">
        <v>32</v>
      </c>
      <c r="C1546" s="12">
        <v>32</v>
      </c>
      <c r="D1546" s="72">
        <v>31</v>
      </c>
      <c r="E1546" s="72">
        <v>36</v>
      </c>
      <c r="F1546" s="72">
        <v>64</v>
      </c>
      <c r="G1546" s="72">
        <v>45</v>
      </c>
      <c r="H1546" s="72">
        <v>30</v>
      </c>
      <c r="I1546" s="12">
        <v>21</v>
      </c>
      <c r="J1546" s="12">
        <v>25</v>
      </c>
      <c r="K1546" s="12">
        <v>22</v>
      </c>
      <c r="L1546" s="12">
        <v>26</v>
      </c>
      <c r="M1546" s="12">
        <v>20</v>
      </c>
      <c r="N1546" s="12"/>
    </row>
    <row r="1547" spans="1:15" x14ac:dyDescent="0.25">
      <c r="A1547" s="11" t="s">
        <v>32</v>
      </c>
      <c r="B1547" s="156">
        <f>(B1544-B1546)</f>
        <v>268</v>
      </c>
      <c r="C1547" s="156">
        <f>(C1544-C1546)</f>
        <v>268</v>
      </c>
      <c r="D1547" s="72">
        <f t="shared" ref="D1547:M1547" si="63">D1544-D1546</f>
        <v>269</v>
      </c>
      <c r="E1547" s="72">
        <f t="shared" si="63"/>
        <v>264</v>
      </c>
      <c r="F1547" s="72">
        <f t="shared" si="63"/>
        <v>236</v>
      </c>
      <c r="G1547" s="72">
        <f t="shared" si="63"/>
        <v>235</v>
      </c>
      <c r="H1547" s="72">
        <f t="shared" si="63"/>
        <v>250</v>
      </c>
      <c r="I1547" s="72">
        <f t="shared" si="63"/>
        <v>259</v>
      </c>
      <c r="J1547" s="72">
        <f t="shared" si="63"/>
        <v>255</v>
      </c>
      <c r="K1547" s="72">
        <f t="shared" si="63"/>
        <v>258</v>
      </c>
      <c r="L1547" s="72">
        <f t="shared" si="63"/>
        <v>254</v>
      </c>
      <c r="M1547" s="72">
        <f t="shared" si="63"/>
        <v>260</v>
      </c>
      <c r="N1547" s="12"/>
    </row>
    <row r="1548" spans="1:15" ht="13.2" customHeight="1" x14ac:dyDescent="0.25">
      <c r="A1548" s="16" t="s">
        <v>33</v>
      </c>
      <c r="B1548" s="159">
        <v>2015</v>
      </c>
      <c r="C1548" s="159">
        <v>2016</v>
      </c>
      <c r="D1548" s="159">
        <v>2017</v>
      </c>
      <c r="E1548" s="159">
        <v>2018</v>
      </c>
      <c r="F1548" s="159">
        <v>2019</v>
      </c>
      <c r="G1548" s="475">
        <v>2020</v>
      </c>
      <c r="H1548" s="159">
        <v>2021</v>
      </c>
      <c r="I1548" s="159">
        <v>2022</v>
      </c>
      <c r="J1548" s="159">
        <v>2023</v>
      </c>
      <c r="K1548" s="159">
        <v>2024</v>
      </c>
      <c r="L1548" s="159">
        <v>2025</v>
      </c>
      <c r="M1548" s="159">
        <v>2026</v>
      </c>
      <c r="N1548" s="180">
        <v>2027</v>
      </c>
    </row>
    <row r="1549" spans="1:15" ht="13.2" customHeight="1" x14ac:dyDescent="0.25">
      <c r="A1549" s="18" t="s">
        <v>502</v>
      </c>
      <c r="B1549" s="439"/>
      <c r="C1549" s="439"/>
      <c r="D1549" s="439"/>
      <c r="E1549" s="439"/>
      <c r="F1549" s="439"/>
      <c r="G1549" s="439"/>
      <c r="H1549" s="439"/>
      <c r="I1549" s="439"/>
      <c r="J1549" s="439"/>
      <c r="K1549" s="439"/>
      <c r="L1549" s="439"/>
      <c r="M1549" s="439"/>
      <c r="N1549" s="63"/>
    </row>
    <row r="1550" spans="1:15" x14ac:dyDescent="0.25">
      <c r="A1550" s="41" t="s">
        <v>503</v>
      </c>
      <c r="B1550" s="337"/>
      <c r="C1550" s="337"/>
      <c r="D1550" s="337"/>
      <c r="E1550" s="337"/>
      <c r="F1550" s="337"/>
      <c r="G1550" s="337"/>
      <c r="H1550" s="337"/>
      <c r="I1550" s="337"/>
      <c r="J1550" s="337"/>
      <c r="K1550" s="337"/>
      <c r="L1550" s="337"/>
      <c r="M1550" s="337"/>
      <c r="N1550" s="48"/>
    </row>
    <row r="1552" spans="1:15" ht="13.8" x14ac:dyDescent="0.25">
      <c r="A1552" s="6" t="s">
        <v>14</v>
      </c>
      <c r="B1552" s="7" t="s">
        <v>645</v>
      </c>
      <c r="C1552" s="7" t="s">
        <v>26</v>
      </c>
      <c r="O1552" s="476"/>
    </row>
    <row r="1553" spans="1:17" x14ac:dyDescent="0.25">
      <c r="A1553" s="41" t="s">
        <v>27</v>
      </c>
      <c r="B1553" s="274">
        <v>2010</v>
      </c>
      <c r="C1553" s="154">
        <v>2011</v>
      </c>
      <c r="D1553" s="154">
        <v>2012</v>
      </c>
      <c r="E1553" s="154">
        <v>2013</v>
      </c>
      <c r="F1553" s="154">
        <v>2014</v>
      </c>
      <c r="G1553" s="154">
        <v>2015</v>
      </c>
      <c r="H1553" s="154">
        <v>2016</v>
      </c>
      <c r="I1553" s="474">
        <v>2017</v>
      </c>
      <c r="J1553" s="154">
        <v>2018</v>
      </c>
      <c r="K1553" s="154">
        <v>2019</v>
      </c>
      <c r="L1553" s="154">
        <v>2020</v>
      </c>
      <c r="M1553" s="154">
        <v>2021</v>
      </c>
      <c r="N1553" s="154">
        <v>2022</v>
      </c>
      <c r="O1553" s="154">
        <v>2023</v>
      </c>
      <c r="P1553" s="154">
        <v>2024</v>
      </c>
      <c r="Q1553" s="154">
        <v>2025</v>
      </c>
    </row>
    <row r="1554" spans="1:17" x14ac:dyDescent="0.25">
      <c r="A1554" s="10" t="s">
        <v>28</v>
      </c>
      <c r="B1554" s="12">
        <v>95</v>
      </c>
      <c r="C1554" s="12">
        <v>95</v>
      </c>
      <c r="D1554" s="12">
        <v>95</v>
      </c>
      <c r="E1554" s="12">
        <v>95</v>
      </c>
      <c r="F1554" s="156">
        <v>95</v>
      </c>
      <c r="G1554" s="155">
        <v>108.98</v>
      </c>
      <c r="H1554" s="155">
        <v>108.98</v>
      </c>
      <c r="I1554" s="477">
        <v>108.98</v>
      </c>
      <c r="J1554" s="155">
        <v>128.44</v>
      </c>
      <c r="K1554" s="155">
        <v>128.44</v>
      </c>
      <c r="L1554" s="155">
        <v>128.44</v>
      </c>
      <c r="M1554" s="155">
        <v>128.44</v>
      </c>
      <c r="N1554" s="155">
        <v>149.34</v>
      </c>
      <c r="O1554" s="155">
        <v>149.34</v>
      </c>
      <c r="P1554" s="155">
        <v>149.34</v>
      </c>
      <c r="Q1554" s="155">
        <v>149.34</v>
      </c>
    </row>
    <row r="1555" spans="1:17" x14ac:dyDescent="0.25">
      <c r="A1555" s="10" t="s">
        <v>29</v>
      </c>
      <c r="B1555" s="156">
        <f>(B1556)</f>
        <v>56</v>
      </c>
      <c r="C1555" s="156">
        <f t="shared" ref="C1555:J1555" si="64">(C1556)</f>
        <v>137</v>
      </c>
      <c r="D1555" s="156">
        <f t="shared" si="64"/>
        <v>103.5</v>
      </c>
      <c r="E1555" s="156">
        <f t="shared" si="64"/>
        <v>147.9</v>
      </c>
      <c r="F1555" s="156">
        <f t="shared" si="64"/>
        <v>103.5</v>
      </c>
      <c r="G1555" s="155">
        <f t="shared" si="64"/>
        <v>74.980000000000018</v>
      </c>
      <c r="H1555" s="155">
        <f t="shared" si="64"/>
        <v>78.980000000000047</v>
      </c>
      <c r="I1555" s="477">
        <f t="shared" si="64"/>
        <v>76.980000000000047</v>
      </c>
      <c r="J1555" s="155">
        <f t="shared" si="64"/>
        <v>97.44000000000004</v>
      </c>
      <c r="K1555" s="155">
        <f t="shared" ref="K1555:O1555" si="65">K1556</f>
        <v>85.440000000000055</v>
      </c>
      <c r="L1555" s="12">
        <f t="shared" si="65"/>
        <v>95.440000000000055</v>
      </c>
      <c r="M1555" s="12">
        <f t="shared" si="65"/>
        <v>95.440000000000055</v>
      </c>
      <c r="N1555" s="12">
        <f t="shared" si="65"/>
        <v>122.78000000000006</v>
      </c>
      <c r="O1555" s="12">
        <f t="shared" si="65"/>
        <v>152.12000000000006</v>
      </c>
      <c r="P1555" s="12">
        <f>P1556</f>
        <v>202.46000000000006</v>
      </c>
      <c r="Q1555" s="155">
        <f>Q1556</f>
        <v>275.80000000000007</v>
      </c>
    </row>
    <row r="1556" spans="1:17" x14ac:dyDescent="0.25">
      <c r="A1556" s="10" t="s">
        <v>30</v>
      </c>
      <c r="B1556" s="155">
        <f>(B1554+47.5)-86.5</f>
        <v>56</v>
      </c>
      <c r="C1556" s="155">
        <f>(C1554+B1558)</f>
        <v>137</v>
      </c>
      <c r="D1556" s="155">
        <f>D1554+95-86.5</f>
        <v>103.5</v>
      </c>
      <c r="E1556" s="155">
        <f>E1554+D1558</f>
        <v>147.9</v>
      </c>
      <c r="F1556" s="155">
        <f>(F1554+95)-86.5</f>
        <v>103.5</v>
      </c>
      <c r="G1556" s="155">
        <f>(G1554+F1558)-86.5</f>
        <v>74.980000000000018</v>
      </c>
      <c r="H1556" s="155">
        <f>(H1554+G1558)-51.98</f>
        <v>78.980000000000047</v>
      </c>
      <c r="I1556" s="477">
        <f>(I1554+H1558)-55.98</f>
        <v>76.980000000000047</v>
      </c>
      <c r="J1556" s="155">
        <f>(J1554+I1558)-73.98</f>
        <v>97.44000000000004</v>
      </c>
      <c r="K1556" s="155">
        <f>K1554+J1558-60.44</f>
        <v>85.440000000000055</v>
      </c>
      <c r="L1556" s="12">
        <f>L1554+K1558-79.44</f>
        <v>95.440000000000055</v>
      </c>
      <c r="M1556" s="12">
        <f>M1554+L1558-100.44</f>
        <v>95.440000000000055</v>
      </c>
      <c r="N1556" s="12">
        <f>N1554+M1558-60</f>
        <v>122.78000000000006</v>
      </c>
      <c r="O1556" s="12">
        <f>O1554+N1558-60</f>
        <v>152.12000000000006</v>
      </c>
      <c r="P1556" s="12">
        <f>P1554-60+O1558</f>
        <v>202.46000000000006</v>
      </c>
      <c r="Q1556" s="12">
        <f>Q1554-60+P1558</f>
        <v>275.80000000000007</v>
      </c>
    </row>
    <row r="1557" spans="1:17" x14ac:dyDescent="0.25">
      <c r="A1557" s="10" t="s">
        <v>31</v>
      </c>
      <c r="B1557" s="156">
        <v>14</v>
      </c>
      <c r="C1557" s="156">
        <v>14</v>
      </c>
      <c r="D1557" s="156">
        <v>50.6</v>
      </c>
      <c r="E1557" s="156">
        <v>22</v>
      </c>
      <c r="F1557" s="156">
        <v>51</v>
      </c>
      <c r="G1557" s="156">
        <v>53</v>
      </c>
      <c r="H1557" s="156">
        <v>55</v>
      </c>
      <c r="I1557" s="478">
        <v>34</v>
      </c>
      <c r="J1557" s="156">
        <v>80</v>
      </c>
      <c r="K1557" s="156">
        <v>39</v>
      </c>
      <c r="L1557" s="12">
        <v>28</v>
      </c>
      <c r="M1557" s="12">
        <v>62</v>
      </c>
      <c r="N1557" s="12">
        <v>60</v>
      </c>
      <c r="O1557" s="12">
        <v>39</v>
      </c>
      <c r="P1557" s="12">
        <v>16</v>
      </c>
      <c r="Q1557" s="155"/>
    </row>
    <row r="1558" spans="1:17" x14ac:dyDescent="0.25">
      <c r="A1558" s="10" t="s">
        <v>32</v>
      </c>
      <c r="B1558" s="156">
        <f>(B1555-B1557)</f>
        <v>42</v>
      </c>
      <c r="C1558" s="156">
        <f t="shared" ref="C1558:J1558" si="66">(C1555-C1557)</f>
        <v>123</v>
      </c>
      <c r="D1558" s="156">
        <f t="shared" si="66"/>
        <v>52.9</v>
      </c>
      <c r="E1558" s="156">
        <f t="shared" si="66"/>
        <v>125.9</v>
      </c>
      <c r="F1558" s="156">
        <f t="shared" si="66"/>
        <v>52.5</v>
      </c>
      <c r="G1558" s="156">
        <f t="shared" si="66"/>
        <v>21.980000000000018</v>
      </c>
      <c r="H1558" s="156">
        <f t="shared" si="66"/>
        <v>23.980000000000047</v>
      </c>
      <c r="I1558" s="478">
        <f t="shared" si="66"/>
        <v>42.980000000000047</v>
      </c>
      <c r="J1558" s="156">
        <f t="shared" si="66"/>
        <v>17.44000000000004</v>
      </c>
      <c r="K1558" s="156">
        <f t="shared" ref="K1558:P1558" si="67">K1555-K1557</f>
        <v>46.440000000000055</v>
      </c>
      <c r="L1558" s="12">
        <f t="shared" si="67"/>
        <v>67.440000000000055</v>
      </c>
      <c r="M1558" s="12">
        <f t="shared" si="67"/>
        <v>33.440000000000055</v>
      </c>
      <c r="N1558" s="12">
        <f t="shared" si="67"/>
        <v>62.780000000000058</v>
      </c>
      <c r="O1558" s="12">
        <f t="shared" si="67"/>
        <v>113.12000000000006</v>
      </c>
      <c r="P1558" s="12">
        <f t="shared" si="67"/>
        <v>186.46000000000006</v>
      </c>
      <c r="Q1558" s="155"/>
    </row>
    <row r="1559" spans="1:17" x14ac:dyDescent="0.25">
      <c r="A1559" s="16" t="s">
        <v>33</v>
      </c>
      <c r="B1559" s="159">
        <v>2011</v>
      </c>
      <c r="C1559" s="159">
        <v>2012</v>
      </c>
      <c r="D1559" s="159">
        <v>2013</v>
      </c>
      <c r="E1559" s="159">
        <v>2014</v>
      </c>
      <c r="F1559" s="159">
        <v>2015</v>
      </c>
      <c r="G1559" s="159">
        <v>2016</v>
      </c>
      <c r="H1559" s="159">
        <v>2017</v>
      </c>
      <c r="I1559" s="475">
        <v>2018</v>
      </c>
      <c r="J1559" s="159">
        <v>2019</v>
      </c>
      <c r="K1559" s="159">
        <v>2020</v>
      </c>
      <c r="L1559" s="159">
        <v>2021</v>
      </c>
      <c r="M1559" s="159">
        <v>2022</v>
      </c>
      <c r="N1559" s="159">
        <v>2023</v>
      </c>
      <c r="O1559" s="159">
        <v>2024</v>
      </c>
      <c r="P1559" s="159">
        <v>2025</v>
      </c>
      <c r="Q1559" s="180">
        <v>2026</v>
      </c>
    </row>
    <row r="1560" spans="1:17" x14ac:dyDescent="0.25">
      <c r="A1560" s="29" t="s">
        <v>34</v>
      </c>
      <c r="B1560" s="30"/>
      <c r="C1560" s="30"/>
      <c r="D1560" s="30"/>
      <c r="E1560" s="30"/>
      <c r="F1560" s="30"/>
      <c r="G1560" s="30"/>
      <c r="H1560" s="30"/>
      <c r="I1560" s="30"/>
      <c r="J1560" s="30"/>
      <c r="K1560" s="30"/>
      <c r="L1560" s="30"/>
      <c r="M1560" s="30"/>
      <c r="N1560" s="30"/>
      <c r="O1560" s="30"/>
      <c r="P1560" s="30"/>
      <c r="Q1560" s="88"/>
    </row>
    <row r="1561" spans="1:17" x14ac:dyDescent="0.25">
      <c r="A1561" s="472" t="s">
        <v>35</v>
      </c>
      <c r="B1561" s="19"/>
      <c r="C1561" s="19"/>
      <c r="D1561" s="19"/>
      <c r="E1561" s="19"/>
      <c r="F1561" s="19"/>
      <c r="G1561" s="19"/>
      <c r="H1561" s="19"/>
      <c r="I1561" s="19"/>
      <c r="J1561" s="19"/>
      <c r="K1561" s="19"/>
      <c r="L1561" s="19"/>
      <c r="M1561" s="19"/>
      <c r="N1561" s="19"/>
      <c r="O1561" s="19"/>
      <c r="P1561" s="19"/>
      <c r="Q1561" s="63"/>
    </row>
    <row r="1562" spans="1:17" x14ac:dyDescent="0.25">
      <c r="A1562" s="56" t="s">
        <v>717</v>
      </c>
      <c r="Q1562" s="64"/>
    </row>
    <row r="1563" spans="1:17" x14ac:dyDescent="0.25">
      <c r="A1563" s="56" t="s">
        <v>718</v>
      </c>
      <c r="Q1563" s="64"/>
    </row>
    <row r="1564" spans="1:17" x14ac:dyDescent="0.25">
      <c r="A1564" s="56" t="s">
        <v>719</v>
      </c>
      <c r="Q1564" s="64"/>
    </row>
    <row r="1565" spans="1:17" x14ac:dyDescent="0.25">
      <c r="A1565" s="56" t="s">
        <v>720</v>
      </c>
      <c r="Q1565" s="64"/>
    </row>
    <row r="1566" spans="1:17" x14ac:dyDescent="0.25">
      <c r="A1566" s="39" t="s">
        <v>721</v>
      </c>
      <c r="Q1566" s="64"/>
    </row>
    <row r="1567" spans="1:17" x14ac:dyDescent="0.25">
      <c r="A1567" s="39" t="s">
        <v>722</v>
      </c>
      <c r="Q1567" s="64"/>
    </row>
    <row r="1568" spans="1:17" x14ac:dyDescent="0.25">
      <c r="A1568" s="39" t="s">
        <v>723</v>
      </c>
      <c r="Q1568" s="64"/>
    </row>
    <row r="1569" spans="1:17" x14ac:dyDescent="0.25">
      <c r="A1569" s="39" t="s">
        <v>724</v>
      </c>
      <c r="Q1569" s="64"/>
    </row>
    <row r="1570" spans="1:17" x14ac:dyDescent="0.25">
      <c r="A1570" s="39" t="s">
        <v>725</v>
      </c>
      <c r="Q1570" s="64"/>
    </row>
    <row r="1571" spans="1:17" x14ac:dyDescent="0.25">
      <c r="A1571" s="39" t="s">
        <v>726</v>
      </c>
      <c r="Q1571" s="64"/>
    </row>
    <row r="1572" spans="1:17" x14ac:dyDescent="0.25">
      <c r="A1572" s="39" t="s">
        <v>727</v>
      </c>
      <c r="Q1572" s="64"/>
    </row>
    <row r="1573" spans="1:17" x14ac:dyDescent="0.25">
      <c r="A1573" s="39" t="s">
        <v>804</v>
      </c>
      <c r="Q1573" s="64"/>
    </row>
    <row r="1574" spans="1:17" x14ac:dyDescent="0.25">
      <c r="A1574" s="39" t="s">
        <v>885</v>
      </c>
      <c r="Q1574" s="64"/>
    </row>
    <row r="1575" spans="1:17" x14ac:dyDescent="0.25">
      <c r="A1575" s="39" t="s">
        <v>1050</v>
      </c>
      <c r="Q1575" s="64"/>
    </row>
    <row r="1576" spans="1:17" x14ac:dyDescent="0.25">
      <c r="A1576" s="42" t="s">
        <v>1259</v>
      </c>
      <c r="B1576" s="34"/>
      <c r="C1576" s="34"/>
      <c r="D1576" s="34"/>
      <c r="E1576" s="34"/>
      <c r="F1576" s="34"/>
      <c r="G1576" s="34"/>
      <c r="H1576" s="34"/>
      <c r="I1576" s="34"/>
      <c r="J1576" s="34"/>
      <c r="K1576" s="34"/>
      <c r="L1576" s="34"/>
      <c r="M1576" s="34"/>
      <c r="N1576" s="34"/>
      <c r="O1576" s="34"/>
      <c r="P1576" s="34"/>
      <c r="Q1576" s="48"/>
    </row>
    <row r="1578" spans="1:17" x14ac:dyDescent="0.25">
      <c r="A1578" s="6" t="s">
        <v>14</v>
      </c>
      <c r="B1578" s="7" t="s">
        <v>74</v>
      </c>
      <c r="C1578" s="7" t="s">
        <v>26</v>
      </c>
    </row>
    <row r="1579" spans="1:17" x14ac:dyDescent="0.25">
      <c r="A1579" s="41" t="s">
        <v>27</v>
      </c>
      <c r="B1579" s="274">
        <v>2013</v>
      </c>
      <c r="C1579" s="154">
        <v>2014</v>
      </c>
      <c r="D1579" s="154">
        <v>2015</v>
      </c>
      <c r="E1579" s="474">
        <v>2016</v>
      </c>
      <c r="F1579" s="154">
        <v>2017</v>
      </c>
      <c r="G1579" s="474">
        <v>2018</v>
      </c>
      <c r="H1579" s="154">
        <v>2019</v>
      </c>
      <c r="I1579" s="154">
        <v>2020</v>
      </c>
      <c r="J1579" s="154">
        <v>2021</v>
      </c>
      <c r="K1579" s="154">
        <v>2022</v>
      </c>
      <c r="L1579" s="154">
        <v>2023</v>
      </c>
      <c r="M1579" s="154">
        <v>2024</v>
      </c>
      <c r="N1579" s="154">
        <v>2025</v>
      </c>
    </row>
    <row r="1580" spans="1:17" x14ac:dyDescent="0.25">
      <c r="A1580" s="10" t="s">
        <v>28</v>
      </c>
      <c r="B1580" s="12">
        <v>70</v>
      </c>
      <c r="C1580" s="12">
        <v>70</v>
      </c>
      <c r="D1580" s="12">
        <v>70</v>
      </c>
      <c r="E1580" s="12">
        <v>70</v>
      </c>
      <c r="F1580" s="156">
        <v>70</v>
      </c>
      <c r="G1580" s="156">
        <v>70</v>
      </c>
      <c r="H1580" s="156">
        <v>70</v>
      </c>
      <c r="I1580" s="12">
        <v>58.9</v>
      </c>
      <c r="J1580" s="12">
        <v>58.9</v>
      </c>
      <c r="K1580" s="12">
        <v>58.9</v>
      </c>
      <c r="L1580" s="12">
        <v>58.9</v>
      </c>
      <c r="M1580" s="12">
        <v>58.9</v>
      </c>
      <c r="N1580" s="12">
        <v>58.9</v>
      </c>
    </row>
    <row r="1581" spans="1:17" x14ac:dyDescent="0.25">
      <c r="A1581" s="10" t="s">
        <v>29</v>
      </c>
      <c r="B1581" s="12">
        <f>(B1582)</f>
        <v>-15</v>
      </c>
      <c r="C1581" s="12">
        <f t="shared" ref="C1581:H1581" si="68">(C1582)</f>
        <v>3</v>
      </c>
      <c r="D1581" s="12">
        <v>55</v>
      </c>
      <c r="E1581" s="12">
        <f t="shared" si="68"/>
        <v>56</v>
      </c>
      <c r="F1581" s="12">
        <f t="shared" si="68"/>
        <v>61</v>
      </c>
      <c r="G1581" s="156">
        <f t="shared" si="68"/>
        <v>71</v>
      </c>
      <c r="H1581" s="156">
        <f t="shared" si="68"/>
        <v>73</v>
      </c>
      <c r="I1581" s="12">
        <v>65.900000000000006</v>
      </c>
      <c r="J1581" s="12"/>
      <c r="K1581" s="12"/>
      <c r="L1581" s="12"/>
      <c r="M1581" s="12"/>
      <c r="N1581" s="12"/>
    </row>
    <row r="1582" spans="1:17" x14ac:dyDescent="0.25">
      <c r="A1582" s="10" t="s">
        <v>30</v>
      </c>
      <c r="B1582" s="156">
        <f>(B1580-B1583)</f>
        <v>-15</v>
      </c>
      <c r="C1582" s="156">
        <f>(C1580-C1583)</f>
        <v>3</v>
      </c>
      <c r="D1582" s="156">
        <f>D1580+B1584</f>
        <v>55</v>
      </c>
      <c r="E1582" s="156">
        <f>E1580+D1584+C1584</f>
        <v>56</v>
      </c>
      <c r="F1582" s="156">
        <f>F1580+E1584</f>
        <v>61</v>
      </c>
      <c r="G1582" s="156">
        <f>G1580+F1584</f>
        <v>71</v>
      </c>
      <c r="H1582" s="156">
        <f>H1580+G1584</f>
        <v>73</v>
      </c>
      <c r="I1582" s="12">
        <f>I1580+0.1*H1580</f>
        <v>65.900000000000006</v>
      </c>
      <c r="J1582" s="12"/>
      <c r="K1582" s="12"/>
      <c r="L1582" s="12"/>
      <c r="M1582" s="12"/>
      <c r="N1582" s="12"/>
    </row>
    <row r="1583" spans="1:17" x14ac:dyDescent="0.25">
      <c r="A1583" s="10" t="s">
        <v>36</v>
      </c>
      <c r="B1583" s="156">
        <v>85</v>
      </c>
      <c r="C1583" s="156">
        <v>67</v>
      </c>
      <c r="D1583" s="156">
        <v>72</v>
      </c>
      <c r="E1583" s="156">
        <v>65</v>
      </c>
      <c r="F1583" s="156">
        <v>60</v>
      </c>
      <c r="G1583" s="156">
        <v>68</v>
      </c>
      <c r="H1583" s="156">
        <v>51</v>
      </c>
      <c r="I1583" s="12">
        <v>39</v>
      </c>
      <c r="J1583" s="12">
        <v>43</v>
      </c>
      <c r="K1583" s="12">
        <v>29</v>
      </c>
      <c r="L1583" s="12">
        <v>43</v>
      </c>
      <c r="M1583" s="12">
        <v>35</v>
      </c>
      <c r="N1583" s="12"/>
    </row>
    <row r="1584" spans="1:17" x14ac:dyDescent="0.25">
      <c r="A1584" s="10" t="s">
        <v>37</v>
      </c>
      <c r="B1584" s="12">
        <f>(B1582)</f>
        <v>-15</v>
      </c>
      <c r="C1584" s="12">
        <f>(C1582)</f>
        <v>3</v>
      </c>
      <c r="D1584" s="12">
        <f t="shared" ref="D1584:I1584" si="69">D1581-D1583</f>
        <v>-17</v>
      </c>
      <c r="E1584" s="12">
        <f t="shared" si="69"/>
        <v>-9</v>
      </c>
      <c r="F1584" s="12">
        <f t="shared" si="69"/>
        <v>1</v>
      </c>
      <c r="G1584" s="156">
        <f t="shared" si="69"/>
        <v>3</v>
      </c>
      <c r="H1584" s="156">
        <f t="shared" si="69"/>
        <v>22</v>
      </c>
      <c r="I1584" s="12">
        <f t="shared" si="69"/>
        <v>26.900000000000006</v>
      </c>
      <c r="J1584" s="12">
        <f>J1580-J1583</f>
        <v>15.899999999999999</v>
      </c>
      <c r="K1584" s="12">
        <f>K1580-K1583</f>
        <v>29.9</v>
      </c>
      <c r="L1584" s="12">
        <f>L1580-L1583</f>
        <v>15.899999999999999</v>
      </c>
      <c r="M1584" s="12">
        <f>M1580-M1583</f>
        <v>23.9</v>
      </c>
      <c r="N1584" s="12"/>
    </row>
    <row r="1585" spans="1:14" x14ac:dyDescent="0.25">
      <c r="A1585" s="16" t="s">
        <v>33</v>
      </c>
      <c r="B1585" s="456">
        <v>2015</v>
      </c>
      <c r="C1585" s="456">
        <v>2016</v>
      </c>
      <c r="D1585" s="456">
        <v>2016</v>
      </c>
      <c r="E1585" s="456">
        <v>2017</v>
      </c>
      <c r="F1585" s="456">
        <v>2018</v>
      </c>
      <c r="G1585" s="456">
        <v>2019</v>
      </c>
      <c r="H1585" s="456">
        <v>2020</v>
      </c>
      <c r="I1585" s="159"/>
      <c r="J1585" s="159"/>
      <c r="K1585" s="159"/>
      <c r="L1585" s="159">
        <v>2024</v>
      </c>
      <c r="M1585" s="479">
        <v>2025</v>
      </c>
      <c r="N1585" s="479">
        <v>2026</v>
      </c>
    </row>
    <row r="1586" spans="1:14" x14ac:dyDescent="0.25">
      <c r="A1586" s="29" t="s">
        <v>34</v>
      </c>
      <c r="B1586" s="30"/>
      <c r="C1586" s="30"/>
      <c r="D1586" s="30"/>
      <c r="E1586" s="30"/>
      <c r="F1586" s="30"/>
      <c r="G1586" s="30"/>
      <c r="H1586" s="30"/>
      <c r="I1586" s="30"/>
      <c r="J1586" s="30"/>
      <c r="K1586" s="30"/>
      <c r="L1586" s="30"/>
      <c r="M1586" s="30"/>
      <c r="N1586" s="88"/>
    </row>
    <row r="1587" spans="1:14" x14ac:dyDescent="0.25">
      <c r="A1587" s="472" t="s">
        <v>311</v>
      </c>
      <c r="B1587" s="19"/>
      <c r="C1587" s="19"/>
      <c r="D1587" s="19"/>
      <c r="E1587" s="19"/>
      <c r="F1587" s="19"/>
      <c r="G1587" s="19"/>
      <c r="H1587" s="19"/>
      <c r="I1587" s="19"/>
      <c r="J1587" s="19"/>
      <c r="K1587" s="19"/>
      <c r="L1587" s="19"/>
      <c r="M1587" s="19"/>
      <c r="N1587" s="63"/>
    </row>
    <row r="1588" spans="1:14" x14ac:dyDescent="0.25">
      <c r="A1588" s="39" t="s">
        <v>312</v>
      </c>
      <c r="N1588" s="64"/>
    </row>
    <row r="1589" spans="1:14" x14ac:dyDescent="0.25">
      <c r="A1589" s="56" t="s">
        <v>313</v>
      </c>
      <c r="N1589" s="64"/>
    </row>
    <row r="1590" spans="1:14" x14ac:dyDescent="0.25">
      <c r="A1590" s="56" t="s">
        <v>314</v>
      </c>
      <c r="N1590" s="64"/>
    </row>
    <row r="1591" spans="1:14" x14ac:dyDescent="0.25">
      <c r="A1591" s="39" t="s">
        <v>305</v>
      </c>
      <c r="N1591" s="64"/>
    </row>
    <row r="1592" spans="1:14" x14ac:dyDescent="0.25">
      <c r="A1592" s="39" t="s">
        <v>407</v>
      </c>
      <c r="N1592" s="64"/>
    </row>
    <row r="1593" spans="1:14" x14ac:dyDescent="0.25">
      <c r="A1593" s="150" t="s">
        <v>1196</v>
      </c>
      <c r="N1593" s="64"/>
    </row>
    <row r="1594" spans="1:14" x14ac:dyDescent="0.25">
      <c r="A1594" s="150" t="s">
        <v>1197</v>
      </c>
      <c r="N1594" s="64"/>
    </row>
    <row r="1595" spans="1:14" x14ac:dyDescent="0.25">
      <c r="A1595" s="150" t="s">
        <v>1198</v>
      </c>
      <c r="N1595" s="64"/>
    </row>
    <row r="1596" spans="1:14" x14ac:dyDescent="0.25">
      <c r="A1596" s="42" t="s">
        <v>1199</v>
      </c>
      <c r="B1596" s="34"/>
      <c r="C1596" s="34"/>
      <c r="D1596" s="34"/>
      <c r="E1596" s="34"/>
      <c r="F1596" s="34"/>
      <c r="G1596" s="34"/>
      <c r="H1596" s="34"/>
      <c r="I1596" s="34"/>
      <c r="J1596" s="34"/>
      <c r="K1596" s="34"/>
      <c r="L1596" s="34"/>
      <c r="M1596" s="34"/>
      <c r="N1596" s="48"/>
    </row>
    <row r="1598" spans="1:14" x14ac:dyDescent="0.25">
      <c r="A1598" s="6" t="s">
        <v>14</v>
      </c>
      <c r="B1598" s="7" t="s">
        <v>79</v>
      </c>
      <c r="C1598" s="7" t="s">
        <v>26</v>
      </c>
    </row>
    <row r="1599" spans="1:14" x14ac:dyDescent="0.25">
      <c r="A1599" s="170" t="s">
        <v>27</v>
      </c>
      <c r="B1599" s="274">
        <v>2013</v>
      </c>
      <c r="C1599" s="154">
        <v>2014</v>
      </c>
      <c r="D1599" s="154">
        <v>2015</v>
      </c>
      <c r="E1599" s="154">
        <v>2016</v>
      </c>
      <c r="F1599" s="154">
        <v>2017</v>
      </c>
      <c r="G1599" s="474">
        <v>2018</v>
      </c>
      <c r="H1599" s="474">
        <v>2019</v>
      </c>
      <c r="I1599" s="154">
        <v>2020</v>
      </c>
      <c r="J1599" s="154">
        <v>2021</v>
      </c>
      <c r="K1599" s="154">
        <v>2022</v>
      </c>
      <c r="L1599" s="154">
        <v>2023</v>
      </c>
      <c r="M1599" s="154">
        <v>2024</v>
      </c>
      <c r="N1599" s="154">
        <v>2025</v>
      </c>
    </row>
    <row r="1600" spans="1:14" x14ac:dyDescent="0.25">
      <c r="A1600" s="11" t="s">
        <v>28</v>
      </c>
      <c r="B1600" s="12">
        <v>25</v>
      </c>
      <c r="C1600" s="12">
        <v>25</v>
      </c>
      <c r="D1600" s="12">
        <v>25</v>
      </c>
      <c r="E1600" s="12">
        <v>25</v>
      </c>
      <c r="F1600" s="156">
        <v>25</v>
      </c>
      <c r="G1600" s="477">
        <v>25</v>
      </c>
      <c r="H1600" s="477">
        <v>25</v>
      </c>
      <c r="I1600" s="12">
        <v>25</v>
      </c>
      <c r="J1600" s="12">
        <v>25</v>
      </c>
      <c r="K1600" s="12">
        <v>25</v>
      </c>
      <c r="L1600" s="12">
        <v>25</v>
      </c>
      <c r="M1600" s="12">
        <v>25</v>
      </c>
      <c r="N1600" s="12">
        <v>25</v>
      </c>
    </row>
    <row r="1601" spans="1:14" x14ac:dyDescent="0.25">
      <c r="A1601" s="11" t="s">
        <v>29</v>
      </c>
      <c r="B1601" s="12">
        <f>(B1602)</f>
        <v>-5</v>
      </c>
      <c r="C1601" s="12">
        <v>25</v>
      </c>
      <c r="D1601" s="12">
        <f>(D1602)</f>
        <v>25</v>
      </c>
      <c r="E1601" s="12">
        <f>(E1602)</f>
        <v>24</v>
      </c>
      <c r="F1601" s="12">
        <f>F1600</f>
        <v>25</v>
      </c>
      <c r="G1601" s="477">
        <v>29</v>
      </c>
      <c r="H1601" s="477">
        <f>H1600+5</f>
        <v>30</v>
      </c>
      <c r="I1601" s="12">
        <f>I1602</f>
        <v>30</v>
      </c>
      <c r="J1601" s="12">
        <f>J1602</f>
        <v>30</v>
      </c>
      <c r="K1601" s="12"/>
      <c r="L1601" s="12"/>
      <c r="M1601" s="90"/>
      <c r="N1601" s="90"/>
    </row>
    <row r="1602" spans="1:14" x14ac:dyDescent="0.25">
      <c r="A1602" s="11" t="s">
        <v>30</v>
      </c>
      <c r="B1602" s="156">
        <f>(B1600-B1603)</f>
        <v>-5</v>
      </c>
      <c r="C1602" s="156">
        <v>25</v>
      </c>
      <c r="D1602" s="156">
        <f>D1600+B1604+C1604</f>
        <v>25</v>
      </c>
      <c r="E1602" s="156">
        <f>E1600+D1604</f>
        <v>24</v>
      </c>
      <c r="F1602" s="156">
        <v>25</v>
      </c>
      <c r="G1602" s="477">
        <v>29</v>
      </c>
      <c r="H1602" s="477">
        <f>H1600+5</f>
        <v>30</v>
      </c>
      <c r="I1602" s="12">
        <f>I1600+0.2*G1600</f>
        <v>30</v>
      </c>
      <c r="J1602" s="12">
        <f>J1600+0.2*H1600</f>
        <v>30</v>
      </c>
      <c r="K1602" s="12"/>
      <c r="L1602" s="12"/>
      <c r="M1602" s="90"/>
      <c r="N1602" s="90"/>
    </row>
    <row r="1603" spans="1:14" x14ac:dyDescent="0.25">
      <c r="A1603" s="11" t="s">
        <v>36</v>
      </c>
      <c r="B1603" s="156">
        <v>30</v>
      </c>
      <c r="C1603" s="156">
        <v>20</v>
      </c>
      <c r="D1603" s="156">
        <v>26</v>
      </c>
      <c r="E1603" s="156">
        <v>20</v>
      </c>
      <c r="F1603" s="156">
        <v>12</v>
      </c>
      <c r="G1603" s="477">
        <v>15.89</v>
      </c>
      <c r="H1603" s="477">
        <v>9</v>
      </c>
      <c r="I1603" s="12">
        <v>10</v>
      </c>
      <c r="J1603" s="12">
        <v>12</v>
      </c>
      <c r="K1603" s="12">
        <v>8</v>
      </c>
      <c r="L1603" s="12">
        <v>8</v>
      </c>
      <c r="M1603" s="131">
        <v>9</v>
      </c>
      <c r="N1603" s="90"/>
    </row>
    <row r="1604" spans="1:14" x14ac:dyDescent="0.25">
      <c r="A1604" s="11" t="s">
        <v>37</v>
      </c>
      <c r="B1604" s="12">
        <v>-5</v>
      </c>
      <c r="C1604" s="12">
        <v>5</v>
      </c>
      <c r="D1604" s="12">
        <f>D1601-D1603</f>
        <v>-1</v>
      </c>
      <c r="E1604" s="286">
        <f>E1601-E1603</f>
        <v>4</v>
      </c>
      <c r="F1604" s="12">
        <f>F1601-F1603</f>
        <v>13</v>
      </c>
      <c r="G1604" s="477">
        <v>13.11</v>
      </c>
      <c r="H1604" s="477">
        <f>H1601-H1603</f>
        <v>21</v>
      </c>
      <c r="I1604" s="477">
        <f>I1601-I1603</f>
        <v>20</v>
      </c>
      <c r="J1604" s="12">
        <f>J1601-J1603</f>
        <v>18</v>
      </c>
      <c r="K1604" s="12">
        <f>K1600-K1603</f>
        <v>17</v>
      </c>
      <c r="L1604" s="12">
        <f>L1600-L1603</f>
        <v>17</v>
      </c>
      <c r="M1604" s="131">
        <f>M1600-M1603</f>
        <v>16</v>
      </c>
      <c r="N1604" s="90"/>
    </row>
    <row r="1605" spans="1:14" x14ac:dyDescent="0.25">
      <c r="A1605" s="17" t="s">
        <v>33</v>
      </c>
      <c r="B1605" s="456">
        <v>2015</v>
      </c>
      <c r="C1605" s="456">
        <v>2016</v>
      </c>
      <c r="D1605" s="456">
        <v>2017</v>
      </c>
      <c r="E1605" s="456">
        <v>2018</v>
      </c>
      <c r="F1605" s="159">
        <v>2019</v>
      </c>
      <c r="G1605" s="159">
        <v>2020</v>
      </c>
      <c r="H1605" s="475">
        <v>2021</v>
      </c>
      <c r="I1605" s="90">
        <v>2022</v>
      </c>
      <c r="J1605" s="90">
        <v>2023</v>
      </c>
      <c r="K1605" s="90">
        <v>2024</v>
      </c>
      <c r="L1605" s="90">
        <v>2025</v>
      </c>
      <c r="M1605" s="90">
        <v>2026</v>
      </c>
      <c r="N1605" s="90">
        <v>2027</v>
      </c>
    </row>
    <row r="1606" spans="1:14" x14ac:dyDescent="0.25">
      <c r="A1606" s="29" t="s">
        <v>34</v>
      </c>
      <c r="B1606" s="30"/>
      <c r="C1606" s="30"/>
      <c r="D1606" s="30"/>
      <c r="E1606" s="30"/>
      <c r="F1606" s="30"/>
      <c r="G1606" s="30"/>
      <c r="H1606" s="30"/>
      <c r="I1606" s="30"/>
      <c r="J1606" s="30"/>
      <c r="K1606" s="30"/>
      <c r="L1606" s="30"/>
      <c r="M1606" s="30"/>
      <c r="N1606" s="88"/>
    </row>
    <row r="1607" spans="1:14" x14ac:dyDescent="0.25">
      <c r="A1607" s="472" t="s">
        <v>306</v>
      </c>
      <c r="B1607" s="19"/>
      <c r="C1607" s="19"/>
      <c r="D1607" s="19"/>
      <c r="E1607" s="19"/>
      <c r="F1607" s="19"/>
      <c r="G1607" s="19"/>
      <c r="H1607" s="19"/>
      <c r="I1607" s="19"/>
      <c r="J1607" s="19"/>
      <c r="K1607" s="19"/>
      <c r="L1607" s="19"/>
      <c r="M1607" s="19"/>
      <c r="N1607" s="63"/>
    </row>
    <row r="1608" spans="1:14" x14ac:dyDescent="0.25">
      <c r="A1608" s="39" t="s">
        <v>307</v>
      </c>
      <c r="N1608" s="64"/>
    </row>
    <row r="1609" spans="1:14" x14ac:dyDescent="0.25">
      <c r="A1609" s="56" t="s">
        <v>308</v>
      </c>
      <c r="N1609" s="64"/>
    </row>
    <row r="1610" spans="1:14" x14ac:dyDescent="0.25">
      <c r="A1610" s="56" t="s">
        <v>309</v>
      </c>
      <c r="N1610" s="64"/>
    </row>
    <row r="1611" spans="1:14" x14ac:dyDescent="0.25">
      <c r="A1611" s="39" t="s">
        <v>310</v>
      </c>
      <c r="N1611" s="64"/>
    </row>
    <row r="1612" spans="1:14" x14ac:dyDescent="0.25">
      <c r="A1612" s="39" t="s">
        <v>408</v>
      </c>
      <c r="N1612" s="64"/>
    </row>
    <row r="1613" spans="1:14" x14ac:dyDescent="0.25">
      <c r="A1613" s="41" t="s">
        <v>409</v>
      </c>
      <c r="B1613" s="34"/>
      <c r="C1613" s="34"/>
      <c r="D1613" s="34"/>
      <c r="E1613" s="34"/>
      <c r="F1613" s="34"/>
      <c r="G1613" s="34"/>
      <c r="H1613" s="34"/>
      <c r="I1613" s="34"/>
      <c r="J1613" s="34"/>
      <c r="K1613" s="34"/>
      <c r="L1613" s="34"/>
      <c r="M1613" s="34"/>
      <c r="N1613" s="48"/>
    </row>
    <row r="1616" spans="1:14" x14ac:dyDescent="0.25">
      <c r="A1616" s="98" t="s">
        <v>12</v>
      </c>
      <c r="B1616" s="66" t="s">
        <v>453</v>
      </c>
      <c r="C1616" s="8"/>
      <c r="D1616" s="8"/>
      <c r="E1616" s="8"/>
      <c r="F1616" s="8"/>
      <c r="G1616" s="8"/>
    </row>
    <row r="1617" spans="1:13" x14ac:dyDescent="0.25">
      <c r="A1617" s="98" t="s">
        <v>14</v>
      </c>
      <c r="B1617" s="66" t="s">
        <v>638</v>
      </c>
      <c r="C1617" s="66" t="s">
        <v>15</v>
      </c>
      <c r="D1617" s="8"/>
      <c r="E1617" s="8"/>
      <c r="F1617" s="8"/>
      <c r="G1617" s="8"/>
    </row>
    <row r="1618" spans="1:13" x14ac:dyDescent="0.25">
      <c r="A1618" s="95" t="s">
        <v>16</v>
      </c>
      <c r="B1618" s="247"/>
      <c r="C1618" s="263">
        <v>2016</v>
      </c>
      <c r="D1618" s="341">
        <v>2017</v>
      </c>
      <c r="E1618" s="341">
        <v>2018</v>
      </c>
      <c r="F1618" s="341">
        <v>2019</v>
      </c>
      <c r="G1618" s="341">
        <v>2020</v>
      </c>
      <c r="H1618" s="341">
        <v>2021</v>
      </c>
      <c r="I1618" s="341">
        <v>2022</v>
      </c>
      <c r="J1618" s="341" t="s">
        <v>837</v>
      </c>
      <c r="K1618" s="341" t="s">
        <v>838</v>
      </c>
      <c r="L1618" s="341" t="s">
        <v>839</v>
      </c>
      <c r="M1618" s="341" t="s">
        <v>1128</v>
      </c>
    </row>
    <row r="1619" spans="1:13" x14ac:dyDescent="0.25">
      <c r="A1619" s="68" t="s">
        <v>17</v>
      </c>
      <c r="B1619" s="69"/>
      <c r="C1619" s="72">
        <v>3600</v>
      </c>
      <c r="D1619" s="97">
        <v>3600</v>
      </c>
      <c r="E1619" s="97">
        <v>3600</v>
      </c>
      <c r="F1619" s="97">
        <v>3600</v>
      </c>
      <c r="G1619" s="97">
        <v>3600</v>
      </c>
      <c r="H1619" s="97">
        <v>3600</v>
      </c>
      <c r="I1619" s="97">
        <v>3600</v>
      </c>
      <c r="J1619" s="97">
        <v>4320</v>
      </c>
      <c r="K1619" s="97">
        <v>4320</v>
      </c>
      <c r="L1619" s="97">
        <v>4320</v>
      </c>
      <c r="M1619" s="97">
        <v>4320</v>
      </c>
    </row>
    <row r="1620" spans="1:13" x14ac:dyDescent="0.25">
      <c r="A1620" s="68" t="s">
        <v>18</v>
      </c>
      <c r="B1620" s="69"/>
      <c r="C1620" s="480">
        <f>C1619+0.25*C1619</f>
        <v>4500</v>
      </c>
      <c r="D1620" s="480">
        <v>4477</v>
      </c>
      <c r="E1620" s="480">
        <f>E1619+0.25*E1619</f>
        <v>4500</v>
      </c>
      <c r="F1620" s="480">
        <f>F1619+0.25*F1619</f>
        <v>4500</v>
      </c>
      <c r="G1620" s="480">
        <f>G1619+0.25*G1619</f>
        <v>4500</v>
      </c>
      <c r="H1620" s="480">
        <f>H1619+0.25*H1619</f>
        <v>4500</v>
      </c>
      <c r="I1620" s="480">
        <f>I1619+0.25*I1619</f>
        <v>4500</v>
      </c>
      <c r="J1620" s="480">
        <f>J1619+0.25*H1619</f>
        <v>5220</v>
      </c>
      <c r="K1620" s="480">
        <f>K1619+I1623</f>
        <v>2075</v>
      </c>
      <c r="L1620" s="480">
        <f>L1619</f>
        <v>4320</v>
      </c>
      <c r="M1620" s="480">
        <v>5400</v>
      </c>
    </row>
    <row r="1621" spans="1:13" ht="39.6" x14ac:dyDescent="0.25">
      <c r="A1621" s="68" t="s">
        <v>19</v>
      </c>
      <c r="B1621" s="434"/>
      <c r="C1621" s="480" t="s">
        <v>835</v>
      </c>
      <c r="D1621" s="480" t="s">
        <v>835</v>
      </c>
      <c r="E1621" s="480" t="s">
        <v>835</v>
      </c>
      <c r="F1621" s="480" t="s">
        <v>835</v>
      </c>
      <c r="G1621" s="480" t="s">
        <v>835</v>
      </c>
      <c r="H1621" s="480" t="s">
        <v>835</v>
      </c>
      <c r="I1621" s="480" t="s">
        <v>835</v>
      </c>
      <c r="J1621" s="480" t="s">
        <v>836</v>
      </c>
      <c r="K1621" s="481" t="s">
        <v>841</v>
      </c>
      <c r="L1621" s="481" t="s">
        <v>842</v>
      </c>
      <c r="M1621" s="480" t="s">
        <v>1269</v>
      </c>
    </row>
    <row r="1622" spans="1:13" x14ac:dyDescent="0.25">
      <c r="A1622" s="68" t="s">
        <v>20</v>
      </c>
      <c r="B1622" s="69"/>
      <c r="C1622" s="72">
        <v>994</v>
      </c>
      <c r="D1622" s="97">
        <v>365.62</v>
      </c>
      <c r="E1622" s="97">
        <v>888.8</v>
      </c>
      <c r="F1622" s="97">
        <v>966.50400000000002</v>
      </c>
      <c r="G1622" s="97">
        <v>2165.75</v>
      </c>
      <c r="H1622" s="97">
        <v>3412.63</v>
      </c>
      <c r="I1622" s="97">
        <v>6745</v>
      </c>
      <c r="J1622" s="97">
        <v>4856.4380000000001</v>
      </c>
      <c r="K1622" s="97">
        <v>458.31599999999997</v>
      </c>
      <c r="L1622" s="97"/>
      <c r="M1622" s="97"/>
    </row>
    <row r="1623" spans="1:13" x14ac:dyDescent="0.25">
      <c r="A1623" s="68" t="s">
        <v>21</v>
      </c>
      <c r="B1623" s="69"/>
      <c r="C1623" s="72">
        <f>C1620-C1622</f>
        <v>3506</v>
      </c>
      <c r="D1623" s="72">
        <f t="shared" ref="D1623:K1623" si="70">D1620-D1622</f>
        <v>4111.38</v>
      </c>
      <c r="E1623" s="72">
        <f t="shared" si="70"/>
        <v>3611.2</v>
      </c>
      <c r="F1623" s="72">
        <f t="shared" si="70"/>
        <v>3533.4960000000001</v>
      </c>
      <c r="G1623" s="72">
        <f t="shared" si="70"/>
        <v>2334.25</v>
      </c>
      <c r="H1623" s="72">
        <f t="shared" si="70"/>
        <v>1087.3699999999999</v>
      </c>
      <c r="I1623" s="72">
        <f t="shared" si="70"/>
        <v>-2245</v>
      </c>
      <c r="J1623" s="72">
        <f t="shared" si="70"/>
        <v>363.5619999999999</v>
      </c>
      <c r="K1623" s="72">
        <f t="shared" si="70"/>
        <v>1616.684</v>
      </c>
      <c r="L1623" s="72"/>
      <c r="M1623" s="72"/>
    </row>
    <row r="1624" spans="1:13" x14ac:dyDescent="0.25">
      <c r="A1624" s="68" t="s">
        <v>22</v>
      </c>
      <c r="B1624" s="69"/>
      <c r="C1624" s="248">
        <v>2018</v>
      </c>
      <c r="D1624" s="248">
        <v>2019</v>
      </c>
      <c r="E1624" s="248">
        <v>2020</v>
      </c>
      <c r="F1624" s="248">
        <v>2021</v>
      </c>
      <c r="G1624" s="248">
        <v>2022</v>
      </c>
      <c r="H1624" s="248">
        <v>2023</v>
      </c>
      <c r="I1624" s="248">
        <v>2024</v>
      </c>
      <c r="J1624" s="248">
        <v>2025</v>
      </c>
      <c r="K1624" s="248">
        <v>2026</v>
      </c>
      <c r="L1624" s="248">
        <v>2027</v>
      </c>
      <c r="M1624" s="248">
        <v>2028</v>
      </c>
    </row>
    <row r="1625" spans="1:13" x14ac:dyDescent="0.25">
      <c r="A1625" s="696" t="s">
        <v>23</v>
      </c>
      <c r="B1625" s="697"/>
      <c r="C1625" s="697"/>
      <c r="D1625" s="697"/>
      <c r="E1625" s="697"/>
      <c r="F1625" s="482"/>
      <c r="G1625" s="482"/>
      <c r="H1625" s="482"/>
      <c r="I1625" s="482"/>
      <c r="J1625" s="482"/>
      <c r="K1625" s="482"/>
      <c r="L1625" s="482"/>
      <c r="M1625" s="88"/>
    </row>
    <row r="1626" spans="1:13" x14ac:dyDescent="0.25">
      <c r="A1626" s="436" t="s">
        <v>840</v>
      </c>
      <c r="B1626" s="437"/>
      <c r="C1626" s="437"/>
      <c r="D1626" s="437"/>
      <c r="E1626" s="437"/>
      <c r="F1626" s="482"/>
      <c r="G1626" s="482"/>
      <c r="H1626" s="30"/>
      <c r="I1626" s="30"/>
      <c r="J1626" s="30"/>
      <c r="K1626" s="30"/>
      <c r="L1626" s="30"/>
      <c r="M1626" s="88"/>
    </row>
    <row r="1628" spans="1:13" x14ac:dyDescent="0.25">
      <c r="A1628" s="98" t="s">
        <v>14</v>
      </c>
      <c r="B1628" s="66" t="s">
        <v>641</v>
      </c>
      <c r="C1628" s="66" t="s">
        <v>15</v>
      </c>
      <c r="D1628" s="8"/>
      <c r="E1628" s="8"/>
      <c r="F1628" s="8"/>
      <c r="G1628" s="8"/>
      <c r="H1628" s="480"/>
    </row>
    <row r="1629" spans="1:13" x14ac:dyDescent="0.25">
      <c r="A1629" s="95" t="s">
        <v>16</v>
      </c>
      <c r="B1629" s="247"/>
      <c r="C1629" s="263">
        <v>2016</v>
      </c>
      <c r="D1629" s="341">
        <v>2017</v>
      </c>
      <c r="E1629" s="341">
        <v>2018</v>
      </c>
      <c r="F1629" s="341">
        <v>2019</v>
      </c>
      <c r="G1629" s="341">
        <v>2020</v>
      </c>
      <c r="H1629" s="341">
        <v>2021</v>
      </c>
      <c r="I1629" s="341">
        <v>2022</v>
      </c>
      <c r="J1629" s="341">
        <v>2023</v>
      </c>
      <c r="K1629" s="341">
        <v>2024</v>
      </c>
      <c r="L1629" s="341">
        <v>2025</v>
      </c>
    </row>
    <row r="1630" spans="1:13" x14ac:dyDescent="0.25">
      <c r="A1630" s="68" t="s">
        <v>17</v>
      </c>
      <c r="B1630" s="69"/>
      <c r="C1630" s="72">
        <v>1168</v>
      </c>
      <c r="D1630" s="97">
        <v>1168</v>
      </c>
      <c r="E1630" s="97">
        <v>1168</v>
      </c>
      <c r="F1630" s="97">
        <v>1168</v>
      </c>
      <c r="G1630" s="97">
        <v>1168</v>
      </c>
      <c r="H1630" s="97">
        <v>1168</v>
      </c>
      <c r="I1630" s="97">
        <v>1168</v>
      </c>
      <c r="J1630" s="97">
        <v>1168</v>
      </c>
      <c r="K1630" s="97">
        <v>1168</v>
      </c>
      <c r="L1630" s="97">
        <v>1168</v>
      </c>
    </row>
    <row r="1631" spans="1:13" x14ac:dyDescent="0.25">
      <c r="A1631" s="68" t="s">
        <v>18</v>
      </c>
      <c r="B1631" s="69"/>
      <c r="C1631" s="480">
        <f>C1630+0.3*C1630+50+50+50</f>
        <v>1668.4</v>
      </c>
      <c r="D1631" s="480">
        <f>D1630+0.3*D1630+50+50+50</f>
        <v>1668.4</v>
      </c>
      <c r="E1631" s="480">
        <f>E1630+0.2*E1630+50+50+50</f>
        <v>1551.6</v>
      </c>
      <c r="F1631" s="480">
        <f>F1630+0.2*F1630+50+50+50</f>
        <v>1551.6</v>
      </c>
      <c r="G1631" s="480">
        <f>G1630+0.2*G1630+50+50+50</f>
        <v>1551.6</v>
      </c>
      <c r="H1631" s="480">
        <f>1168+20%*1168+50+50+50</f>
        <v>1551.6</v>
      </c>
      <c r="I1631" s="480">
        <f>1168+20%*1168+50+50+50</f>
        <v>1551.6</v>
      </c>
      <c r="J1631" s="480">
        <v>1434.8</v>
      </c>
      <c r="K1631" s="480">
        <v>1434.8</v>
      </c>
      <c r="L1631" s="480">
        <v>1384.8</v>
      </c>
    </row>
    <row r="1632" spans="1:13" x14ac:dyDescent="0.25">
      <c r="A1632" s="68" t="s">
        <v>19</v>
      </c>
      <c r="B1632" s="434"/>
      <c r="C1632" s="480" t="s">
        <v>456</v>
      </c>
      <c r="D1632" s="480" t="s">
        <v>456</v>
      </c>
      <c r="E1632" s="480" t="s">
        <v>459</v>
      </c>
      <c r="F1632" s="480" t="s">
        <v>459</v>
      </c>
      <c r="G1632" s="480" t="s">
        <v>459</v>
      </c>
      <c r="H1632" s="480" t="s">
        <v>459</v>
      </c>
      <c r="I1632" s="480" t="s">
        <v>459</v>
      </c>
      <c r="J1632" s="480" t="s">
        <v>1261</v>
      </c>
      <c r="K1632" s="480" t="s">
        <v>1261</v>
      </c>
      <c r="L1632" s="480" t="s">
        <v>1262</v>
      </c>
      <c r="M1632" s="480">
        <f>1168+20%*1168+50+50+50</f>
        <v>1551.6</v>
      </c>
    </row>
    <row r="1633" spans="1:12" x14ac:dyDescent="0.25">
      <c r="A1633" s="68" t="s">
        <v>20</v>
      </c>
      <c r="B1633" s="69"/>
      <c r="C1633" s="72">
        <v>466</v>
      </c>
      <c r="D1633" s="97">
        <v>717</v>
      </c>
      <c r="E1633" s="97">
        <v>881</v>
      </c>
      <c r="F1633" s="97">
        <v>811.28</v>
      </c>
      <c r="G1633" s="97">
        <v>789.23699999999997</v>
      </c>
      <c r="H1633" s="97">
        <v>252.99</v>
      </c>
      <c r="I1633" s="97">
        <v>1083</v>
      </c>
      <c r="J1633" s="97">
        <v>664.495</v>
      </c>
      <c r="K1633" s="97">
        <v>259.97000000000003</v>
      </c>
      <c r="L1633" s="97"/>
    </row>
    <row r="1634" spans="1:12" x14ac:dyDescent="0.25">
      <c r="A1634" s="68" t="s">
        <v>21</v>
      </c>
      <c r="B1634" s="69"/>
      <c r="C1634" s="72">
        <f>C1631-C1633</f>
        <v>1202.4000000000001</v>
      </c>
      <c r="D1634" s="72">
        <f t="shared" ref="D1634:K1634" si="71">D1631-D1633</f>
        <v>951.40000000000009</v>
      </c>
      <c r="E1634" s="72">
        <f t="shared" si="71"/>
        <v>670.59999999999991</v>
      </c>
      <c r="F1634" s="72">
        <f t="shared" si="71"/>
        <v>740.31999999999994</v>
      </c>
      <c r="G1634" s="72">
        <f t="shared" si="71"/>
        <v>762.36299999999994</v>
      </c>
      <c r="H1634" s="72">
        <f t="shared" si="71"/>
        <v>1298.6099999999999</v>
      </c>
      <c r="I1634" s="72">
        <f t="shared" si="71"/>
        <v>468.59999999999991</v>
      </c>
      <c r="J1634" s="72">
        <f t="shared" si="71"/>
        <v>770.30499999999995</v>
      </c>
      <c r="K1634" s="72">
        <f t="shared" si="71"/>
        <v>1174.83</v>
      </c>
      <c r="L1634" s="72"/>
    </row>
    <row r="1635" spans="1:12" x14ac:dyDescent="0.25">
      <c r="A1635" s="92" t="s">
        <v>22</v>
      </c>
      <c r="B1635" s="272"/>
      <c r="C1635" s="665">
        <v>2018</v>
      </c>
      <c r="D1635" s="665">
        <v>2019</v>
      </c>
      <c r="E1635" s="665">
        <v>2020</v>
      </c>
      <c r="F1635" s="665">
        <v>2021</v>
      </c>
      <c r="G1635" s="665">
        <v>2022</v>
      </c>
      <c r="H1635" s="665">
        <v>2023</v>
      </c>
      <c r="I1635" s="665">
        <v>2023</v>
      </c>
      <c r="J1635" s="665">
        <v>2025</v>
      </c>
      <c r="K1635" s="665">
        <v>2026</v>
      </c>
      <c r="L1635" s="665">
        <v>2027</v>
      </c>
    </row>
    <row r="1636" spans="1:12" x14ac:dyDescent="0.25">
      <c r="A1636" s="698" t="s">
        <v>23</v>
      </c>
      <c r="B1636" s="699"/>
      <c r="C1636" s="699"/>
      <c r="D1636" s="699"/>
      <c r="E1636" s="699"/>
      <c r="F1636" s="93"/>
      <c r="G1636" s="93"/>
      <c r="H1636" s="93"/>
      <c r="I1636" s="93"/>
      <c r="J1636" s="93"/>
      <c r="K1636" s="93"/>
      <c r="L1636" s="63"/>
    </row>
    <row r="1637" spans="1:12" x14ac:dyDescent="0.25">
      <c r="A1637" s="644" t="s">
        <v>455</v>
      </c>
      <c r="B1637" s="645"/>
      <c r="C1637" s="645"/>
      <c r="D1637" s="645"/>
      <c r="E1637" s="645"/>
      <c r="F1637" s="93"/>
      <c r="G1637" s="93"/>
      <c r="H1637" s="19"/>
      <c r="I1637" s="19"/>
      <c r="J1637" s="19"/>
      <c r="K1637" s="19"/>
      <c r="L1637" s="63"/>
    </row>
    <row r="1638" spans="1:12" x14ac:dyDescent="0.25">
      <c r="A1638" s="39" t="s">
        <v>454</v>
      </c>
      <c r="L1638" s="64"/>
    </row>
    <row r="1639" spans="1:12" x14ac:dyDescent="0.25">
      <c r="A1639" s="39" t="s">
        <v>834</v>
      </c>
      <c r="L1639" s="64"/>
    </row>
    <row r="1640" spans="1:12" x14ac:dyDescent="0.25">
      <c r="A1640" s="39" t="s">
        <v>833</v>
      </c>
      <c r="L1640" s="64"/>
    </row>
    <row r="1641" spans="1:12" x14ac:dyDescent="0.25">
      <c r="A1641" s="39" t="s">
        <v>457</v>
      </c>
      <c r="L1641" s="64"/>
    </row>
    <row r="1642" spans="1:12" x14ac:dyDescent="0.25">
      <c r="A1642" s="39" t="s">
        <v>458</v>
      </c>
      <c r="L1642" s="64"/>
    </row>
    <row r="1643" spans="1:12" x14ac:dyDescent="0.25">
      <c r="A1643" s="41" t="s">
        <v>1051</v>
      </c>
      <c r="B1643" s="34"/>
      <c r="C1643" s="34"/>
      <c r="D1643" s="34"/>
      <c r="E1643" s="34"/>
      <c r="F1643" s="34"/>
      <c r="G1643" s="34"/>
      <c r="H1643" s="34"/>
      <c r="I1643" s="34"/>
      <c r="J1643" s="34"/>
      <c r="K1643" s="34"/>
      <c r="L1643" s="48"/>
    </row>
    <row r="1645" spans="1:12" x14ac:dyDescent="0.25">
      <c r="A1645" s="6" t="s">
        <v>14</v>
      </c>
      <c r="B1645" s="7" t="s">
        <v>74</v>
      </c>
      <c r="C1645" s="7" t="s">
        <v>152</v>
      </c>
    </row>
    <row r="1646" spans="1:12" x14ac:dyDescent="0.25">
      <c r="A1646" s="41" t="s">
        <v>16</v>
      </c>
      <c r="B1646" s="274">
        <v>2016</v>
      </c>
      <c r="C1646" s="154">
        <v>2017</v>
      </c>
      <c r="D1646" s="154">
        <v>2018</v>
      </c>
      <c r="E1646" s="154">
        <v>2019</v>
      </c>
      <c r="F1646" s="154">
        <v>2020</v>
      </c>
      <c r="G1646" s="154">
        <v>2021</v>
      </c>
      <c r="H1646" s="154">
        <v>2022</v>
      </c>
      <c r="I1646" s="154">
        <v>2023</v>
      </c>
      <c r="J1646" s="154">
        <v>2024</v>
      </c>
      <c r="K1646" s="154">
        <v>2025</v>
      </c>
    </row>
    <row r="1647" spans="1:12" x14ac:dyDescent="0.25">
      <c r="A1647" s="10" t="s">
        <v>17</v>
      </c>
      <c r="B1647" s="12">
        <v>10</v>
      </c>
      <c r="C1647" s="12">
        <v>10</v>
      </c>
      <c r="D1647" s="12">
        <v>10</v>
      </c>
      <c r="E1647" s="12">
        <v>10</v>
      </c>
      <c r="F1647" s="12">
        <v>10</v>
      </c>
      <c r="G1647" s="12">
        <v>10</v>
      </c>
      <c r="H1647" s="12">
        <v>10</v>
      </c>
      <c r="I1647" s="12">
        <v>10</v>
      </c>
      <c r="J1647" s="12">
        <v>10</v>
      </c>
      <c r="K1647" s="12">
        <v>10</v>
      </c>
    </row>
    <row r="1648" spans="1:12" x14ac:dyDescent="0.25">
      <c r="A1648" s="10" t="s">
        <v>18</v>
      </c>
      <c r="B1648" s="12">
        <v>10</v>
      </c>
      <c r="C1648" s="12">
        <f>C1647+B1651</f>
        <v>-12</v>
      </c>
      <c r="D1648" s="12">
        <f>D1647+C1651</f>
        <v>-59</v>
      </c>
      <c r="E1648" s="12">
        <f>E1647+D1651</f>
        <v>-133</v>
      </c>
      <c r="F1648" s="12">
        <f>F1647+E1651</f>
        <v>-175.72</v>
      </c>
      <c r="G1648" s="12">
        <f>F1651+G1647</f>
        <v>-217.13</v>
      </c>
      <c r="H1648" s="12">
        <f xml:space="preserve"> 1.25*G1651+H1647</f>
        <v>-273.72499999999997</v>
      </c>
      <c r="I1648" s="12">
        <f xml:space="preserve"> 1.25*H1651+I1647</f>
        <v>-342.58124999999995</v>
      </c>
      <c r="J1648" s="12">
        <f xml:space="preserve"> 1.25*I1651+J1647</f>
        <v>-430.47656249999994</v>
      </c>
      <c r="K1648" s="12">
        <f xml:space="preserve"> 1.25*J1651+K1647</f>
        <v>-541.38320312499991</v>
      </c>
    </row>
    <row r="1649" spans="1:11" x14ac:dyDescent="0.25">
      <c r="A1649" s="10" t="s">
        <v>19</v>
      </c>
      <c r="B1649" s="156"/>
      <c r="C1649" s="156" t="s">
        <v>399</v>
      </c>
      <c r="D1649" s="156" t="s">
        <v>400</v>
      </c>
      <c r="E1649" s="156" t="s">
        <v>401</v>
      </c>
      <c r="F1649" s="156" t="s">
        <v>402</v>
      </c>
      <c r="G1649" s="156" t="s">
        <v>566</v>
      </c>
      <c r="H1649" s="156" t="s">
        <v>604</v>
      </c>
      <c r="I1649" s="156" t="s">
        <v>625</v>
      </c>
      <c r="J1649" s="156" t="s">
        <v>784</v>
      </c>
      <c r="K1649" s="156" t="s">
        <v>999</v>
      </c>
    </row>
    <row r="1650" spans="1:11" x14ac:dyDescent="0.25">
      <c r="A1650" s="10" t="s">
        <v>20</v>
      </c>
      <c r="B1650" s="156">
        <v>32</v>
      </c>
      <c r="C1650" s="156">
        <v>57</v>
      </c>
      <c r="D1650" s="156">
        <v>84</v>
      </c>
      <c r="E1650" s="156">
        <v>52.72</v>
      </c>
      <c r="F1650" s="156">
        <v>51.41</v>
      </c>
      <c r="G1650" s="156">
        <v>9.85</v>
      </c>
      <c r="H1650" s="156">
        <v>8.34</v>
      </c>
      <c r="I1650" s="156">
        <v>9.8000000000000007</v>
      </c>
      <c r="J1650" s="182">
        <v>10.63</v>
      </c>
      <c r="K1650" s="156"/>
    </row>
    <row r="1651" spans="1:11" x14ac:dyDescent="0.25">
      <c r="A1651" s="10" t="s">
        <v>21</v>
      </c>
      <c r="B1651" s="12">
        <f t="shared" ref="B1651:J1651" si="72">B1648-B1650</f>
        <v>-22</v>
      </c>
      <c r="C1651" s="12">
        <f t="shared" si="72"/>
        <v>-69</v>
      </c>
      <c r="D1651" s="12">
        <f t="shared" si="72"/>
        <v>-143</v>
      </c>
      <c r="E1651" s="12">
        <f t="shared" si="72"/>
        <v>-185.72</v>
      </c>
      <c r="F1651" s="12">
        <f t="shared" si="72"/>
        <v>-227.13</v>
      </c>
      <c r="G1651" s="12">
        <f t="shared" si="72"/>
        <v>-226.98</v>
      </c>
      <c r="H1651" s="12">
        <f t="shared" si="72"/>
        <v>-282.06499999999994</v>
      </c>
      <c r="I1651" s="12">
        <f t="shared" si="72"/>
        <v>-352.38124999999997</v>
      </c>
      <c r="J1651" s="26">
        <f t="shared" si="72"/>
        <v>-441.10656249999994</v>
      </c>
      <c r="K1651" s="12"/>
    </row>
    <row r="1652" spans="1:11" x14ac:dyDescent="0.25">
      <c r="A1652" s="16" t="s">
        <v>22</v>
      </c>
      <c r="B1652" s="456">
        <v>2017</v>
      </c>
      <c r="C1652" s="456">
        <v>2018</v>
      </c>
      <c r="D1652" s="456">
        <v>2019</v>
      </c>
      <c r="E1652" s="456">
        <v>2020</v>
      </c>
      <c r="F1652" s="456">
        <v>2021</v>
      </c>
      <c r="G1652" s="456">
        <v>2022</v>
      </c>
      <c r="H1652" s="456">
        <v>2023</v>
      </c>
      <c r="I1652" s="456">
        <v>2023</v>
      </c>
      <c r="J1652" s="456">
        <v>2025</v>
      </c>
      <c r="K1652" s="456">
        <v>2026</v>
      </c>
    </row>
    <row r="1653" spans="1:11" x14ac:dyDescent="0.25">
      <c r="A1653" s="16" t="s">
        <v>179</v>
      </c>
      <c r="B1653" s="46"/>
      <c r="C1653" s="46"/>
      <c r="D1653" s="46"/>
      <c r="E1653" s="46"/>
      <c r="F1653" s="46"/>
      <c r="G1653" s="46"/>
      <c r="H1653" s="46"/>
      <c r="I1653" s="46"/>
      <c r="J1653" s="47"/>
    </row>
    <row r="1654" spans="1:11" x14ac:dyDescent="0.25">
      <c r="A1654" s="56" t="s">
        <v>403</v>
      </c>
      <c r="J1654" s="64"/>
    </row>
    <row r="1655" spans="1:11" x14ac:dyDescent="0.25">
      <c r="A1655" s="56" t="s">
        <v>404</v>
      </c>
      <c r="J1655" s="64"/>
    </row>
    <row r="1656" spans="1:11" x14ac:dyDescent="0.25">
      <c r="A1656" s="56" t="s">
        <v>405</v>
      </c>
      <c r="J1656" s="64"/>
    </row>
    <row r="1657" spans="1:11" x14ac:dyDescent="0.25">
      <c r="A1657" s="56" t="s">
        <v>565</v>
      </c>
      <c r="C1657" s="348"/>
      <c r="J1657" s="64"/>
    </row>
    <row r="1658" spans="1:11" x14ac:dyDescent="0.25">
      <c r="A1658" s="56" t="s">
        <v>567</v>
      </c>
      <c r="C1658" s="348"/>
      <c r="J1658" s="64"/>
    </row>
    <row r="1659" spans="1:11" x14ac:dyDescent="0.25">
      <c r="A1659" s="56" t="s">
        <v>895</v>
      </c>
      <c r="C1659" s="348"/>
      <c r="J1659" s="64"/>
    </row>
    <row r="1660" spans="1:11" x14ac:dyDescent="0.25">
      <c r="A1660" s="56" t="s">
        <v>896</v>
      </c>
      <c r="C1660" s="348"/>
      <c r="J1660" s="64"/>
    </row>
    <row r="1661" spans="1:11" x14ac:dyDescent="0.25">
      <c r="A1661" s="49" t="s">
        <v>1026</v>
      </c>
      <c r="C1661" s="348"/>
    </row>
    <row r="1662" spans="1:11" s="34" customFormat="1" x14ac:dyDescent="0.25">
      <c r="A1662" s="58" t="s">
        <v>1130</v>
      </c>
      <c r="C1662" s="313"/>
    </row>
    <row r="1663" spans="1:11" x14ac:dyDescent="0.25">
      <c r="A1663" s="49"/>
      <c r="C1663" s="348"/>
    </row>
    <row r="1665" spans="1:10" x14ac:dyDescent="0.25">
      <c r="A1665" s="6" t="s">
        <v>14</v>
      </c>
      <c r="B1665" s="7" t="s">
        <v>1052</v>
      </c>
      <c r="C1665" s="7" t="s">
        <v>152</v>
      </c>
    </row>
    <row r="1666" spans="1:10" x14ac:dyDescent="0.25">
      <c r="A1666" s="41" t="s">
        <v>16</v>
      </c>
      <c r="B1666" s="274">
        <v>2023</v>
      </c>
      <c r="C1666" s="154">
        <v>2024</v>
      </c>
    </row>
    <row r="1667" spans="1:10" x14ac:dyDescent="0.25">
      <c r="A1667" s="10" t="s">
        <v>1053</v>
      </c>
      <c r="B1667" s="12">
        <v>256</v>
      </c>
      <c r="C1667" s="12">
        <v>256</v>
      </c>
    </row>
    <row r="1668" spans="1:10" x14ac:dyDescent="0.25">
      <c r="A1668" s="10" t="s">
        <v>1054</v>
      </c>
      <c r="B1668" s="12"/>
      <c r="C1668" s="12">
        <f>C1667+B1671</f>
        <v>-10</v>
      </c>
    </row>
    <row r="1669" spans="1:10" x14ac:dyDescent="0.25">
      <c r="A1669" s="10" t="s">
        <v>19</v>
      </c>
      <c r="B1669" s="156"/>
      <c r="C1669" s="156" t="s">
        <v>399</v>
      </c>
    </row>
    <row r="1670" spans="1:10" x14ac:dyDescent="0.25">
      <c r="A1670" s="10" t="s">
        <v>20</v>
      </c>
      <c r="B1670" s="156">
        <v>522</v>
      </c>
      <c r="C1670" s="156">
        <v>250.88</v>
      </c>
    </row>
    <row r="1671" spans="1:10" x14ac:dyDescent="0.25">
      <c r="A1671" s="10" t="s">
        <v>21</v>
      </c>
      <c r="B1671" s="12">
        <f>B1667-B1670</f>
        <v>-266</v>
      </c>
      <c r="C1671" s="12">
        <f>C1668-C1670</f>
        <v>-260.88</v>
      </c>
    </row>
    <row r="1672" spans="1:10" x14ac:dyDescent="0.25">
      <c r="A1672" s="16" t="s">
        <v>22</v>
      </c>
      <c r="B1672" s="456">
        <v>2024</v>
      </c>
      <c r="C1672" s="456">
        <v>2025</v>
      </c>
    </row>
    <row r="1673" spans="1:10" x14ac:dyDescent="0.25">
      <c r="A1673" s="16" t="s">
        <v>1056</v>
      </c>
      <c r="B1673" s="46"/>
      <c r="C1673" s="47"/>
    </row>
    <row r="1674" spans="1:10" x14ac:dyDescent="0.25">
      <c r="A1674" s="312" t="s">
        <v>1055</v>
      </c>
      <c r="B1674" s="34"/>
      <c r="C1674" s="48"/>
    </row>
    <row r="1675" spans="1:10" x14ac:dyDescent="0.25">
      <c r="A1675" s="49"/>
      <c r="C1675" s="348"/>
    </row>
    <row r="1677" spans="1:10" x14ac:dyDescent="0.25">
      <c r="A1677" s="98" t="s">
        <v>12</v>
      </c>
      <c r="B1677" s="66" t="s">
        <v>261</v>
      </c>
      <c r="C1677" s="8"/>
      <c r="D1677" s="8"/>
      <c r="E1677" s="8"/>
      <c r="F1677" s="8"/>
      <c r="G1677" s="8"/>
    </row>
    <row r="1678" spans="1:10" x14ac:dyDescent="0.25">
      <c r="A1678" s="103" t="s">
        <v>14</v>
      </c>
      <c r="B1678" s="104" t="s">
        <v>642</v>
      </c>
      <c r="C1678" s="66" t="s">
        <v>15</v>
      </c>
      <c r="D1678" s="8"/>
    </row>
    <row r="1679" spans="1:10" ht="14.4" x14ac:dyDescent="0.25">
      <c r="A1679" s="95" t="s">
        <v>16</v>
      </c>
      <c r="B1679" s="247"/>
      <c r="C1679" s="69"/>
      <c r="D1679" s="340">
        <v>2019</v>
      </c>
      <c r="E1679" s="263" t="s">
        <v>1115</v>
      </c>
      <c r="F1679" s="340" t="s">
        <v>1116</v>
      </c>
      <c r="G1679" s="263" t="s">
        <v>1117</v>
      </c>
      <c r="H1679" s="263" t="s">
        <v>1118</v>
      </c>
      <c r="I1679" s="483" t="s">
        <v>1200</v>
      </c>
      <c r="J1679" s="483" t="s">
        <v>1240</v>
      </c>
    </row>
    <row r="1680" spans="1:10" x14ac:dyDescent="0.25">
      <c r="A1680" s="68" t="s">
        <v>17</v>
      </c>
      <c r="B1680" s="69"/>
      <c r="C1680" s="69"/>
      <c r="D1680" s="71">
        <v>239</v>
      </c>
      <c r="E1680" s="72">
        <v>300</v>
      </c>
      <c r="F1680" s="71">
        <v>300</v>
      </c>
      <c r="G1680" s="72">
        <v>300</v>
      </c>
      <c r="H1680" s="72">
        <v>368</v>
      </c>
      <c r="I1680" s="484">
        <v>368</v>
      </c>
      <c r="J1680" s="484">
        <v>368</v>
      </c>
    </row>
    <row r="1681" spans="1:10" x14ac:dyDescent="0.25">
      <c r="A1681" s="68" t="s">
        <v>18</v>
      </c>
      <c r="B1681" s="69"/>
      <c r="C1681" s="69"/>
      <c r="D1681" s="71">
        <v>239</v>
      </c>
      <c r="E1681" s="72">
        <f>E1680+0.05*D1680</f>
        <v>311.95</v>
      </c>
      <c r="F1681" s="71">
        <f>F1680+0.05*E1680</f>
        <v>315</v>
      </c>
      <c r="G1681" s="72">
        <f>G1680+0.05*F1680</f>
        <v>315</v>
      </c>
      <c r="H1681" s="72">
        <f>H1680+0.05*G1680</f>
        <v>383</v>
      </c>
      <c r="I1681" s="484">
        <v>386.4</v>
      </c>
      <c r="J1681" s="484">
        <v>386.4</v>
      </c>
    </row>
    <row r="1682" spans="1:10" x14ac:dyDescent="0.25">
      <c r="A1682" s="68" t="s">
        <v>19</v>
      </c>
      <c r="B1682" s="434"/>
      <c r="C1682" s="253"/>
      <c r="D1682" s="68" t="s">
        <v>262</v>
      </c>
      <c r="E1682" s="69"/>
      <c r="F1682" s="136"/>
      <c r="G1682" s="69"/>
      <c r="H1682" s="69"/>
      <c r="I1682" s="485" t="s">
        <v>262</v>
      </c>
      <c r="J1682" s="485" t="s">
        <v>262</v>
      </c>
    </row>
    <row r="1683" spans="1:10" x14ac:dyDescent="0.25">
      <c r="A1683" s="68" t="s">
        <v>20</v>
      </c>
      <c r="B1683" s="69"/>
      <c r="C1683" s="69"/>
      <c r="D1683" s="136">
        <v>49.3</v>
      </c>
      <c r="E1683" s="69">
        <v>194.39</v>
      </c>
      <c r="F1683" s="136">
        <v>157.68</v>
      </c>
      <c r="G1683" s="69">
        <v>123.17</v>
      </c>
      <c r="H1683" s="69">
        <v>117.44</v>
      </c>
      <c r="I1683" s="485">
        <v>152.57</v>
      </c>
      <c r="J1683" s="485"/>
    </row>
    <row r="1684" spans="1:10" x14ac:dyDescent="0.25">
      <c r="A1684" s="68" t="s">
        <v>21</v>
      </c>
      <c r="B1684" s="69"/>
      <c r="C1684" s="69"/>
      <c r="D1684" s="136">
        <f t="shared" ref="D1684:H1684" si="73">D1681-D1683</f>
        <v>189.7</v>
      </c>
      <c r="E1684" s="69">
        <f t="shared" si="73"/>
        <v>117.56</v>
      </c>
      <c r="F1684" s="136">
        <f t="shared" si="73"/>
        <v>157.32</v>
      </c>
      <c r="G1684" s="69">
        <f t="shared" si="73"/>
        <v>191.82999999999998</v>
      </c>
      <c r="H1684" s="69">
        <f t="shared" si="73"/>
        <v>265.56</v>
      </c>
      <c r="I1684" s="72">
        <f>I1681-I1683</f>
        <v>233.82999999999998</v>
      </c>
      <c r="J1684" s="69"/>
    </row>
    <row r="1685" spans="1:10" x14ac:dyDescent="0.25">
      <c r="A1685" s="73" t="s">
        <v>22</v>
      </c>
      <c r="B1685" s="74"/>
      <c r="C1685" s="74"/>
      <c r="D1685" s="75">
        <v>2020</v>
      </c>
      <c r="E1685" s="69">
        <v>2021</v>
      </c>
      <c r="F1685" s="75">
        <v>2022</v>
      </c>
      <c r="G1685" s="69">
        <v>2023</v>
      </c>
      <c r="H1685" s="117">
        <v>2024</v>
      </c>
      <c r="I1685" s="485">
        <v>2025</v>
      </c>
      <c r="J1685" s="485">
        <v>2026</v>
      </c>
    </row>
    <row r="1686" spans="1:10" x14ac:dyDescent="0.25">
      <c r="A1686" s="644" t="s">
        <v>23</v>
      </c>
      <c r="B1686" s="645"/>
      <c r="C1686" s="645"/>
      <c r="D1686" s="645"/>
      <c r="E1686" s="645"/>
      <c r="F1686" s="645"/>
      <c r="G1686" s="645"/>
      <c r="H1686" s="645"/>
      <c r="I1686" s="63"/>
      <c r="J1686" s="63"/>
    </row>
    <row r="1687" spans="1:10" ht="39.6" customHeight="1" x14ac:dyDescent="0.25">
      <c r="A1687" s="694" t="s">
        <v>1045</v>
      </c>
      <c r="B1687" s="695"/>
      <c r="C1687" s="695"/>
      <c r="D1687" s="695"/>
      <c r="E1687" s="695"/>
      <c r="F1687" s="695"/>
      <c r="G1687" s="695"/>
      <c r="H1687" s="695"/>
      <c r="I1687" s="19"/>
      <c r="J1687" s="63"/>
    </row>
    <row r="1688" spans="1:10" ht="49.2" customHeight="1" x14ac:dyDescent="0.25">
      <c r="A1688" s="682" t="s">
        <v>1046</v>
      </c>
      <c r="B1688" s="683"/>
      <c r="C1688" s="683"/>
      <c r="D1688" s="683"/>
      <c r="E1688" s="683"/>
      <c r="F1688" s="683"/>
      <c r="G1688" s="683"/>
      <c r="H1688" s="683"/>
      <c r="J1688" s="64"/>
    </row>
    <row r="1689" spans="1:10" ht="49.2" customHeight="1" x14ac:dyDescent="0.25">
      <c r="A1689" s="682" t="s">
        <v>1047</v>
      </c>
      <c r="B1689" s="683"/>
      <c r="C1689" s="683"/>
      <c r="D1689" s="683"/>
      <c r="E1689" s="683"/>
      <c r="F1689" s="683"/>
      <c r="G1689" s="683"/>
      <c r="H1689" s="683"/>
      <c r="J1689" s="64"/>
    </row>
    <row r="1690" spans="1:10" ht="49.2" customHeight="1" x14ac:dyDescent="0.25">
      <c r="A1690" s="682" t="s">
        <v>1048</v>
      </c>
      <c r="B1690" s="683"/>
      <c r="C1690" s="683"/>
      <c r="D1690" s="683"/>
      <c r="E1690" s="683"/>
      <c r="F1690" s="683"/>
      <c r="G1690" s="683"/>
      <c r="H1690" s="683"/>
      <c r="J1690" s="64"/>
    </row>
    <row r="1691" spans="1:10" ht="48.6" customHeight="1" x14ac:dyDescent="0.25">
      <c r="A1691" s="702" t="s">
        <v>1201</v>
      </c>
      <c r="B1691" s="703"/>
      <c r="C1691" s="703"/>
      <c r="D1691" s="703"/>
      <c r="E1691" s="703"/>
      <c r="F1691" s="703"/>
      <c r="G1691" s="703"/>
      <c r="H1691" s="703"/>
      <c r="I1691" s="34"/>
      <c r="J1691" s="48"/>
    </row>
    <row r="1693" spans="1:10" x14ac:dyDescent="0.25">
      <c r="A1693" s="6" t="s">
        <v>24</v>
      </c>
      <c r="B1693" s="7" t="s">
        <v>592</v>
      </c>
    </row>
    <row r="1694" spans="1:10" x14ac:dyDescent="0.25">
      <c r="A1694" s="128" t="s">
        <v>14</v>
      </c>
      <c r="B1694" s="128" t="s">
        <v>624</v>
      </c>
      <c r="C1694" s="603" t="s">
        <v>26</v>
      </c>
    </row>
    <row r="1695" spans="1:10" x14ac:dyDescent="0.25">
      <c r="A1695" s="170" t="s">
        <v>27</v>
      </c>
      <c r="B1695" s="493">
        <v>2020</v>
      </c>
      <c r="C1695" s="493">
        <v>2021</v>
      </c>
      <c r="D1695" s="493">
        <v>2022</v>
      </c>
      <c r="E1695" s="493">
        <v>2023</v>
      </c>
      <c r="F1695" s="493">
        <v>2024</v>
      </c>
      <c r="G1695" s="493">
        <v>2025</v>
      </c>
      <c r="H1695" s="493">
        <v>2026</v>
      </c>
      <c r="I1695" s="493">
        <v>2027</v>
      </c>
    </row>
    <row r="1696" spans="1:10" x14ac:dyDescent="0.25">
      <c r="A1696" s="90" t="s">
        <v>28</v>
      </c>
      <c r="B1696" s="130">
        <v>215</v>
      </c>
      <c r="C1696" s="131">
        <v>242</v>
      </c>
      <c r="D1696" s="131">
        <v>242</v>
      </c>
      <c r="E1696" s="131">
        <v>242</v>
      </c>
      <c r="F1696" s="131">
        <v>302</v>
      </c>
      <c r="G1696" s="131">
        <v>302</v>
      </c>
      <c r="H1696" s="131">
        <v>302</v>
      </c>
      <c r="I1696" s="131"/>
    </row>
    <row r="1697" spans="1:9" x14ac:dyDescent="0.25">
      <c r="A1697" s="90" t="s">
        <v>29</v>
      </c>
      <c r="B1697" s="130">
        <v>265</v>
      </c>
      <c r="C1697" s="131">
        <v>295.75</v>
      </c>
      <c r="D1697" s="131">
        <v>295.75</v>
      </c>
      <c r="E1697" s="131">
        <v>302.5</v>
      </c>
      <c r="F1697" s="130">
        <v>362.5</v>
      </c>
      <c r="G1697" s="90">
        <v>362.5</v>
      </c>
      <c r="H1697" s="130">
        <f>(F1696*0.25)+H1696</f>
        <v>377.5</v>
      </c>
      <c r="I1697" s="130"/>
    </row>
    <row r="1698" spans="1:9" x14ac:dyDescent="0.25">
      <c r="A1698" s="90" t="s">
        <v>30</v>
      </c>
      <c r="B1698" s="604"/>
      <c r="C1698" s="604"/>
      <c r="D1698" s="604"/>
      <c r="E1698" s="604"/>
      <c r="F1698" s="604"/>
      <c r="G1698" s="90"/>
      <c r="H1698" s="604" t="s">
        <v>543</v>
      </c>
      <c r="I1698" s="604"/>
    </row>
    <row r="1699" spans="1:9" x14ac:dyDescent="0.25">
      <c r="A1699" s="90" t="s">
        <v>31</v>
      </c>
      <c r="B1699" s="130">
        <v>175.922</v>
      </c>
      <c r="C1699" s="131">
        <v>182.89599999999999</v>
      </c>
      <c r="D1699" s="131">
        <v>180.67</v>
      </c>
      <c r="E1699" s="131">
        <v>170.83</v>
      </c>
      <c r="F1699" s="131">
        <v>0</v>
      </c>
      <c r="G1699" s="131"/>
      <c r="H1699" s="131"/>
      <c r="I1699" s="131"/>
    </row>
    <row r="1700" spans="1:9" x14ac:dyDescent="0.25">
      <c r="A1700" s="90" t="s">
        <v>32</v>
      </c>
      <c r="B1700" s="130">
        <f>B1697-B1699</f>
        <v>89.078000000000003</v>
      </c>
      <c r="C1700" s="130">
        <f>C1697-C1699</f>
        <v>112.85400000000001</v>
      </c>
      <c r="D1700" s="130">
        <f t="shared" ref="D1700:E1700" si="74">D1697-D1699</f>
        <v>115.08000000000001</v>
      </c>
      <c r="E1700" s="130">
        <f t="shared" si="74"/>
        <v>131.66999999999999</v>
      </c>
      <c r="F1700" s="130">
        <v>30</v>
      </c>
      <c r="G1700" s="130"/>
      <c r="H1700" s="130"/>
      <c r="I1700" s="130"/>
    </row>
    <row r="1701" spans="1:9" x14ac:dyDescent="0.25">
      <c r="A1701" s="90" t="s">
        <v>33</v>
      </c>
      <c r="B1701" s="180">
        <v>2022</v>
      </c>
      <c r="C1701" s="180">
        <v>2023</v>
      </c>
      <c r="D1701" s="180">
        <v>2024</v>
      </c>
      <c r="E1701" s="180">
        <v>2025</v>
      </c>
      <c r="F1701" s="180">
        <v>2026</v>
      </c>
      <c r="G1701" s="180"/>
      <c r="H1701" s="180"/>
      <c r="I1701" s="180"/>
    </row>
    <row r="1702" spans="1:9" x14ac:dyDescent="0.25">
      <c r="A1702" s="45" t="s">
        <v>1230</v>
      </c>
    </row>
    <row r="1703" spans="1:9" x14ac:dyDescent="0.25">
      <c r="A1703" s="151"/>
      <c r="B1703" s="24"/>
    </row>
    <row r="1704" spans="1:9" x14ac:dyDescent="0.25">
      <c r="A1704" s="151" t="s">
        <v>14</v>
      </c>
      <c r="B1704" s="24" t="s">
        <v>638</v>
      </c>
      <c r="C1704" s="473" t="s">
        <v>26</v>
      </c>
    </row>
    <row r="1705" spans="1:9" x14ac:dyDescent="0.25">
      <c r="A1705" s="170" t="s">
        <v>27</v>
      </c>
      <c r="B1705" s="154">
        <v>2020</v>
      </c>
      <c r="C1705" s="154">
        <v>2021</v>
      </c>
      <c r="D1705" s="154">
        <v>2022</v>
      </c>
      <c r="E1705" s="154">
        <v>2023</v>
      </c>
      <c r="F1705" s="154">
        <v>2024</v>
      </c>
      <c r="G1705" s="154">
        <v>2025</v>
      </c>
      <c r="H1705" s="154">
        <v>2026</v>
      </c>
    </row>
    <row r="1706" spans="1:9" x14ac:dyDescent="0.25">
      <c r="A1706" s="11" t="s">
        <v>28</v>
      </c>
      <c r="B1706" s="72">
        <v>25</v>
      </c>
      <c r="C1706" s="12">
        <v>25</v>
      </c>
      <c r="D1706" s="12">
        <v>25</v>
      </c>
      <c r="E1706" s="12">
        <v>30</v>
      </c>
      <c r="F1706" s="12">
        <v>30</v>
      </c>
      <c r="G1706" s="12">
        <v>30</v>
      </c>
      <c r="H1706" s="12">
        <v>30</v>
      </c>
    </row>
    <row r="1707" spans="1:9" x14ac:dyDescent="0.25">
      <c r="A1707" s="11" t="s">
        <v>29</v>
      </c>
      <c r="B1707" s="72"/>
      <c r="C1707" s="72">
        <v>18.66</v>
      </c>
      <c r="D1707" s="72"/>
      <c r="E1707" s="12"/>
      <c r="F1707" s="12"/>
      <c r="G1707" s="90"/>
      <c r="H1707" s="12"/>
    </row>
    <row r="1708" spans="1:9" x14ac:dyDescent="0.25">
      <c r="A1708" s="11" t="s">
        <v>30</v>
      </c>
      <c r="B1708" s="486"/>
      <c r="C1708" s="486" t="s">
        <v>543</v>
      </c>
      <c r="D1708" s="486"/>
      <c r="E1708" s="90"/>
      <c r="F1708" s="90"/>
      <c r="G1708" s="90"/>
      <c r="H1708" s="180"/>
    </row>
    <row r="1709" spans="1:9" x14ac:dyDescent="0.25">
      <c r="A1709" s="11" t="s">
        <v>31</v>
      </c>
      <c r="B1709" s="72">
        <v>31.341000000000001</v>
      </c>
      <c r="C1709" s="12">
        <v>17.22</v>
      </c>
      <c r="D1709" s="12">
        <v>12.476000000000001</v>
      </c>
      <c r="E1709" s="90">
        <v>5.2359999999999998</v>
      </c>
      <c r="F1709" s="131">
        <v>0</v>
      </c>
      <c r="G1709" s="90"/>
      <c r="H1709" s="90"/>
    </row>
    <row r="1710" spans="1:9" x14ac:dyDescent="0.25">
      <c r="A1710" s="11" t="s">
        <v>32</v>
      </c>
      <c r="B1710" s="72">
        <v>-6.3410000000000011</v>
      </c>
      <c r="C1710" s="72">
        <f>C1707-C1709</f>
        <v>1.4400000000000013</v>
      </c>
      <c r="D1710" s="72">
        <f>D1706-D1709</f>
        <v>12.523999999999999</v>
      </c>
      <c r="E1710" s="90">
        <v>24.763999999999999</v>
      </c>
      <c r="F1710" s="131">
        <v>30</v>
      </c>
      <c r="G1710" s="90"/>
      <c r="H1710" s="90"/>
    </row>
    <row r="1711" spans="1:9" x14ac:dyDescent="0.25">
      <c r="A1711" s="16" t="s">
        <v>33</v>
      </c>
      <c r="B1711" s="159">
        <v>2021</v>
      </c>
      <c r="C1711" s="159"/>
      <c r="D1711" s="159"/>
      <c r="E1711" s="90"/>
      <c r="F1711" s="90"/>
      <c r="G1711" s="90"/>
      <c r="H1711" s="90"/>
    </row>
    <row r="1712" spans="1:9" x14ac:dyDescent="0.25">
      <c r="A1712" s="18" t="s">
        <v>593</v>
      </c>
      <c r="B1712" s="439"/>
      <c r="C1712" s="439"/>
      <c r="D1712" s="439"/>
      <c r="E1712" s="439"/>
      <c r="F1712" s="439"/>
      <c r="G1712" s="19"/>
      <c r="H1712" s="63"/>
    </row>
    <row r="1713" spans="1:8" x14ac:dyDescent="0.25">
      <c r="A1713" s="45" t="s">
        <v>1231</v>
      </c>
      <c r="B1713" s="446"/>
      <c r="C1713" s="446"/>
      <c r="D1713" s="446"/>
      <c r="E1713" s="446"/>
      <c r="F1713" s="446"/>
      <c r="H1713" s="64"/>
    </row>
    <row r="1714" spans="1:8" ht="63" customHeight="1" x14ac:dyDescent="0.25">
      <c r="A1714" s="682" t="s">
        <v>716</v>
      </c>
      <c r="B1714" s="683"/>
      <c r="C1714" s="683"/>
      <c r="D1714" s="683"/>
      <c r="E1714" s="446"/>
      <c r="F1714" s="446"/>
      <c r="H1714" s="64"/>
    </row>
    <row r="1715" spans="1:8" x14ac:dyDescent="0.25">
      <c r="A1715" s="39"/>
      <c r="B1715" s="446"/>
      <c r="C1715" s="446"/>
      <c r="D1715" s="446"/>
      <c r="E1715" s="446"/>
      <c r="F1715" s="446"/>
      <c r="H1715" s="64"/>
    </row>
    <row r="1716" spans="1:8" x14ac:dyDescent="0.25">
      <c r="A1716" s="39"/>
      <c r="B1716" s="446"/>
      <c r="C1716" s="446"/>
      <c r="D1716" s="446"/>
      <c r="E1716" s="446"/>
      <c r="F1716" s="446"/>
      <c r="H1716" s="64"/>
    </row>
    <row r="1717" spans="1:8" x14ac:dyDescent="0.25">
      <c r="A1717" s="41"/>
      <c r="B1717" s="487"/>
      <c r="C1717" s="487"/>
      <c r="D1717" s="487"/>
      <c r="E1717" s="487"/>
      <c r="F1717" s="487"/>
      <c r="G1717" s="34"/>
      <c r="H1717" s="48"/>
    </row>
    <row r="1720" spans="1:8" x14ac:dyDescent="0.25">
      <c r="A1720" s="6" t="s">
        <v>12</v>
      </c>
      <c r="B1720" s="7" t="s">
        <v>374</v>
      </c>
    </row>
    <row r="1721" spans="1:8" x14ac:dyDescent="0.25">
      <c r="A1721" s="6" t="s">
        <v>14</v>
      </c>
      <c r="B1721" s="7" t="s">
        <v>66</v>
      </c>
      <c r="C1721" s="33" t="s">
        <v>15</v>
      </c>
    </row>
    <row r="1722" spans="1:8" x14ac:dyDescent="0.25">
      <c r="A1722" s="10" t="s">
        <v>16</v>
      </c>
      <c r="B1722" s="11"/>
      <c r="C1722" s="281">
        <v>2015</v>
      </c>
      <c r="D1722" s="154">
        <v>2016</v>
      </c>
      <c r="E1722" s="173">
        <v>2017</v>
      </c>
      <c r="F1722" s="173">
        <v>2018</v>
      </c>
      <c r="G1722" s="173">
        <v>2019</v>
      </c>
      <c r="H1722" s="173">
        <v>2020</v>
      </c>
    </row>
    <row r="1723" spans="1:8" x14ac:dyDescent="0.25">
      <c r="A1723" s="10" t="s">
        <v>17</v>
      </c>
      <c r="B1723" s="11"/>
      <c r="C1723" s="12">
        <v>2100</v>
      </c>
      <c r="D1723" s="488">
        <v>1575</v>
      </c>
      <c r="E1723" s="488">
        <v>1575</v>
      </c>
      <c r="F1723" s="488">
        <v>1575</v>
      </c>
      <c r="G1723" s="488">
        <v>1575</v>
      </c>
      <c r="H1723" s="488">
        <v>0</v>
      </c>
    </row>
    <row r="1724" spans="1:8" x14ac:dyDescent="0.25">
      <c r="A1724" s="10" t="s">
        <v>18</v>
      </c>
      <c r="B1724" s="11"/>
      <c r="C1724" s="174">
        <v>2100</v>
      </c>
      <c r="D1724" s="488">
        <v>1575</v>
      </c>
      <c r="E1724" s="488">
        <v>1575</v>
      </c>
      <c r="F1724" s="488">
        <v>1575</v>
      </c>
      <c r="G1724" s="488">
        <v>1575</v>
      </c>
      <c r="H1724" s="488"/>
    </row>
    <row r="1725" spans="1:8" x14ac:dyDescent="0.25">
      <c r="A1725" s="10" t="s">
        <v>19</v>
      </c>
      <c r="B1725" s="11"/>
      <c r="C1725" s="188"/>
      <c r="D1725" s="12"/>
      <c r="E1725" s="189"/>
      <c r="F1725" s="189"/>
      <c r="G1725" s="189"/>
      <c r="H1725" s="189"/>
    </row>
    <row r="1726" spans="1:8" x14ac:dyDescent="0.25">
      <c r="A1726" s="10" t="s">
        <v>20</v>
      </c>
      <c r="B1726" s="11"/>
      <c r="C1726" s="488">
        <v>0</v>
      </c>
      <c r="D1726" s="488">
        <v>0</v>
      </c>
      <c r="E1726" s="488">
        <v>0</v>
      </c>
      <c r="F1726" s="488">
        <v>0</v>
      </c>
      <c r="G1726" s="488">
        <v>0</v>
      </c>
      <c r="H1726" s="488">
        <v>0</v>
      </c>
    </row>
    <row r="1727" spans="1:8" ht="27.75" customHeight="1" x14ac:dyDescent="0.25">
      <c r="A1727" s="10" t="s">
        <v>21</v>
      </c>
      <c r="B1727" s="11"/>
      <c r="C1727" s="174">
        <v>2100</v>
      </c>
      <c r="D1727" s="488">
        <v>1575</v>
      </c>
      <c r="E1727" s="488">
        <v>1575</v>
      </c>
      <c r="F1727" s="488">
        <v>1575</v>
      </c>
      <c r="G1727" s="488">
        <v>1575</v>
      </c>
      <c r="H1727" s="488">
        <v>1575</v>
      </c>
    </row>
    <row r="1728" spans="1:8" x14ac:dyDescent="0.25">
      <c r="A1728" s="16" t="s">
        <v>22</v>
      </c>
      <c r="B1728" s="17"/>
      <c r="C1728" s="159">
        <v>2016</v>
      </c>
      <c r="D1728" s="159">
        <v>2017</v>
      </c>
      <c r="E1728" s="179">
        <v>2018</v>
      </c>
      <c r="F1728" s="179">
        <v>2019</v>
      </c>
      <c r="G1728" s="179">
        <v>2020</v>
      </c>
      <c r="H1728" s="179">
        <v>2021</v>
      </c>
    </row>
    <row r="1729" spans="1:12" x14ac:dyDescent="0.25">
      <c r="A1729" s="10" t="s">
        <v>23</v>
      </c>
      <c r="B1729" s="36"/>
      <c r="C1729" s="36"/>
      <c r="D1729" s="36"/>
      <c r="E1729" s="36"/>
      <c r="F1729" s="36"/>
      <c r="G1729" s="36"/>
      <c r="H1729" s="37"/>
    </row>
    <row r="1732" spans="1:12" ht="26.4" x14ac:dyDescent="0.25">
      <c r="A1732" s="6" t="s">
        <v>12</v>
      </c>
      <c r="B1732" s="321" t="s">
        <v>379</v>
      </c>
    </row>
    <row r="1733" spans="1:12" x14ac:dyDescent="0.25">
      <c r="A1733" s="6" t="s">
        <v>14</v>
      </c>
      <c r="B1733" s="7" t="s">
        <v>624</v>
      </c>
      <c r="C1733" s="9" t="s">
        <v>15</v>
      </c>
    </row>
    <row r="1734" spans="1:12" x14ac:dyDescent="0.25">
      <c r="A1734" s="10" t="s">
        <v>16</v>
      </c>
      <c r="B1734" s="154">
        <v>2015</v>
      </c>
      <c r="C1734" s="172">
        <v>2016</v>
      </c>
      <c r="D1734" s="154">
        <v>2017</v>
      </c>
      <c r="E1734" s="173">
        <v>2018</v>
      </c>
      <c r="F1734" s="173">
        <v>2019</v>
      </c>
      <c r="G1734" s="154">
        <v>2020</v>
      </c>
      <c r="H1734" s="154">
        <v>2021</v>
      </c>
      <c r="I1734" s="154">
        <v>2022</v>
      </c>
      <c r="J1734" s="154">
        <v>2023</v>
      </c>
      <c r="K1734" s="154">
        <v>2024</v>
      </c>
      <c r="L1734" s="154">
        <v>2025</v>
      </c>
    </row>
    <row r="1735" spans="1:12" x14ac:dyDescent="0.25">
      <c r="A1735" s="10" t="s">
        <v>17</v>
      </c>
      <c r="B1735" s="156">
        <v>200</v>
      </c>
      <c r="C1735" s="174">
        <v>200</v>
      </c>
      <c r="D1735" s="156">
        <v>200</v>
      </c>
      <c r="E1735" s="175">
        <v>200</v>
      </c>
      <c r="F1735" s="175">
        <v>215</v>
      </c>
      <c r="G1735" s="156">
        <v>215</v>
      </c>
      <c r="H1735" s="12">
        <v>242</v>
      </c>
      <c r="I1735" s="12">
        <v>242</v>
      </c>
      <c r="J1735" s="12">
        <v>242</v>
      </c>
      <c r="K1735" s="12">
        <v>302</v>
      </c>
      <c r="L1735" s="12">
        <v>302</v>
      </c>
    </row>
    <row r="1736" spans="1:12" x14ac:dyDescent="0.25">
      <c r="A1736" s="10" t="s">
        <v>18</v>
      </c>
      <c r="B1736" s="156">
        <v>303.49</v>
      </c>
      <c r="C1736" s="174">
        <f>C1735+B1739+100</f>
        <v>298.49</v>
      </c>
      <c r="D1736" s="156">
        <f>D1735+100</f>
        <v>300</v>
      </c>
      <c r="E1736" s="175">
        <f>E1735+C1739+100</f>
        <v>306.89</v>
      </c>
      <c r="F1736" s="175">
        <v>218.8</v>
      </c>
      <c r="G1736" s="175">
        <v>265</v>
      </c>
      <c r="H1736" s="12">
        <f>H1735+F1739</f>
        <v>280.35000000000002</v>
      </c>
      <c r="I1736" s="12">
        <f>I1735+G1739</f>
        <v>255.27</v>
      </c>
      <c r="J1736" s="12">
        <f>J1735+0.25*H1735</f>
        <v>302.5</v>
      </c>
      <c r="K1736" s="12">
        <f>K1735+0.25*I1735</f>
        <v>362.5</v>
      </c>
      <c r="L1736" s="12">
        <f>L1735+0.25*J1735</f>
        <v>362.5</v>
      </c>
    </row>
    <row r="1737" spans="1:12" ht="39.6" x14ac:dyDescent="0.25">
      <c r="A1737" s="10" t="s">
        <v>19</v>
      </c>
      <c r="B1737" s="176"/>
      <c r="C1737" s="176" t="s">
        <v>380</v>
      </c>
      <c r="D1737" s="176" t="s">
        <v>381</v>
      </c>
      <c r="E1737" s="176" t="s">
        <v>382</v>
      </c>
      <c r="F1737" s="176" t="s">
        <v>395</v>
      </c>
      <c r="G1737" s="176" t="s">
        <v>396</v>
      </c>
      <c r="H1737" s="184" t="s">
        <v>696</v>
      </c>
      <c r="I1737" s="184" t="s">
        <v>695</v>
      </c>
      <c r="J1737" s="184" t="s">
        <v>790</v>
      </c>
      <c r="K1737" s="184" t="s">
        <v>1064</v>
      </c>
      <c r="L1737" s="184" t="s">
        <v>1064</v>
      </c>
    </row>
    <row r="1738" spans="1:12" x14ac:dyDescent="0.25">
      <c r="A1738" s="10" t="s">
        <v>20</v>
      </c>
      <c r="B1738" s="156">
        <v>305</v>
      </c>
      <c r="C1738" s="174">
        <v>291.60000000000002</v>
      </c>
      <c r="D1738" s="156">
        <v>296.2</v>
      </c>
      <c r="E1738" s="156">
        <v>173.26</v>
      </c>
      <c r="F1738" s="175">
        <v>180.45</v>
      </c>
      <c r="G1738" s="156">
        <v>251.73</v>
      </c>
      <c r="H1738" s="12">
        <v>0</v>
      </c>
      <c r="I1738" s="12">
        <v>0.97</v>
      </c>
      <c r="J1738" s="12">
        <v>0.28000000000000003</v>
      </c>
      <c r="K1738" s="12">
        <v>0.17199999999999999</v>
      </c>
      <c r="L1738" s="12"/>
    </row>
    <row r="1739" spans="1:12" x14ac:dyDescent="0.25">
      <c r="A1739" s="10" t="s">
        <v>21</v>
      </c>
      <c r="B1739" s="156">
        <v>-1.5099999999999909</v>
      </c>
      <c r="C1739" s="156">
        <f>C1736-C1738</f>
        <v>6.8899999999999864</v>
      </c>
      <c r="D1739" s="156">
        <f>D1736-D1738</f>
        <v>3.8000000000000114</v>
      </c>
      <c r="E1739" s="156">
        <f>E1736-E1738</f>
        <v>133.63</v>
      </c>
      <c r="F1739" s="156">
        <v>38.350000000000023</v>
      </c>
      <c r="G1739" s="156">
        <f>G1736-G1738</f>
        <v>13.27000000000001</v>
      </c>
      <c r="H1739" s="12">
        <f>H1736-H1738</f>
        <v>280.35000000000002</v>
      </c>
      <c r="I1739" s="12">
        <f>I1736-I1738</f>
        <v>254.3</v>
      </c>
      <c r="J1739" s="12">
        <f>J1736-J1738</f>
        <v>302.22000000000003</v>
      </c>
      <c r="K1739" s="12">
        <f>K1736-K1738</f>
        <v>362.32799999999997</v>
      </c>
      <c r="L1739" s="12"/>
    </row>
    <row r="1740" spans="1:12" x14ac:dyDescent="0.25">
      <c r="A1740" s="16" t="s">
        <v>22</v>
      </c>
      <c r="B1740" s="159">
        <v>2016</v>
      </c>
      <c r="C1740" s="178">
        <v>2018</v>
      </c>
      <c r="D1740" s="159">
        <v>2019</v>
      </c>
      <c r="E1740" s="179">
        <v>2020</v>
      </c>
      <c r="F1740" s="179">
        <v>2021</v>
      </c>
      <c r="G1740" s="159">
        <v>2022</v>
      </c>
      <c r="H1740" s="159">
        <v>2023</v>
      </c>
      <c r="I1740" s="159">
        <v>2024</v>
      </c>
      <c r="J1740" s="159">
        <v>2025</v>
      </c>
      <c r="K1740" s="159">
        <v>2026</v>
      </c>
      <c r="L1740" s="159">
        <v>2026</v>
      </c>
    </row>
    <row r="1741" spans="1:12" x14ac:dyDescent="0.25">
      <c r="A1741" s="16" t="s">
        <v>23</v>
      </c>
      <c r="B1741" s="46"/>
      <c r="C1741" s="46"/>
      <c r="D1741" s="46"/>
      <c r="E1741" s="46"/>
      <c r="F1741" s="46"/>
      <c r="G1741" s="46"/>
      <c r="H1741" s="47"/>
      <c r="I1741" s="47"/>
      <c r="J1741" s="47"/>
      <c r="K1741" s="47"/>
      <c r="L1741" s="47"/>
    </row>
    <row r="1742" spans="1:12" x14ac:dyDescent="0.25">
      <c r="A1742" s="39" t="s">
        <v>383</v>
      </c>
      <c r="H1742" s="64"/>
      <c r="I1742" s="64"/>
      <c r="J1742" s="64"/>
      <c r="K1742" s="64"/>
      <c r="L1742" s="64"/>
    </row>
    <row r="1743" spans="1:12" ht="13.2" customHeight="1" x14ac:dyDescent="0.25">
      <c r="A1743" s="702" t="s">
        <v>397</v>
      </c>
      <c r="B1743" s="703"/>
      <c r="C1743" s="703"/>
      <c r="D1743" s="703"/>
      <c r="E1743" s="703"/>
      <c r="F1743" s="703"/>
      <c r="G1743" s="703"/>
      <c r="H1743" s="48"/>
      <c r="I1743" s="48"/>
      <c r="J1743" s="48"/>
      <c r="K1743" s="48"/>
      <c r="L1743" s="48"/>
    </row>
    <row r="1744" spans="1:12" ht="13.2" customHeight="1" x14ac:dyDescent="0.25">
      <c r="A1744" s="32"/>
      <c r="B1744" s="32"/>
      <c r="C1744" s="32"/>
      <c r="D1744" s="32"/>
      <c r="E1744" s="32"/>
      <c r="F1744" s="32"/>
      <c r="G1744" s="32"/>
    </row>
    <row r="1745" spans="1:11" x14ac:dyDescent="0.25">
      <c r="A1745" s="6" t="s">
        <v>14</v>
      </c>
      <c r="B1745" s="7" t="s">
        <v>638</v>
      </c>
      <c r="C1745" s="9" t="s">
        <v>15</v>
      </c>
    </row>
    <row r="1746" spans="1:11" x14ac:dyDescent="0.25">
      <c r="A1746" s="10" t="s">
        <v>16</v>
      </c>
      <c r="B1746" s="154">
        <v>2022</v>
      </c>
      <c r="C1746" s="172">
        <v>2023</v>
      </c>
      <c r="D1746" s="154">
        <v>2024</v>
      </c>
      <c r="E1746" s="154">
        <v>2025</v>
      </c>
    </row>
    <row r="1747" spans="1:11" x14ac:dyDescent="0.25">
      <c r="A1747" s="10" t="s">
        <v>17</v>
      </c>
      <c r="B1747" s="156">
        <v>140</v>
      </c>
      <c r="C1747" s="174">
        <v>170</v>
      </c>
      <c r="D1747" s="175">
        <v>170</v>
      </c>
      <c r="E1747" s="175">
        <v>170</v>
      </c>
    </row>
    <row r="1748" spans="1:11" x14ac:dyDescent="0.25">
      <c r="A1748" s="10" t="s">
        <v>18</v>
      </c>
      <c r="B1748" s="156">
        <f>B1747+0.25*140</f>
        <v>175</v>
      </c>
      <c r="C1748" s="156">
        <f>C1747+0.25*140</f>
        <v>205</v>
      </c>
      <c r="D1748" s="156">
        <f>D1747+2.08</f>
        <v>172.08</v>
      </c>
      <c r="E1748" s="156">
        <f>E1747+0.25*C1747</f>
        <v>212.5</v>
      </c>
    </row>
    <row r="1749" spans="1:11" x14ac:dyDescent="0.25">
      <c r="A1749" s="10" t="s">
        <v>19</v>
      </c>
      <c r="B1749" s="176" t="s">
        <v>887</v>
      </c>
      <c r="C1749" s="176" t="s">
        <v>888</v>
      </c>
      <c r="D1749" s="176" t="s">
        <v>928</v>
      </c>
      <c r="E1749" s="176" t="s">
        <v>1065</v>
      </c>
    </row>
    <row r="1750" spans="1:11" x14ac:dyDescent="0.25">
      <c r="A1750" s="10" t="s">
        <v>20</v>
      </c>
      <c r="B1750" s="156">
        <v>21.678999999999998</v>
      </c>
      <c r="C1750" s="174">
        <v>0</v>
      </c>
      <c r="D1750" s="156">
        <v>0</v>
      </c>
      <c r="E1750" s="156"/>
    </row>
    <row r="1751" spans="1:11" x14ac:dyDescent="0.25">
      <c r="A1751" s="10" t="s">
        <v>21</v>
      </c>
      <c r="B1751" s="156">
        <f>B1748-B1750</f>
        <v>153.321</v>
      </c>
      <c r="C1751" s="156">
        <f>C1748-C1750</f>
        <v>205</v>
      </c>
      <c r="D1751" s="156">
        <f>D1748-D1750</f>
        <v>172.08</v>
      </c>
      <c r="E1751" s="156"/>
    </row>
    <row r="1752" spans="1:11" x14ac:dyDescent="0.25">
      <c r="A1752" s="16" t="s">
        <v>22</v>
      </c>
      <c r="B1752" s="159">
        <v>2024</v>
      </c>
      <c r="C1752" s="178">
        <v>2025</v>
      </c>
      <c r="D1752" s="159">
        <v>2026</v>
      </c>
      <c r="E1752" s="159">
        <v>2027</v>
      </c>
    </row>
    <row r="1753" spans="1:11" x14ac:dyDescent="0.25">
      <c r="A1753" s="16" t="s">
        <v>23</v>
      </c>
      <c r="B1753" s="46"/>
      <c r="C1753" s="46"/>
      <c r="D1753" s="47"/>
      <c r="E1753" s="47"/>
    </row>
    <row r="1754" spans="1:11" x14ac:dyDescent="0.25">
      <c r="A1754" s="39" t="s">
        <v>383</v>
      </c>
      <c r="D1754" s="64"/>
      <c r="E1754" s="64"/>
    </row>
    <row r="1755" spans="1:11" ht="13.2" customHeight="1" x14ac:dyDescent="0.25">
      <c r="A1755" s="41" t="s">
        <v>927</v>
      </c>
      <c r="B1755" s="337"/>
      <c r="C1755" s="337"/>
      <c r="D1755" s="338"/>
      <c r="E1755" s="338"/>
    </row>
    <row r="1756" spans="1:11" ht="13.2" customHeight="1" x14ac:dyDescent="0.25">
      <c r="B1756" s="4"/>
      <c r="C1756" s="4"/>
      <c r="D1756" s="4"/>
      <c r="E1756" s="4"/>
    </row>
    <row r="1757" spans="1:11" x14ac:dyDescent="0.25">
      <c r="A1757" s="6" t="s">
        <v>14</v>
      </c>
      <c r="B1757" s="7" t="s">
        <v>79</v>
      </c>
      <c r="C1757" s="7" t="s">
        <v>152</v>
      </c>
    </row>
    <row r="1758" spans="1:11" x14ac:dyDescent="0.25">
      <c r="A1758" s="41" t="s">
        <v>16</v>
      </c>
      <c r="B1758" s="274">
        <v>2016</v>
      </c>
      <c r="C1758" s="154">
        <v>2017</v>
      </c>
      <c r="D1758" s="154">
        <v>2018</v>
      </c>
      <c r="E1758" s="154">
        <v>2019</v>
      </c>
      <c r="F1758" s="154">
        <v>2020</v>
      </c>
      <c r="G1758" s="154">
        <v>2021</v>
      </c>
      <c r="H1758" s="154">
        <v>2022</v>
      </c>
      <c r="I1758" s="154">
        <v>2023</v>
      </c>
      <c r="J1758" s="154">
        <v>2024</v>
      </c>
      <c r="K1758" s="154">
        <v>2025</v>
      </c>
    </row>
    <row r="1759" spans="1:11" x14ac:dyDescent="0.25">
      <c r="A1759" s="10" t="s">
        <v>17</v>
      </c>
      <c r="B1759" s="12">
        <v>2</v>
      </c>
      <c r="C1759" s="12">
        <v>2</v>
      </c>
      <c r="D1759" s="12">
        <v>2</v>
      </c>
      <c r="E1759" s="12">
        <v>2</v>
      </c>
      <c r="F1759" s="12">
        <v>2</v>
      </c>
      <c r="G1759" s="12">
        <v>2</v>
      </c>
      <c r="H1759" s="12">
        <v>2</v>
      </c>
      <c r="I1759" s="12">
        <v>2</v>
      </c>
      <c r="J1759" s="12">
        <v>2</v>
      </c>
      <c r="K1759" s="12">
        <v>2</v>
      </c>
    </row>
    <row r="1760" spans="1:11" x14ac:dyDescent="0.25">
      <c r="A1760" s="10" t="s">
        <v>18</v>
      </c>
      <c r="B1760" s="12"/>
      <c r="C1760" s="12">
        <f>C1759+B1763</f>
        <v>-1.5599999999999996</v>
      </c>
      <c r="D1760" s="12">
        <f>D1759+C1763</f>
        <v>-7.0599999999999987</v>
      </c>
      <c r="E1760" s="12">
        <f>E1759+D1763</f>
        <v>-11.759999999999998</v>
      </c>
      <c r="F1760" s="12">
        <f>F1759+E1763</f>
        <v>-14.86</v>
      </c>
      <c r="G1760" s="12">
        <f>G1759+F1763</f>
        <v>-21.86</v>
      </c>
      <c r="H1760" s="12">
        <f>H1759+1.25*G1763</f>
        <v>-27.325000000000003</v>
      </c>
      <c r="I1760" s="12">
        <f>I1759+1.25*H1763</f>
        <v>-34.03125</v>
      </c>
      <c r="J1760" s="12">
        <f>J1759+1.25*I1763</f>
        <v>-46.0390625</v>
      </c>
      <c r="K1760" s="12">
        <f>K1759+1.25*J1763</f>
        <v>-61.650120625</v>
      </c>
    </row>
    <row r="1761" spans="1:11" x14ac:dyDescent="0.25">
      <c r="A1761" s="10" t="s">
        <v>19</v>
      </c>
      <c r="B1761" s="156"/>
      <c r="C1761" s="156" t="s">
        <v>399</v>
      </c>
      <c r="D1761" s="156" t="s">
        <v>400</v>
      </c>
      <c r="E1761" s="156" t="s">
        <v>401</v>
      </c>
      <c r="F1761" s="156" t="s">
        <v>402</v>
      </c>
      <c r="G1761" s="156" t="s">
        <v>566</v>
      </c>
      <c r="H1761" s="156" t="s">
        <v>604</v>
      </c>
      <c r="I1761" s="156" t="s">
        <v>625</v>
      </c>
      <c r="J1761" s="156" t="s">
        <v>784</v>
      </c>
      <c r="K1761" s="156" t="s">
        <v>999</v>
      </c>
    </row>
    <row r="1762" spans="1:11" x14ac:dyDescent="0.25">
      <c r="A1762" s="10" t="s">
        <v>20</v>
      </c>
      <c r="B1762" s="156">
        <v>5.56</v>
      </c>
      <c r="C1762" s="156">
        <v>7.5</v>
      </c>
      <c r="D1762" s="156">
        <v>6.7</v>
      </c>
      <c r="E1762" s="156">
        <v>5.0999999999999996</v>
      </c>
      <c r="F1762" s="156">
        <v>9</v>
      </c>
      <c r="G1762" s="156">
        <v>1.6</v>
      </c>
      <c r="H1762" s="156">
        <v>1.5</v>
      </c>
      <c r="I1762" s="12">
        <v>4.4000000000000004</v>
      </c>
      <c r="J1762" s="156">
        <v>4.8810339999999997</v>
      </c>
      <c r="K1762" s="156"/>
    </row>
    <row r="1763" spans="1:11" x14ac:dyDescent="0.25">
      <c r="A1763" s="10" t="s">
        <v>21</v>
      </c>
      <c r="B1763" s="12">
        <f>B1759-B1762</f>
        <v>-3.5599999999999996</v>
      </c>
      <c r="C1763" s="12">
        <f t="shared" ref="C1763:J1763" si="75">C1760-C1762</f>
        <v>-9.0599999999999987</v>
      </c>
      <c r="D1763" s="12">
        <f t="shared" si="75"/>
        <v>-13.759999999999998</v>
      </c>
      <c r="E1763" s="12">
        <f t="shared" si="75"/>
        <v>-16.86</v>
      </c>
      <c r="F1763" s="12">
        <f t="shared" si="75"/>
        <v>-23.86</v>
      </c>
      <c r="G1763" s="12">
        <f t="shared" si="75"/>
        <v>-23.46</v>
      </c>
      <c r="H1763" s="12">
        <f t="shared" si="75"/>
        <v>-28.825000000000003</v>
      </c>
      <c r="I1763" s="12">
        <f t="shared" si="75"/>
        <v>-38.431249999999999</v>
      </c>
      <c r="J1763" s="12">
        <f t="shared" si="75"/>
        <v>-50.9200965</v>
      </c>
      <c r="K1763" s="12"/>
    </row>
    <row r="1764" spans="1:11" x14ac:dyDescent="0.25">
      <c r="A1764" s="16" t="s">
        <v>22</v>
      </c>
      <c r="B1764" s="456">
        <v>2017</v>
      </c>
      <c r="C1764" s="456">
        <v>2018</v>
      </c>
      <c r="D1764" s="456">
        <v>2019</v>
      </c>
      <c r="E1764" s="456">
        <v>2020</v>
      </c>
      <c r="F1764" s="456">
        <v>2021</v>
      </c>
      <c r="G1764" s="456">
        <v>2022</v>
      </c>
      <c r="H1764" s="456">
        <v>2023</v>
      </c>
      <c r="I1764" s="456">
        <v>2024</v>
      </c>
      <c r="J1764" s="456">
        <v>2025</v>
      </c>
      <c r="K1764" s="479">
        <v>2026</v>
      </c>
    </row>
    <row r="1765" spans="1:11" x14ac:dyDescent="0.25">
      <c r="A1765" s="29" t="s">
        <v>179</v>
      </c>
      <c r="B1765" s="30"/>
      <c r="C1765" s="30"/>
      <c r="D1765" s="30"/>
      <c r="E1765" s="30"/>
      <c r="F1765" s="30"/>
      <c r="G1765" s="30"/>
      <c r="H1765" s="30"/>
      <c r="I1765" s="30"/>
      <c r="J1765" s="30"/>
      <c r="K1765" s="88"/>
    </row>
    <row r="1766" spans="1:11" x14ac:dyDescent="0.25">
      <c r="A1766" s="472" t="s">
        <v>1093</v>
      </c>
      <c r="B1766" s="19"/>
      <c r="C1766" s="19"/>
      <c r="D1766" s="19"/>
      <c r="E1766" s="19"/>
      <c r="F1766" s="489"/>
      <c r="G1766" s="19"/>
      <c r="H1766" s="19"/>
      <c r="I1766" s="19"/>
      <c r="J1766" s="19"/>
      <c r="K1766" s="63"/>
    </row>
    <row r="1767" spans="1:11" x14ac:dyDescent="0.25">
      <c r="A1767" s="56" t="s">
        <v>1094</v>
      </c>
      <c r="K1767" s="64"/>
    </row>
    <row r="1768" spans="1:11" x14ac:dyDescent="0.25">
      <c r="A1768" s="56" t="s">
        <v>1095</v>
      </c>
      <c r="K1768" s="64"/>
    </row>
    <row r="1769" spans="1:11" x14ac:dyDescent="0.25">
      <c r="A1769" s="56" t="s">
        <v>1096</v>
      </c>
      <c r="C1769" s="348"/>
      <c r="K1769" s="64"/>
    </row>
    <row r="1770" spans="1:11" x14ac:dyDescent="0.25">
      <c r="A1770" s="56" t="s">
        <v>1097</v>
      </c>
      <c r="C1770" s="348"/>
      <c r="K1770" s="64"/>
    </row>
    <row r="1771" spans="1:11" x14ac:dyDescent="0.25">
      <c r="A1771" s="56" t="s">
        <v>895</v>
      </c>
      <c r="C1771" s="348"/>
      <c r="K1771" s="64"/>
    </row>
    <row r="1772" spans="1:11" x14ac:dyDescent="0.25">
      <c r="A1772" s="56" t="s">
        <v>896</v>
      </c>
      <c r="C1772" s="348"/>
      <c r="K1772" s="64"/>
    </row>
    <row r="1773" spans="1:11" x14ac:dyDescent="0.25">
      <c r="A1773" s="56" t="s">
        <v>1026</v>
      </c>
      <c r="C1773" s="348"/>
      <c r="K1773" s="64"/>
    </row>
    <row r="1774" spans="1:11" x14ac:dyDescent="0.25">
      <c r="A1774" s="490" t="s">
        <v>1130</v>
      </c>
      <c r="B1774" s="34"/>
      <c r="C1774" s="313"/>
      <c r="D1774" s="34"/>
      <c r="E1774" s="34"/>
      <c r="F1774" s="34"/>
      <c r="G1774" s="34"/>
      <c r="H1774" s="34"/>
      <c r="I1774" s="34"/>
      <c r="J1774" s="34"/>
      <c r="K1774" s="48"/>
    </row>
    <row r="1775" spans="1:11" ht="13.2" customHeight="1" x14ac:dyDescent="0.25">
      <c r="B1775" s="4"/>
      <c r="C1775" s="4"/>
      <c r="D1775" s="4"/>
      <c r="E1775" s="4"/>
    </row>
    <row r="1776" spans="1:11" ht="13.2" customHeight="1" x14ac:dyDescent="0.25">
      <c r="A1776" s="32"/>
      <c r="B1776" s="32"/>
      <c r="C1776" s="32"/>
      <c r="D1776" s="32"/>
      <c r="E1776" s="32"/>
      <c r="F1776" s="32"/>
      <c r="G1776" s="32"/>
    </row>
    <row r="1777" spans="1:11" x14ac:dyDescent="0.25">
      <c r="A1777" s="98" t="s">
        <v>12</v>
      </c>
      <c r="B1777" s="66" t="s">
        <v>897</v>
      </c>
      <c r="C1777" s="8"/>
      <c r="D1777" s="8"/>
      <c r="E1777" s="8"/>
      <c r="F1777" s="8"/>
      <c r="G1777" s="8"/>
    </row>
    <row r="1778" spans="1:11" x14ac:dyDescent="0.25">
      <c r="A1778" s="6" t="s">
        <v>14</v>
      </c>
      <c r="B1778" s="7" t="s">
        <v>74</v>
      </c>
      <c r="C1778" s="7" t="s">
        <v>152</v>
      </c>
    </row>
    <row r="1779" spans="1:11" x14ac:dyDescent="0.25">
      <c r="A1779" s="41" t="s">
        <v>16</v>
      </c>
      <c r="B1779" s="274">
        <v>2016</v>
      </c>
      <c r="C1779" s="154">
        <v>2017</v>
      </c>
      <c r="D1779" s="154">
        <v>2018</v>
      </c>
      <c r="E1779" s="154">
        <v>2019</v>
      </c>
      <c r="F1779" s="154">
        <v>2020</v>
      </c>
      <c r="G1779" s="154">
        <v>2021</v>
      </c>
      <c r="H1779" s="154">
        <v>2022</v>
      </c>
      <c r="I1779" s="154">
        <v>2023</v>
      </c>
      <c r="J1779" s="154">
        <v>2024</v>
      </c>
      <c r="K1779" s="154">
        <v>2025</v>
      </c>
    </row>
    <row r="1780" spans="1:11" x14ac:dyDescent="0.25">
      <c r="A1780" s="10" t="s">
        <v>17</v>
      </c>
      <c r="B1780" s="12">
        <v>45</v>
      </c>
      <c r="C1780" s="12">
        <v>45</v>
      </c>
      <c r="D1780" s="12">
        <v>45</v>
      </c>
      <c r="E1780" s="12">
        <v>45</v>
      </c>
      <c r="F1780" s="12">
        <v>37.9</v>
      </c>
      <c r="G1780" s="12">
        <v>37.9</v>
      </c>
      <c r="H1780" s="12">
        <v>37.9</v>
      </c>
      <c r="I1780" s="12">
        <v>37.9</v>
      </c>
      <c r="J1780" s="12">
        <v>37.9</v>
      </c>
      <c r="K1780" s="12">
        <v>37.9</v>
      </c>
    </row>
    <row r="1781" spans="1:11" ht="15" x14ac:dyDescent="0.25">
      <c r="A1781" s="10" t="s">
        <v>18</v>
      </c>
      <c r="B1781" s="12">
        <v>16.39</v>
      </c>
      <c r="C1781" s="12">
        <f>C1780+B1784</f>
        <v>51.59</v>
      </c>
      <c r="D1781" s="12">
        <f>D1780+0.2*C1780</f>
        <v>54</v>
      </c>
      <c r="E1781" s="12">
        <f>E1780+0.2*D1780</f>
        <v>54</v>
      </c>
      <c r="F1781" s="491">
        <f>F1780+E1784</f>
        <v>4.3999999999999986</v>
      </c>
      <c r="G1781" s="491">
        <f>G1780+F1784</f>
        <v>8.3489999999999966</v>
      </c>
      <c r="H1781" s="491">
        <f>1.25*G1784+H1780</f>
        <v>-87.29249999999999</v>
      </c>
      <c r="I1781" s="491">
        <f xml:space="preserve"> 1.25*H1784+I1780</f>
        <v>-165.110625</v>
      </c>
      <c r="J1781" s="491">
        <f xml:space="preserve"> 1.25*I1784+J1780</f>
        <v>-263.47578125000001</v>
      </c>
      <c r="K1781" s="491">
        <f xml:space="preserve"> 1.25*J1784+K1780</f>
        <v>-327.19472656250008</v>
      </c>
    </row>
    <row r="1782" spans="1:11" x14ac:dyDescent="0.25">
      <c r="A1782" s="10" t="s">
        <v>19</v>
      </c>
      <c r="B1782" s="156"/>
      <c r="C1782" s="156" t="s">
        <v>399</v>
      </c>
      <c r="D1782" s="156" t="s">
        <v>400</v>
      </c>
      <c r="E1782" s="156" t="s">
        <v>401</v>
      </c>
      <c r="F1782" s="156" t="s">
        <v>402</v>
      </c>
      <c r="G1782" s="156" t="s">
        <v>566</v>
      </c>
      <c r="H1782" s="156" t="s">
        <v>604</v>
      </c>
      <c r="I1782" s="156" t="s">
        <v>625</v>
      </c>
      <c r="J1782" s="156" t="s">
        <v>784</v>
      </c>
      <c r="K1782" s="156" t="s">
        <v>999</v>
      </c>
    </row>
    <row r="1783" spans="1:11" ht="15" x14ac:dyDescent="0.25">
      <c r="A1783" s="10" t="s">
        <v>20</v>
      </c>
      <c r="B1783" s="156">
        <v>9.8000000000000007</v>
      </c>
      <c r="C1783" s="156">
        <v>12.6</v>
      </c>
      <c r="D1783" s="492">
        <v>5</v>
      </c>
      <c r="E1783" s="492">
        <v>87.5</v>
      </c>
      <c r="F1783" s="492">
        <v>33.951000000000001</v>
      </c>
      <c r="G1783" s="492">
        <v>108.503</v>
      </c>
      <c r="H1783" s="492">
        <v>75.116</v>
      </c>
      <c r="I1783" s="492">
        <v>75.989999999999995</v>
      </c>
      <c r="J1783" s="492">
        <v>28.6</v>
      </c>
      <c r="K1783" s="156"/>
    </row>
    <row r="1784" spans="1:11" ht="15" x14ac:dyDescent="0.25">
      <c r="A1784" s="10" t="s">
        <v>21</v>
      </c>
      <c r="B1784" s="12">
        <f t="shared" ref="B1784:J1784" si="76">B1781-B1783</f>
        <v>6.59</v>
      </c>
      <c r="C1784" s="12">
        <f t="shared" si="76"/>
        <v>38.99</v>
      </c>
      <c r="D1784" s="12">
        <f t="shared" si="76"/>
        <v>49</v>
      </c>
      <c r="E1784" s="491">
        <f t="shared" si="76"/>
        <v>-33.5</v>
      </c>
      <c r="F1784" s="491">
        <f t="shared" si="76"/>
        <v>-29.551000000000002</v>
      </c>
      <c r="G1784" s="491">
        <f t="shared" si="76"/>
        <v>-100.154</v>
      </c>
      <c r="H1784" s="491">
        <f t="shared" si="76"/>
        <v>-162.4085</v>
      </c>
      <c r="I1784" s="491">
        <f t="shared" si="76"/>
        <v>-241.10062499999998</v>
      </c>
      <c r="J1784" s="491">
        <f t="shared" si="76"/>
        <v>-292.07578125000003</v>
      </c>
      <c r="K1784" s="12"/>
    </row>
    <row r="1785" spans="1:11" x14ac:dyDescent="0.25">
      <c r="A1785" s="18" t="s">
        <v>22</v>
      </c>
      <c r="B1785" s="642">
        <v>2017</v>
      </c>
      <c r="C1785" s="642">
        <v>2018</v>
      </c>
      <c r="D1785" s="642">
        <v>2019</v>
      </c>
      <c r="E1785" s="642">
        <v>2020</v>
      </c>
      <c r="F1785" s="642">
        <v>2021</v>
      </c>
      <c r="G1785" s="642">
        <v>2022</v>
      </c>
      <c r="H1785" s="642">
        <v>2023</v>
      </c>
      <c r="I1785" s="642">
        <v>2024</v>
      </c>
      <c r="J1785" s="642">
        <v>2025</v>
      </c>
      <c r="K1785" s="642">
        <v>2026</v>
      </c>
    </row>
    <row r="1786" spans="1:11" x14ac:dyDescent="0.25">
      <c r="A1786" s="18" t="s">
        <v>179</v>
      </c>
      <c r="B1786" s="19"/>
      <c r="C1786" s="19"/>
      <c r="D1786" s="19"/>
      <c r="E1786" s="19"/>
      <c r="F1786" s="19"/>
      <c r="G1786" s="19"/>
      <c r="H1786" s="19"/>
      <c r="I1786" s="19"/>
      <c r="J1786" s="19"/>
      <c r="K1786" s="63"/>
    </row>
    <row r="1787" spans="1:11" x14ac:dyDescent="0.25">
      <c r="A1787" s="56" t="s">
        <v>403</v>
      </c>
      <c r="F1787" s="269"/>
      <c r="K1787" s="64"/>
    </row>
    <row r="1788" spans="1:11" x14ac:dyDescent="0.25">
      <c r="A1788" s="56" t="s">
        <v>898</v>
      </c>
      <c r="K1788" s="64"/>
    </row>
    <row r="1789" spans="1:11" x14ac:dyDescent="0.25">
      <c r="A1789" s="56" t="s">
        <v>899</v>
      </c>
      <c r="K1789" s="64"/>
    </row>
    <row r="1790" spans="1:11" x14ac:dyDescent="0.25">
      <c r="A1790" s="56" t="s">
        <v>565</v>
      </c>
      <c r="C1790" s="348"/>
      <c r="K1790" s="64"/>
    </row>
    <row r="1791" spans="1:11" x14ac:dyDescent="0.25">
      <c r="A1791" s="56" t="s">
        <v>567</v>
      </c>
      <c r="C1791" s="348"/>
      <c r="K1791" s="64"/>
    </row>
    <row r="1792" spans="1:11" x14ac:dyDescent="0.25">
      <c r="A1792" s="56" t="s">
        <v>895</v>
      </c>
      <c r="C1792" s="348"/>
      <c r="K1792" s="64"/>
    </row>
    <row r="1793" spans="1:11" x14ac:dyDescent="0.25">
      <c r="A1793" s="56" t="s">
        <v>896</v>
      </c>
      <c r="C1793" s="348"/>
      <c r="K1793" s="64"/>
    </row>
    <row r="1794" spans="1:11" x14ac:dyDescent="0.25">
      <c r="A1794" s="56" t="s">
        <v>1026</v>
      </c>
      <c r="C1794" s="348"/>
      <c r="K1794" s="64"/>
    </row>
    <row r="1795" spans="1:11" x14ac:dyDescent="0.25">
      <c r="A1795" s="312" t="s">
        <v>1130</v>
      </c>
      <c r="B1795" s="34"/>
      <c r="C1795" s="313"/>
      <c r="D1795" s="34"/>
      <c r="E1795" s="34"/>
      <c r="F1795" s="34"/>
      <c r="G1795" s="34"/>
      <c r="H1795" s="34"/>
      <c r="I1795" s="34"/>
      <c r="J1795" s="34"/>
      <c r="K1795" s="48"/>
    </row>
    <row r="1796" spans="1:11" x14ac:dyDescent="0.25">
      <c r="A1796" s="49"/>
      <c r="C1796" s="348"/>
    </row>
    <row r="1797" spans="1:11" x14ac:dyDescent="0.25">
      <c r="A1797" s="6" t="s">
        <v>14</v>
      </c>
      <c r="B1797" s="7" t="s">
        <v>79</v>
      </c>
      <c r="C1797" s="7" t="s">
        <v>152</v>
      </c>
    </row>
    <row r="1798" spans="1:11" x14ac:dyDescent="0.25">
      <c r="A1798" s="41" t="s">
        <v>16</v>
      </c>
      <c r="B1798" s="274">
        <v>2016</v>
      </c>
      <c r="C1798" s="154">
        <v>2017</v>
      </c>
      <c r="D1798" s="154">
        <v>2018</v>
      </c>
      <c r="E1798" s="154">
        <v>2019</v>
      </c>
      <c r="F1798" s="154">
        <v>2020</v>
      </c>
      <c r="G1798" s="154">
        <v>2021</v>
      </c>
      <c r="H1798" s="154">
        <v>2022</v>
      </c>
      <c r="I1798" s="154">
        <v>2023</v>
      </c>
      <c r="J1798" s="154">
        <v>2024</v>
      </c>
      <c r="K1798" s="154">
        <v>2025</v>
      </c>
    </row>
    <row r="1799" spans="1:11" x14ac:dyDescent="0.25">
      <c r="A1799" s="10" t="s">
        <v>17</v>
      </c>
      <c r="B1799" s="12">
        <v>20</v>
      </c>
      <c r="C1799" s="12">
        <v>20</v>
      </c>
      <c r="D1799" s="12">
        <v>20</v>
      </c>
      <c r="E1799" s="12">
        <v>20</v>
      </c>
      <c r="F1799" s="12">
        <v>20</v>
      </c>
      <c r="G1799" s="12">
        <v>20</v>
      </c>
      <c r="H1799" s="12">
        <v>20</v>
      </c>
      <c r="I1799" s="12">
        <v>20</v>
      </c>
      <c r="J1799" s="12">
        <v>20</v>
      </c>
      <c r="K1799" s="12">
        <v>20</v>
      </c>
    </row>
    <row r="1800" spans="1:11" ht="15" x14ac:dyDescent="0.25">
      <c r="A1800" s="10" t="s">
        <v>18</v>
      </c>
      <c r="B1800" s="12">
        <v>24</v>
      </c>
      <c r="C1800" s="12">
        <f>C1799+0.2*B1799</f>
        <v>24</v>
      </c>
      <c r="D1800" s="12">
        <f>D1799+0.2*C1799</f>
        <v>24</v>
      </c>
      <c r="E1800" s="491">
        <f>E1799+0.2*D1799</f>
        <v>24</v>
      </c>
      <c r="F1800" s="491">
        <f>F1799+0.2*E1799</f>
        <v>24</v>
      </c>
      <c r="G1800" s="491"/>
      <c r="H1800" s="491">
        <f>H1799+G1803</f>
        <v>19.587</v>
      </c>
      <c r="I1800" s="491">
        <f xml:space="preserve"> 1.25*H1803+I1799</f>
        <v>11.083750000000002</v>
      </c>
      <c r="J1800" s="491">
        <f xml:space="preserve"> 1.25*I1803+J1799</f>
        <v>-2.0312499999999289E-2</v>
      </c>
      <c r="K1800" s="491">
        <f xml:space="preserve"> 1.25*J1803+K1799</f>
        <v>-1.025390625</v>
      </c>
    </row>
    <row r="1801" spans="1:11" x14ac:dyDescent="0.25">
      <c r="A1801" s="10" t="s">
        <v>19</v>
      </c>
      <c r="B1801" s="156"/>
      <c r="C1801" s="156" t="s">
        <v>399</v>
      </c>
      <c r="D1801" s="156" t="s">
        <v>400</v>
      </c>
      <c r="E1801" s="156" t="s">
        <v>401</v>
      </c>
      <c r="F1801" s="156" t="s">
        <v>402</v>
      </c>
      <c r="G1801" s="156" t="s">
        <v>566</v>
      </c>
      <c r="H1801" s="156" t="s">
        <v>604</v>
      </c>
      <c r="I1801" s="156" t="s">
        <v>625</v>
      </c>
      <c r="J1801" s="156" t="s">
        <v>784</v>
      </c>
      <c r="K1801" s="156" t="s">
        <v>999</v>
      </c>
    </row>
    <row r="1802" spans="1:11" ht="15" x14ac:dyDescent="0.25">
      <c r="A1802" s="10" t="s">
        <v>20</v>
      </c>
      <c r="B1802" s="156">
        <v>15</v>
      </c>
      <c r="C1802" s="156">
        <v>13</v>
      </c>
      <c r="D1802" s="492">
        <v>1.125</v>
      </c>
      <c r="E1802" s="492">
        <v>9.5559999999999992</v>
      </c>
      <c r="F1802" s="492">
        <v>10.503</v>
      </c>
      <c r="G1802" s="492">
        <v>20.413</v>
      </c>
      <c r="H1802" s="492">
        <v>26.72</v>
      </c>
      <c r="I1802" s="491">
        <v>27.1</v>
      </c>
      <c r="J1802" s="492">
        <v>16.8</v>
      </c>
      <c r="K1802" s="156"/>
    </row>
    <row r="1803" spans="1:11" ht="15" x14ac:dyDescent="0.25">
      <c r="A1803" s="10" t="s">
        <v>21</v>
      </c>
      <c r="B1803" s="12">
        <f>B1800-B1802</f>
        <v>9</v>
      </c>
      <c r="C1803" s="12">
        <f>C1800-C1802</f>
        <v>11</v>
      </c>
      <c r="D1803" s="491">
        <f>D1800-D1802</f>
        <v>22.875</v>
      </c>
      <c r="E1803" s="491">
        <f>E1800-E1802</f>
        <v>14.444000000000001</v>
      </c>
      <c r="F1803" s="491">
        <f>F1800-F1802</f>
        <v>13.497</v>
      </c>
      <c r="G1803" s="491">
        <f>G1799-G1802</f>
        <v>-0.41300000000000026</v>
      </c>
      <c r="H1803" s="491">
        <f>H1800-H1802</f>
        <v>-7.1329999999999991</v>
      </c>
      <c r="I1803" s="491">
        <f>I1800-I1802</f>
        <v>-16.016249999999999</v>
      </c>
      <c r="J1803" s="491">
        <f>J1800-J1802</f>
        <v>-16.8203125</v>
      </c>
      <c r="K1803" s="12"/>
    </row>
    <row r="1804" spans="1:11" x14ac:dyDescent="0.25">
      <c r="A1804" s="18" t="s">
        <v>22</v>
      </c>
      <c r="B1804" s="642">
        <v>2017</v>
      </c>
      <c r="C1804" s="642">
        <v>2018</v>
      </c>
      <c r="D1804" s="642">
        <v>2019</v>
      </c>
      <c r="E1804" s="642">
        <v>2020</v>
      </c>
      <c r="F1804" s="642">
        <v>2021</v>
      </c>
      <c r="G1804" s="642">
        <v>2022</v>
      </c>
      <c r="H1804" s="642">
        <v>2023</v>
      </c>
      <c r="I1804" s="642">
        <v>2024</v>
      </c>
      <c r="J1804" s="642">
        <v>2025</v>
      </c>
      <c r="K1804" s="642">
        <v>2026</v>
      </c>
    </row>
    <row r="1805" spans="1:11" x14ac:dyDescent="0.25">
      <c r="A1805" s="18" t="s">
        <v>179</v>
      </c>
      <c r="B1805" s="19"/>
      <c r="C1805" s="19"/>
      <c r="D1805" s="19"/>
      <c r="E1805" s="19"/>
      <c r="F1805" s="19"/>
      <c r="G1805" s="19"/>
      <c r="H1805" s="19"/>
      <c r="I1805" s="19"/>
      <c r="J1805" s="19"/>
      <c r="K1805" s="63"/>
    </row>
    <row r="1806" spans="1:11" x14ac:dyDescent="0.25">
      <c r="A1806" s="56" t="s">
        <v>900</v>
      </c>
      <c r="F1806" s="269"/>
      <c r="K1806" s="64"/>
    </row>
    <row r="1807" spans="1:11" x14ac:dyDescent="0.25">
      <c r="A1807" s="56" t="s">
        <v>898</v>
      </c>
      <c r="K1807" s="64"/>
    </row>
    <row r="1808" spans="1:11" x14ac:dyDescent="0.25">
      <c r="A1808" s="56" t="s">
        <v>899</v>
      </c>
      <c r="K1808" s="64"/>
    </row>
    <row r="1809" spans="1:11" x14ac:dyDescent="0.25">
      <c r="A1809" s="56" t="s">
        <v>901</v>
      </c>
      <c r="C1809" s="348"/>
      <c r="K1809" s="64"/>
    </row>
    <row r="1810" spans="1:11" x14ac:dyDescent="0.25">
      <c r="A1810" s="56" t="s">
        <v>902</v>
      </c>
      <c r="C1810" s="348"/>
      <c r="K1810" s="64"/>
    </row>
    <row r="1811" spans="1:11" x14ac:dyDescent="0.25">
      <c r="A1811" s="56" t="s">
        <v>605</v>
      </c>
      <c r="C1811" s="348"/>
      <c r="K1811" s="64"/>
    </row>
    <row r="1812" spans="1:11" x14ac:dyDescent="0.25">
      <c r="A1812" s="56" t="s">
        <v>896</v>
      </c>
      <c r="C1812" s="348"/>
      <c r="K1812" s="64"/>
    </row>
    <row r="1813" spans="1:11" x14ac:dyDescent="0.25">
      <c r="A1813" s="56" t="s">
        <v>1026</v>
      </c>
      <c r="C1813" s="348"/>
      <c r="K1813" s="64"/>
    </row>
    <row r="1814" spans="1:11" x14ac:dyDescent="0.25">
      <c r="A1814" s="56" t="s">
        <v>1130</v>
      </c>
      <c r="B1814" s="34"/>
      <c r="C1814" s="313"/>
      <c r="D1814" s="34"/>
      <c r="E1814" s="34"/>
      <c r="F1814" s="34"/>
      <c r="G1814" s="34"/>
      <c r="H1814" s="34"/>
      <c r="I1814" s="34"/>
      <c r="J1814" s="34"/>
      <c r="K1814" s="48"/>
    </row>
    <row r="1816" spans="1:11" x14ac:dyDescent="0.25">
      <c r="A1816" s="6" t="s">
        <v>11</v>
      </c>
      <c r="B1816" s="7" t="s">
        <v>217</v>
      </c>
      <c r="C1816" s="8"/>
    </row>
    <row r="1817" spans="1:11" x14ac:dyDescent="0.25">
      <c r="A1817" s="6" t="s">
        <v>1</v>
      </c>
      <c r="B1817" s="7" t="s">
        <v>623</v>
      </c>
      <c r="C1817" s="9" t="s">
        <v>2</v>
      </c>
    </row>
    <row r="1818" spans="1:11" x14ac:dyDescent="0.25">
      <c r="A1818" s="10" t="s">
        <v>3</v>
      </c>
      <c r="B1818" s="11"/>
      <c r="C1818" s="154">
        <v>2018</v>
      </c>
      <c r="D1818" s="172">
        <v>2019</v>
      </c>
      <c r="E1818" s="154">
        <v>2020</v>
      </c>
      <c r="F1818" s="154">
        <v>2021</v>
      </c>
      <c r="G1818" s="154">
        <v>2022</v>
      </c>
      <c r="H1818" s="154">
        <v>2023</v>
      </c>
      <c r="I1818" s="154">
        <v>2024</v>
      </c>
      <c r="J1818" s="154">
        <v>2025</v>
      </c>
    </row>
    <row r="1819" spans="1:11" x14ac:dyDescent="0.25">
      <c r="A1819" s="10" t="s">
        <v>4</v>
      </c>
      <c r="B1819" s="11"/>
      <c r="C1819" s="12">
        <v>250</v>
      </c>
      <c r="D1819" s="188">
        <v>250</v>
      </c>
      <c r="E1819" s="12">
        <v>250</v>
      </c>
      <c r="F1819" s="189">
        <v>250</v>
      </c>
      <c r="G1819" s="189">
        <v>250</v>
      </c>
      <c r="H1819" s="189">
        <v>250</v>
      </c>
      <c r="I1819" s="189">
        <v>250</v>
      </c>
      <c r="J1819" s="189">
        <v>250</v>
      </c>
    </row>
    <row r="1820" spans="1:11" x14ac:dyDescent="0.25">
      <c r="A1820" s="10" t="s">
        <v>5</v>
      </c>
      <c r="B1820" s="11"/>
      <c r="C1820" s="12">
        <v>200</v>
      </c>
      <c r="D1820" s="12">
        <v>225</v>
      </c>
      <c r="E1820" s="12">
        <f>E1821</f>
        <v>225</v>
      </c>
      <c r="F1820" s="189">
        <f>F1821</f>
        <v>200</v>
      </c>
      <c r="G1820" s="189">
        <f>G1821</f>
        <v>200</v>
      </c>
      <c r="H1820" s="189">
        <f>H1821</f>
        <v>225</v>
      </c>
      <c r="I1820" s="189">
        <f>I1821</f>
        <v>225</v>
      </c>
      <c r="J1820" s="189">
        <v>325</v>
      </c>
    </row>
    <row r="1821" spans="1:11" x14ac:dyDescent="0.25">
      <c r="A1821" s="10" t="s">
        <v>6</v>
      </c>
      <c r="B1821" s="11"/>
      <c r="C1821" s="12">
        <v>200</v>
      </c>
      <c r="D1821" s="12">
        <v>225</v>
      </c>
      <c r="E1821" s="12">
        <f>1.4*E1819-125</f>
        <v>225</v>
      </c>
      <c r="F1821" s="189">
        <f>F1819+0.4*E1819-150</f>
        <v>200</v>
      </c>
      <c r="G1821" s="189">
        <f>G1819+0.4*F1819-150</f>
        <v>200</v>
      </c>
      <c r="H1821" s="189">
        <f>H1819+0.4*G1819-125</f>
        <v>225</v>
      </c>
      <c r="I1821" s="189">
        <f>I1819+0.4*H1819-125</f>
        <v>225</v>
      </c>
      <c r="J1821" s="189"/>
    </row>
    <row r="1822" spans="1:11" x14ac:dyDescent="0.25">
      <c r="A1822" s="10" t="s">
        <v>7</v>
      </c>
      <c r="B1822" s="11"/>
      <c r="C1822" s="12">
        <v>43.54</v>
      </c>
      <c r="D1822" s="12">
        <v>13.63</v>
      </c>
      <c r="E1822" s="12">
        <v>10</v>
      </c>
      <c r="F1822" s="189">
        <v>20</v>
      </c>
      <c r="G1822" s="189">
        <v>0</v>
      </c>
      <c r="H1822" s="189">
        <v>54.02</v>
      </c>
      <c r="I1822" s="189">
        <v>16.52</v>
      </c>
      <c r="J1822" s="90"/>
    </row>
    <row r="1823" spans="1:11" x14ac:dyDescent="0.25">
      <c r="A1823" s="10" t="s">
        <v>8</v>
      </c>
      <c r="B1823" s="11"/>
      <c r="C1823" s="12">
        <v>156.46</v>
      </c>
      <c r="D1823" s="188">
        <v>211.37</v>
      </c>
      <c r="E1823" s="12">
        <f>E1820-E1822</f>
        <v>215</v>
      </c>
      <c r="F1823" s="189">
        <f>F1820-F1822</f>
        <v>180</v>
      </c>
      <c r="G1823" s="189">
        <f>G1820-G1822</f>
        <v>200</v>
      </c>
      <c r="H1823" s="189">
        <f>H1820-H1822</f>
        <v>170.98</v>
      </c>
      <c r="I1823" s="189">
        <f>I1820-I1822</f>
        <v>208.48</v>
      </c>
      <c r="J1823" s="90"/>
    </row>
    <row r="1824" spans="1:11" x14ac:dyDescent="0.25">
      <c r="A1824" s="16" t="s">
        <v>9</v>
      </c>
      <c r="B1824" s="17"/>
      <c r="C1824" s="159">
        <v>2019</v>
      </c>
      <c r="D1824" s="178">
        <v>2020</v>
      </c>
      <c r="E1824" s="159">
        <v>2021</v>
      </c>
      <c r="F1824" s="47">
        <v>2022</v>
      </c>
      <c r="G1824" s="47">
        <v>2023</v>
      </c>
      <c r="H1824" s="47">
        <v>2024</v>
      </c>
      <c r="I1824" s="47">
        <v>2025</v>
      </c>
      <c r="J1824" s="90"/>
    </row>
    <row r="1825" spans="1:10" x14ac:dyDescent="0.25">
      <c r="A1825" s="18" t="s">
        <v>164</v>
      </c>
      <c r="B1825" s="19"/>
      <c r="C1825" s="19"/>
      <c r="D1825" s="19"/>
      <c r="E1825" s="19"/>
      <c r="F1825" s="19"/>
      <c r="G1825" s="19"/>
      <c r="H1825" s="19"/>
      <c r="I1825" s="19"/>
      <c r="J1825" s="63"/>
    </row>
    <row r="1826" spans="1:10" x14ac:dyDescent="0.25">
      <c r="A1826" s="39" t="s">
        <v>218</v>
      </c>
      <c r="J1826" s="64"/>
    </row>
    <row r="1827" spans="1:10" x14ac:dyDescent="0.25">
      <c r="A1827" s="39" t="s">
        <v>513</v>
      </c>
      <c r="J1827" s="64"/>
    </row>
    <row r="1828" spans="1:10" ht="13.2" customHeight="1" x14ac:dyDescent="0.25">
      <c r="A1828" s="161" t="s">
        <v>514</v>
      </c>
      <c r="B1828" s="123"/>
      <c r="C1828" s="123"/>
      <c r="D1828" s="123"/>
      <c r="E1828" s="123"/>
      <c r="F1828" s="123"/>
      <c r="G1828" s="123"/>
      <c r="H1828" s="123"/>
      <c r="I1828" s="123"/>
      <c r="J1828" s="64"/>
    </row>
    <row r="1829" spans="1:10" x14ac:dyDescent="0.25">
      <c r="A1829" s="161" t="s">
        <v>515</v>
      </c>
      <c r="B1829" s="32"/>
      <c r="C1829" s="32"/>
      <c r="D1829" s="32"/>
      <c r="E1829" s="32"/>
      <c r="F1829" s="32"/>
      <c r="G1829" s="32"/>
      <c r="H1829" s="32"/>
      <c r="I1829" s="32"/>
      <c r="J1829" s="64"/>
    </row>
    <row r="1830" spans="1:10" x14ac:dyDescent="0.25">
      <c r="A1830" s="39" t="s">
        <v>516</v>
      </c>
      <c r="B1830" s="32"/>
      <c r="C1830" s="32"/>
      <c r="D1830" s="32"/>
      <c r="E1830" s="32"/>
      <c r="F1830" s="32"/>
      <c r="G1830" s="32"/>
      <c r="H1830" s="32"/>
      <c r="I1830" s="32"/>
      <c r="J1830" s="64"/>
    </row>
    <row r="1831" spans="1:10" x14ac:dyDescent="0.25">
      <c r="A1831" s="39" t="s">
        <v>843</v>
      </c>
      <c r="B1831" s="32"/>
      <c r="C1831" s="32"/>
      <c r="D1831" s="32"/>
      <c r="E1831" s="32"/>
      <c r="F1831" s="32"/>
      <c r="G1831" s="32"/>
      <c r="H1831" s="32"/>
      <c r="I1831" s="32"/>
      <c r="J1831" s="64"/>
    </row>
    <row r="1832" spans="1:10" x14ac:dyDescent="0.25">
      <c r="A1832" s="39" t="s">
        <v>844</v>
      </c>
      <c r="B1832" s="32"/>
      <c r="C1832" s="32"/>
      <c r="D1832" s="32"/>
      <c r="E1832" s="32"/>
      <c r="F1832" s="32"/>
      <c r="G1832" s="32"/>
      <c r="H1832" s="32"/>
      <c r="I1832" s="32"/>
      <c r="J1832" s="64"/>
    </row>
    <row r="1833" spans="1:10" x14ac:dyDescent="0.25">
      <c r="A1833" s="39" t="s">
        <v>1057</v>
      </c>
      <c r="B1833" s="32"/>
      <c r="C1833" s="32"/>
      <c r="D1833" s="32"/>
      <c r="E1833" s="32"/>
      <c r="F1833" s="32"/>
      <c r="G1833" s="32"/>
      <c r="H1833" s="32"/>
      <c r="I1833" s="32"/>
      <c r="J1833" s="64"/>
    </row>
    <row r="1834" spans="1:10" ht="13.2" customHeight="1" x14ac:dyDescent="0.25">
      <c r="A1834" s="42" t="s">
        <v>1203</v>
      </c>
      <c r="B1834" s="43"/>
      <c r="C1834" s="43"/>
      <c r="D1834" s="43"/>
      <c r="E1834" s="43"/>
      <c r="F1834" s="43"/>
      <c r="G1834" s="34"/>
      <c r="H1834" s="34"/>
      <c r="I1834" s="34"/>
      <c r="J1834" s="48"/>
    </row>
    <row r="1836" spans="1:10" x14ac:dyDescent="0.25">
      <c r="A1836" s="6" t="s">
        <v>1</v>
      </c>
      <c r="B1836" s="7" t="s">
        <v>641</v>
      </c>
      <c r="C1836" s="9" t="s">
        <v>2</v>
      </c>
    </row>
    <row r="1837" spans="1:10" x14ac:dyDescent="0.25">
      <c r="A1837" s="10" t="s">
        <v>3</v>
      </c>
      <c r="B1837" s="11"/>
      <c r="C1837" s="154">
        <v>2018</v>
      </c>
      <c r="D1837" s="172">
        <v>2019</v>
      </c>
      <c r="E1837" s="154">
        <v>2020</v>
      </c>
      <c r="F1837" s="154">
        <v>2021</v>
      </c>
      <c r="G1837" s="154">
        <v>2022</v>
      </c>
      <c r="H1837" s="154">
        <v>2023</v>
      </c>
      <c r="I1837" s="154">
        <v>2024</v>
      </c>
      <c r="J1837" s="493">
        <v>2025</v>
      </c>
    </row>
    <row r="1838" spans="1:10" x14ac:dyDescent="0.25">
      <c r="A1838" s="10" t="s">
        <v>4</v>
      </c>
      <c r="B1838" s="11"/>
      <c r="C1838" s="12">
        <v>417</v>
      </c>
      <c r="D1838" s="12">
        <v>417</v>
      </c>
      <c r="E1838" s="12">
        <v>417</v>
      </c>
      <c r="F1838" s="12">
        <v>417</v>
      </c>
      <c r="G1838" s="12">
        <v>417</v>
      </c>
      <c r="H1838" s="12">
        <v>417</v>
      </c>
      <c r="I1838" s="12">
        <v>417</v>
      </c>
      <c r="J1838" s="90">
        <v>417</v>
      </c>
    </row>
    <row r="1839" spans="1:10" x14ac:dyDescent="0.25">
      <c r="A1839" s="10" t="s">
        <v>5</v>
      </c>
      <c r="B1839" s="11"/>
      <c r="C1839" s="12">
        <v>500.4</v>
      </c>
      <c r="D1839" s="12">
        <v>500.4</v>
      </c>
      <c r="E1839" s="12">
        <f>E1840</f>
        <v>500.4</v>
      </c>
      <c r="F1839" s="12">
        <v>500.4</v>
      </c>
      <c r="G1839" s="12">
        <v>500.4</v>
      </c>
      <c r="H1839" s="12">
        <f>H1840</f>
        <v>458.7</v>
      </c>
      <c r="I1839" s="12">
        <f>I1840</f>
        <v>458.7</v>
      </c>
      <c r="J1839" s="90">
        <v>458.7</v>
      </c>
    </row>
    <row r="1840" spans="1:10" x14ac:dyDescent="0.25">
      <c r="A1840" s="10" t="s">
        <v>6</v>
      </c>
      <c r="B1840" s="11"/>
      <c r="C1840" s="12">
        <v>500.4</v>
      </c>
      <c r="D1840" s="12">
        <v>500.4</v>
      </c>
      <c r="E1840" s="12">
        <f>1.2*E1838</f>
        <v>500.4</v>
      </c>
      <c r="F1840" s="12">
        <v>500.4</v>
      </c>
      <c r="G1840" s="12">
        <v>500.4</v>
      </c>
      <c r="H1840" s="12">
        <f>H1838+0.1*G1838</f>
        <v>458.7</v>
      </c>
      <c r="I1840" s="12">
        <f>I1838+0.1*H1838</f>
        <v>458.7</v>
      </c>
      <c r="J1840" s="90"/>
    </row>
    <row r="1841" spans="1:15" x14ac:dyDescent="0.25">
      <c r="A1841" s="10" t="s">
        <v>7</v>
      </c>
      <c r="B1841" s="11"/>
      <c r="C1841" s="12">
        <v>92.8</v>
      </c>
      <c r="D1841" s="12">
        <v>166.9</v>
      </c>
      <c r="E1841" s="12">
        <v>0</v>
      </c>
      <c r="F1841" s="12">
        <v>0</v>
      </c>
      <c r="G1841" s="12">
        <v>0</v>
      </c>
      <c r="H1841" s="12">
        <v>0</v>
      </c>
      <c r="I1841" s="12">
        <v>0</v>
      </c>
      <c r="J1841" s="90"/>
    </row>
    <row r="1842" spans="1:15" x14ac:dyDescent="0.25">
      <c r="A1842" s="10" t="s">
        <v>8</v>
      </c>
      <c r="B1842" s="11"/>
      <c r="C1842" s="12">
        <v>407.59999999999997</v>
      </c>
      <c r="D1842" s="12">
        <f t="shared" ref="D1842:I1842" si="77">D1839-D1841</f>
        <v>333.5</v>
      </c>
      <c r="E1842" s="12">
        <f t="shared" si="77"/>
        <v>500.4</v>
      </c>
      <c r="F1842" s="12">
        <f t="shared" si="77"/>
        <v>500.4</v>
      </c>
      <c r="G1842" s="12">
        <f t="shared" si="77"/>
        <v>500.4</v>
      </c>
      <c r="H1842" s="12">
        <f t="shared" si="77"/>
        <v>458.7</v>
      </c>
      <c r="I1842" s="12">
        <f t="shared" si="77"/>
        <v>458.7</v>
      </c>
      <c r="J1842" s="90"/>
    </row>
    <row r="1843" spans="1:15" x14ac:dyDescent="0.25">
      <c r="A1843" s="16" t="s">
        <v>9</v>
      </c>
      <c r="B1843" s="17"/>
      <c r="C1843" s="159">
        <v>2019</v>
      </c>
      <c r="D1843" s="178">
        <v>2020</v>
      </c>
      <c r="E1843" s="159">
        <v>2021</v>
      </c>
      <c r="F1843" s="179">
        <v>2022</v>
      </c>
      <c r="G1843" s="179">
        <v>2023</v>
      </c>
      <c r="H1843" s="179">
        <v>2024</v>
      </c>
      <c r="I1843" s="179">
        <v>2025</v>
      </c>
      <c r="J1843" s="180">
        <v>2026</v>
      </c>
    </row>
    <row r="1844" spans="1:15" x14ac:dyDescent="0.25">
      <c r="A1844" s="18" t="s">
        <v>164</v>
      </c>
      <c r="B1844" s="19"/>
      <c r="C1844" s="19"/>
      <c r="D1844" s="19"/>
      <c r="E1844" s="19"/>
      <c r="F1844" s="19"/>
      <c r="G1844" s="19"/>
      <c r="H1844" s="19"/>
      <c r="I1844" s="19"/>
      <c r="J1844" s="63"/>
    </row>
    <row r="1845" spans="1:15" x14ac:dyDescent="0.25">
      <c r="A1845" s="39" t="s">
        <v>218</v>
      </c>
      <c r="J1845" s="64"/>
    </row>
    <row r="1846" spans="1:15" s="123" customFormat="1" ht="12.75" customHeight="1" x14ac:dyDescent="0.25">
      <c r="A1846" s="39" t="s">
        <v>219</v>
      </c>
      <c r="B1846" s="3"/>
      <c r="C1846" s="3"/>
      <c r="D1846" s="3"/>
      <c r="E1846" s="3"/>
      <c r="F1846" s="3"/>
      <c r="J1846" s="494"/>
    </row>
    <row r="1847" spans="1:15" s="123" customFormat="1" ht="12.75" customHeight="1" x14ac:dyDescent="0.25">
      <c r="A1847" s="39" t="s">
        <v>315</v>
      </c>
      <c r="B1847" s="3"/>
      <c r="C1847" s="3"/>
      <c r="D1847" s="3"/>
      <c r="E1847" s="3"/>
      <c r="F1847" s="3"/>
      <c r="J1847" s="494"/>
    </row>
    <row r="1848" spans="1:15" s="123" customFormat="1" ht="12.75" customHeight="1" x14ac:dyDescent="0.25">
      <c r="A1848" s="39" t="s">
        <v>698</v>
      </c>
      <c r="B1848" s="3"/>
      <c r="C1848" s="3"/>
      <c r="D1848" s="3"/>
      <c r="E1848" s="3"/>
      <c r="F1848" s="3"/>
      <c r="J1848" s="494"/>
    </row>
    <row r="1849" spans="1:15" s="123" customFormat="1" ht="12.75" customHeight="1" x14ac:dyDescent="0.25">
      <c r="A1849" s="39" t="s">
        <v>697</v>
      </c>
      <c r="B1849" s="3"/>
      <c r="C1849" s="3"/>
      <c r="D1849" s="3"/>
      <c r="E1849" s="3"/>
      <c r="F1849" s="3"/>
      <c r="J1849" s="494"/>
    </row>
    <row r="1850" spans="1:15" s="123" customFormat="1" x14ac:dyDescent="0.25">
      <c r="A1850" s="161" t="s">
        <v>845</v>
      </c>
      <c r="J1850" s="494"/>
    </row>
    <row r="1851" spans="1:15" s="123" customFormat="1" x14ac:dyDescent="0.25">
      <c r="A1851" s="161" t="s">
        <v>1058</v>
      </c>
      <c r="J1851" s="494"/>
    </row>
    <row r="1852" spans="1:15" s="123" customFormat="1" ht="12.75" customHeight="1" x14ac:dyDescent="0.25">
      <c r="A1852" s="42" t="s">
        <v>1202</v>
      </c>
      <c r="B1852" s="43"/>
      <c r="C1852" s="43"/>
      <c r="D1852" s="43"/>
      <c r="E1852" s="43"/>
      <c r="F1852" s="43"/>
      <c r="G1852" s="181"/>
      <c r="H1852" s="181"/>
      <c r="I1852" s="181"/>
      <c r="J1852" s="495"/>
    </row>
    <row r="1854" spans="1:15" x14ac:dyDescent="0.25">
      <c r="A1854" s="98" t="s">
        <v>14</v>
      </c>
      <c r="B1854" s="66" t="s">
        <v>66</v>
      </c>
      <c r="C1854" s="67" t="s">
        <v>15</v>
      </c>
      <c r="D1854" s="8"/>
      <c r="E1854" s="8"/>
      <c r="F1854" s="8"/>
    </row>
    <row r="1855" spans="1:15" x14ac:dyDescent="0.25">
      <c r="A1855" s="68" t="s">
        <v>16</v>
      </c>
      <c r="B1855" s="69"/>
      <c r="C1855" s="154">
        <v>2020</v>
      </c>
      <c r="D1855" s="154">
        <v>2021</v>
      </c>
      <c r="E1855" s="154">
        <v>2022</v>
      </c>
      <c r="F1855" s="154">
        <v>2023</v>
      </c>
      <c r="G1855" s="154">
        <v>2024</v>
      </c>
      <c r="H1855" s="154">
        <v>2025</v>
      </c>
      <c r="I1855" s="154">
        <v>2026</v>
      </c>
      <c r="J1855" s="154">
        <v>2027</v>
      </c>
      <c r="K1855" s="154">
        <v>2028</v>
      </c>
      <c r="L1855" s="154">
        <v>2029</v>
      </c>
      <c r="M1855" s="154">
        <v>2030</v>
      </c>
      <c r="N1855" s="154">
        <v>2031</v>
      </c>
      <c r="O1855" s="154">
        <v>2032</v>
      </c>
    </row>
    <row r="1856" spans="1:15" x14ac:dyDescent="0.25">
      <c r="A1856" s="68" t="s">
        <v>17</v>
      </c>
      <c r="B1856" s="72"/>
      <c r="C1856" s="12">
        <v>1322.73</v>
      </c>
      <c r="D1856" s="12">
        <v>1301.5663200000001</v>
      </c>
      <c r="E1856" s="12">
        <v>1312.14816</v>
      </c>
      <c r="F1856" s="12">
        <v>1312.14816</v>
      </c>
      <c r="G1856" s="12">
        <v>1312.14816</v>
      </c>
      <c r="H1856" s="12">
        <v>1312.14816</v>
      </c>
      <c r="I1856" s="12">
        <v>1312.14816</v>
      </c>
      <c r="J1856" s="12">
        <v>1312.14816</v>
      </c>
      <c r="K1856" s="12">
        <v>1312.14816</v>
      </c>
      <c r="L1856" s="12">
        <v>1312.14816</v>
      </c>
      <c r="M1856" s="12">
        <v>1312.14816</v>
      </c>
      <c r="N1856" s="12">
        <v>1312.14816</v>
      </c>
      <c r="O1856" s="12">
        <v>1312.14816</v>
      </c>
    </row>
    <row r="1857" spans="1:15" x14ac:dyDescent="0.25">
      <c r="A1857" s="68" t="s">
        <v>18</v>
      </c>
      <c r="B1857" s="72"/>
      <c r="C1857" s="12"/>
      <c r="D1857" s="12"/>
      <c r="E1857" s="12"/>
      <c r="F1857" s="12">
        <f>F1856-137.77</f>
        <v>1174.37816</v>
      </c>
      <c r="G1857" s="12">
        <f t="shared" ref="G1857:O1857" si="78">G1856-137.77</f>
        <v>1174.37816</v>
      </c>
      <c r="H1857" s="12">
        <f>H1856-137.77+F1860</f>
        <v>1173.96632</v>
      </c>
      <c r="I1857" s="12">
        <f t="shared" si="78"/>
        <v>1174.37816</v>
      </c>
      <c r="J1857" s="12">
        <f t="shared" si="78"/>
        <v>1174.37816</v>
      </c>
      <c r="K1857" s="12">
        <f t="shared" si="78"/>
        <v>1174.37816</v>
      </c>
      <c r="L1857" s="12">
        <f t="shared" si="78"/>
        <v>1174.37816</v>
      </c>
      <c r="M1857" s="12">
        <f t="shared" si="78"/>
        <v>1174.37816</v>
      </c>
      <c r="N1857" s="12">
        <f t="shared" si="78"/>
        <v>1174.37816</v>
      </c>
      <c r="O1857" s="12">
        <f t="shared" si="78"/>
        <v>1174.37816</v>
      </c>
    </row>
    <row r="1858" spans="1:15" x14ac:dyDescent="0.25">
      <c r="A1858" s="68" t="s">
        <v>19</v>
      </c>
      <c r="B1858" s="72"/>
      <c r="C1858" s="12"/>
      <c r="D1858" s="496"/>
      <c r="E1858" s="496" t="s">
        <v>531</v>
      </c>
      <c r="F1858" s="496" t="s">
        <v>531</v>
      </c>
      <c r="G1858" s="496" t="s">
        <v>531</v>
      </c>
      <c r="H1858" s="496" t="s">
        <v>1059</v>
      </c>
      <c r="I1858" s="496" t="s">
        <v>531</v>
      </c>
      <c r="J1858" s="496" t="s">
        <v>531</v>
      </c>
      <c r="K1858" s="496" t="s">
        <v>531</v>
      </c>
      <c r="L1858" s="496" t="s">
        <v>531</v>
      </c>
      <c r="M1858" s="496" t="s">
        <v>531</v>
      </c>
      <c r="N1858" s="496" t="s">
        <v>531</v>
      </c>
      <c r="O1858" s="496" t="s">
        <v>531</v>
      </c>
    </row>
    <row r="1859" spans="1:15" x14ac:dyDescent="0.25">
      <c r="A1859" s="68" t="s">
        <v>20</v>
      </c>
      <c r="B1859" s="72"/>
      <c r="C1859" s="12">
        <v>2700.5</v>
      </c>
      <c r="D1859" s="12">
        <v>702.1</v>
      </c>
      <c r="E1859" s="12">
        <v>764.67</v>
      </c>
      <c r="F1859" s="12">
        <v>1174.79</v>
      </c>
      <c r="G1859" s="12">
        <v>581.6</v>
      </c>
      <c r="H1859" s="12"/>
      <c r="I1859" s="12"/>
      <c r="J1859" s="12"/>
      <c r="K1859" s="12"/>
      <c r="L1859" s="12"/>
      <c r="M1859" s="12"/>
      <c r="N1859" s="12"/>
      <c r="O1859" s="12"/>
    </row>
    <row r="1860" spans="1:15" x14ac:dyDescent="0.25">
      <c r="A1860" s="68" t="s">
        <v>21</v>
      </c>
      <c r="B1860" s="101"/>
      <c r="C1860" s="12">
        <f>C1856-C1859</f>
        <v>-1377.77</v>
      </c>
      <c r="D1860" s="12">
        <f>D1856-D1859</f>
        <v>599.46632000000011</v>
      </c>
      <c r="E1860" s="12">
        <f>E1856-E1859</f>
        <v>547.47816</v>
      </c>
      <c r="F1860" s="12">
        <f>F1857-F1859</f>
        <v>-0.41183999999998377</v>
      </c>
      <c r="G1860" s="12">
        <f>G1857-G1859</f>
        <v>592.77815999999996</v>
      </c>
      <c r="H1860" s="12"/>
      <c r="I1860" s="12"/>
      <c r="J1860" s="12"/>
      <c r="K1860" s="12"/>
      <c r="L1860" s="12"/>
      <c r="M1860" s="12"/>
      <c r="N1860" s="12"/>
      <c r="O1860" s="12"/>
    </row>
    <row r="1861" spans="1:15" x14ac:dyDescent="0.25">
      <c r="A1861" s="73" t="s">
        <v>22</v>
      </c>
      <c r="B1861" s="102"/>
      <c r="C1861" s="17">
        <v>2022</v>
      </c>
      <c r="D1861" s="17">
        <v>2023</v>
      </c>
      <c r="E1861" s="17"/>
      <c r="F1861" s="17"/>
      <c r="G1861" s="17"/>
      <c r="H1861" s="17"/>
      <c r="I1861" s="17"/>
      <c r="J1861" s="17"/>
      <c r="K1861" s="17"/>
      <c r="L1861" s="17"/>
      <c r="M1861" s="17"/>
      <c r="N1861" s="17"/>
      <c r="O1861" s="17"/>
    </row>
    <row r="1862" spans="1:15" ht="12.75" customHeight="1" x14ac:dyDescent="0.25">
      <c r="A1862" s="497" t="s">
        <v>564</v>
      </c>
      <c r="B1862" s="498"/>
      <c r="C1862" s="498"/>
      <c r="D1862" s="498"/>
      <c r="E1862" s="498"/>
      <c r="F1862" s="498"/>
      <c r="G1862" s="498"/>
      <c r="H1862" s="498"/>
      <c r="I1862" s="498"/>
      <c r="J1862" s="498"/>
      <c r="K1862" s="498"/>
      <c r="L1862" s="498"/>
      <c r="M1862" s="498"/>
      <c r="N1862" s="498"/>
      <c r="O1862" s="499"/>
    </row>
    <row r="1863" spans="1:15" ht="12.75" customHeight="1" x14ac:dyDescent="0.25">
      <c r="A1863" s="500" t="s">
        <v>933</v>
      </c>
      <c r="B1863" s="501"/>
      <c r="C1863" s="501"/>
      <c r="D1863" s="501"/>
      <c r="E1863" s="501"/>
      <c r="F1863" s="501"/>
      <c r="G1863" s="501"/>
      <c r="H1863" s="501"/>
      <c r="I1863" s="501"/>
      <c r="J1863" s="501"/>
      <c r="K1863" s="501"/>
      <c r="L1863" s="501"/>
      <c r="M1863" s="501"/>
      <c r="N1863" s="501"/>
      <c r="O1863" s="502"/>
    </row>
    <row r="1864" spans="1:15" ht="12.75" customHeight="1" x14ac:dyDescent="0.25">
      <c r="A1864" s="500" t="s">
        <v>1060</v>
      </c>
      <c r="B1864" s="501"/>
      <c r="C1864" s="501"/>
      <c r="D1864" s="501"/>
      <c r="E1864" s="501"/>
      <c r="F1864" s="501"/>
      <c r="G1864" s="501"/>
      <c r="H1864" s="501"/>
      <c r="I1864" s="501"/>
      <c r="J1864" s="501"/>
      <c r="K1864" s="501"/>
      <c r="L1864" s="501"/>
      <c r="M1864" s="501"/>
      <c r="N1864" s="501"/>
      <c r="O1864" s="502"/>
    </row>
    <row r="1865" spans="1:15" x14ac:dyDescent="0.25">
      <c r="A1865" s="42" t="s">
        <v>1204</v>
      </c>
      <c r="B1865" s="34"/>
      <c r="C1865" s="34"/>
      <c r="D1865" s="34"/>
      <c r="E1865" s="34"/>
      <c r="F1865" s="34"/>
      <c r="G1865" s="34"/>
      <c r="H1865" s="34"/>
      <c r="I1865" s="34"/>
      <c r="J1865" s="34"/>
      <c r="K1865" s="34"/>
      <c r="L1865" s="34"/>
      <c r="M1865" s="34"/>
      <c r="N1865" s="34"/>
      <c r="O1865" s="48"/>
    </row>
    <row r="1866" spans="1:15" x14ac:dyDescent="0.25">
      <c r="C1866" s="123"/>
    </row>
    <row r="1867" spans="1:15" x14ac:dyDescent="0.25">
      <c r="A1867" s="6" t="s">
        <v>14</v>
      </c>
      <c r="B1867" s="7" t="s">
        <v>74</v>
      </c>
      <c r="C1867" s="123"/>
    </row>
    <row r="1868" spans="1:15" x14ac:dyDescent="0.25">
      <c r="A1868" s="41" t="s">
        <v>16</v>
      </c>
      <c r="B1868" s="274">
        <v>2024</v>
      </c>
      <c r="C1868" s="493">
        <v>2025</v>
      </c>
    </row>
    <row r="1869" spans="1:15" x14ac:dyDescent="0.25">
      <c r="A1869" s="10" t="s">
        <v>17</v>
      </c>
      <c r="B1869" s="12">
        <v>50.5</v>
      </c>
      <c r="C1869" s="12">
        <v>50.5</v>
      </c>
    </row>
    <row r="1870" spans="1:15" x14ac:dyDescent="0.25">
      <c r="A1870" s="10" t="s">
        <v>18</v>
      </c>
      <c r="B1870" s="12"/>
      <c r="C1870" s="503">
        <f>C1869+B1873</f>
        <v>49.84</v>
      </c>
    </row>
    <row r="1871" spans="1:15" x14ac:dyDescent="0.25">
      <c r="A1871" s="10" t="s">
        <v>19</v>
      </c>
      <c r="B1871" s="156"/>
      <c r="C1871" s="504" t="s">
        <v>399</v>
      </c>
    </row>
    <row r="1872" spans="1:15" x14ac:dyDescent="0.25">
      <c r="A1872" s="10" t="s">
        <v>20</v>
      </c>
      <c r="B1872" s="156">
        <v>51.16</v>
      </c>
      <c r="C1872" s="505"/>
    </row>
    <row r="1873" spans="1:12" x14ac:dyDescent="0.25">
      <c r="A1873" s="10" t="s">
        <v>21</v>
      </c>
      <c r="B1873" s="26">
        <f>B1869-B1872</f>
        <v>-0.65999999999999659</v>
      </c>
      <c r="C1873" s="505"/>
    </row>
    <row r="1874" spans="1:12" x14ac:dyDescent="0.25">
      <c r="A1874" s="16" t="s">
        <v>22</v>
      </c>
      <c r="B1874" s="456"/>
      <c r="C1874" s="505"/>
    </row>
    <row r="1875" spans="1:12" x14ac:dyDescent="0.25">
      <c r="A1875" s="18" t="s">
        <v>179</v>
      </c>
      <c r="B1875" s="19"/>
      <c r="C1875" s="506"/>
    </row>
    <row r="1876" spans="1:12" x14ac:dyDescent="0.25">
      <c r="A1876" s="56" t="s">
        <v>1205</v>
      </c>
      <c r="C1876" s="494"/>
    </row>
    <row r="1877" spans="1:12" x14ac:dyDescent="0.25">
      <c r="A1877" s="41"/>
      <c r="B1877" s="34"/>
      <c r="C1877" s="495"/>
    </row>
    <row r="1879" spans="1:12" x14ac:dyDescent="0.25">
      <c r="A1879" s="6" t="s">
        <v>204</v>
      </c>
      <c r="B1879" s="7" t="s">
        <v>205</v>
      </c>
    </row>
    <row r="1880" spans="1:12" x14ac:dyDescent="0.25">
      <c r="A1880" s="6" t="s">
        <v>203</v>
      </c>
      <c r="B1880" s="7" t="s">
        <v>638</v>
      </c>
      <c r="C1880" s="9" t="s">
        <v>15</v>
      </c>
    </row>
    <row r="1881" spans="1:12" x14ac:dyDescent="0.25">
      <c r="A1881" s="11" t="s">
        <v>16</v>
      </c>
      <c r="B1881" s="11"/>
      <c r="C1881" s="11"/>
      <c r="D1881" s="154">
        <v>2018</v>
      </c>
      <c r="E1881" s="154">
        <v>2019</v>
      </c>
      <c r="F1881" s="154">
        <v>2020</v>
      </c>
      <c r="G1881" s="154">
        <v>2021</v>
      </c>
      <c r="H1881" s="154">
        <v>2022</v>
      </c>
      <c r="I1881" s="154">
        <v>2023</v>
      </c>
      <c r="J1881" s="154">
        <v>2024</v>
      </c>
      <c r="K1881" s="154">
        <v>2025</v>
      </c>
      <c r="L1881" s="154">
        <v>2026</v>
      </c>
    </row>
    <row r="1882" spans="1:12" x14ac:dyDescent="0.25">
      <c r="A1882" s="11" t="s">
        <v>17</v>
      </c>
      <c r="B1882" s="12"/>
      <c r="C1882" s="12"/>
      <c r="D1882" s="12">
        <v>4400</v>
      </c>
      <c r="E1882" s="12">
        <v>4400</v>
      </c>
      <c r="F1882" s="12">
        <v>4400</v>
      </c>
      <c r="G1882" s="12">
        <v>4400</v>
      </c>
      <c r="H1882" s="12">
        <v>4400</v>
      </c>
      <c r="I1882" s="12">
        <v>5280</v>
      </c>
      <c r="J1882" s="12">
        <v>5280</v>
      </c>
      <c r="K1882" s="12">
        <v>5280</v>
      </c>
      <c r="L1882" s="12">
        <v>5280</v>
      </c>
    </row>
    <row r="1883" spans="1:12" x14ac:dyDescent="0.25">
      <c r="A1883" s="11" t="s">
        <v>18</v>
      </c>
      <c r="B1883" s="12"/>
      <c r="C1883" s="12"/>
      <c r="D1883" s="12">
        <v>5500</v>
      </c>
      <c r="E1883" s="12">
        <f>E1882*1.25-900</f>
        <v>4600</v>
      </c>
      <c r="F1883" s="12">
        <f>F1882*1.25-600</f>
        <v>4900</v>
      </c>
      <c r="G1883" s="12">
        <f>G1882+E1886</f>
        <v>4597.134</v>
      </c>
      <c r="H1883" s="12">
        <f>H1882+F1886</f>
        <v>5274.0761000000002</v>
      </c>
      <c r="I1883" s="12">
        <f>I1882+G1886-100</f>
        <v>5854.6139999999996</v>
      </c>
      <c r="J1883" s="12">
        <f>J1882+0-100</f>
        <v>5180</v>
      </c>
      <c r="K1883" s="12">
        <f>1.25*I1882-100</f>
        <v>6500</v>
      </c>
      <c r="L1883" s="12">
        <v>5477.7</v>
      </c>
    </row>
    <row r="1884" spans="1:12" x14ac:dyDescent="0.25">
      <c r="A1884" s="10" t="s">
        <v>19</v>
      </c>
      <c r="B1884" s="284"/>
      <c r="C1884" s="12"/>
      <c r="D1884" s="12"/>
      <c r="E1884" s="12"/>
      <c r="F1884" s="12"/>
      <c r="G1884" s="12"/>
      <c r="H1884" s="12"/>
      <c r="I1884" s="12"/>
      <c r="J1884" s="12"/>
      <c r="K1884" s="12"/>
      <c r="L1884" s="12"/>
    </row>
    <row r="1885" spans="1:12" x14ac:dyDescent="0.25">
      <c r="A1885" s="10" t="s">
        <v>20</v>
      </c>
      <c r="B1885" s="12"/>
      <c r="C1885" s="12"/>
      <c r="D1885" s="12">
        <v>2572.5</v>
      </c>
      <c r="E1885" s="12">
        <v>4402.866</v>
      </c>
      <c r="F1885" s="12">
        <v>4025.9238999999998</v>
      </c>
      <c r="G1885" s="12">
        <v>3922.52</v>
      </c>
      <c r="H1885" s="12">
        <v>5586.99</v>
      </c>
      <c r="I1885" s="12">
        <v>2670.4437000000003</v>
      </c>
      <c r="J1885" s="12">
        <v>4882.3</v>
      </c>
      <c r="K1885" s="12"/>
      <c r="L1885" s="12"/>
    </row>
    <row r="1886" spans="1:12" x14ac:dyDescent="0.25">
      <c r="A1886" s="10" t="s">
        <v>21</v>
      </c>
      <c r="B1886" s="12"/>
      <c r="C1886" s="12"/>
      <c r="D1886" s="12">
        <f t="shared" ref="D1886:J1886" si="79">D1883-D1885</f>
        <v>2927.5</v>
      </c>
      <c r="E1886" s="12">
        <f t="shared" si="79"/>
        <v>197.13400000000001</v>
      </c>
      <c r="F1886" s="12">
        <f t="shared" si="79"/>
        <v>874.07610000000022</v>
      </c>
      <c r="G1886" s="12">
        <f t="shared" si="79"/>
        <v>674.61400000000003</v>
      </c>
      <c r="H1886" s="12">
        <f t="shared" si="79"/>
        <v>-312.91389999999956</v>
      </c>
      <c r="I1886" s="12">
        <f t="shared" si="79"/>
        <v>3184.1702999999993</v>
      </c>
      <c r="J1886" s="12">
        <f t="shared" si="79"/>
        <v>297.69999999999982</v>
      </c>
      <c r="K1886" s="12"/>
      <c r="L1886" s="12"/>
    </row>
    <row r="1887" spans="1:12" x14ac:dyDescent="0.25">
      <c r="A1887" s="16" t="s">
        <v>22</v>
      </c>
      <c r="B1887" s="17"/>
      <c r="C1887" s="17"/>
      <c r="D1887" s="159">
        <v>2020</v>
      </c>
      <c r="E1887" s="159">
        <v>2021</v>
      </c>
      <c r="F1887" s="159">
        <v>2022</v>
      </c>
      <c r="G1887" s="159">
        <v>2023</v>
      </c>
      <c r="H1887" s="159">
        <v>2024</v>
      </c>
      <c r="I1887" s="159">
        <v>2025</v>
      </c>
      <c r="J1887" s="159">
        <v>2026</v>
      </c>
      <c r="K1887" s="159">
        <v>2027</v>
      </c>
      <c r="L1887" s="159">
        <v>2027</v>
      </c>
    </row>
    <row r="1888" spans="1:12" x14ac:dyDescent="0.25">
      <c r="A1888" s="16" t="s">
        <v>23</v>
      </c>
      <c r="B1888" s="46"/>
      <c r="C1888" s="46"/>
      <c r="D1888" s="178"/>
      <c r="E1888" s="178"/>
      <c r="F1888" s="178"/>
      <c r="G1888" s="179"/>
      <c r="H1888" s="179"/>
      <c r="I1888" s="179"/>
      <c r="J1888" s="179"/>
      <c r="K1888" s="179"/>
      <c r="L1888" s="179"/>
    </row>
    <row r="1889" spans="1:12" x14ac:dyDescent="0.25">
      <c r="A1889" s="18" t="s">
        <v>115</v>
      </c>
      <c r="B1889" s="19"/>
      <c r="C1889" s="19"/>
      <c r="D1889" s="19"/>
      <c r="E1889" s="19"/>
      <c r="F1889" s="19"/>
      <c r="G1889" s="19"/>
      <c r="H1889" s="19"/>
      <c r="I1889" s="19"/>
      <c r="J1889" s="19"/>
      <c r="K1889" s="19"/>
      <c r="L1889" s="63"/>
    </row>
    <row r="1890" spans="1:12" x14ac:dyDescent="0.25">
      <c r="A1890" s="39" t="s">
        <v>326</v>
      </c>
      <c r="L1890" s="64"/>
    </row>
    <row r="1891" spans="1:12" x14ac:dyDescent="0.25">
      <c r="A1891" s="39" t="s">
        <v>327</v>
      </c>
      <c r="L1891" s="64"/>
    </row>
    <row r="1892" spans="1:12" x14ac:dyDescent="0.25">
      <c r="A1892" s="39" t="s">
        <v>466</v>
      </c>
      <c r="L1892" s="64"/>
    </row>
    <row r="1893" spans="1:12" x14ac:dyDescent="0.25">
      <c r="A1893" s="39" t="s">
        <v>905</v>
      </c>
      <c r="L1893" s="64"/>
    </row>
    <row r="1894" spans="1:12" x14ac:dyDescent="0.25">
      <c r="A1894" s="39" t="s">
        <v>817</v>
      </c>
      <c r="L1894" s="64"/>
    </row>
    <row r="1895" spans="1:12" x14ac:dyDescent="0.25">
      <c r="A1895" s="39" t="s">
        <v>1061</v>
      </c>
      <c r="L1895" s="64"/>
    </row>
    <row r="1896" spans="1:12" x14ac:dyDescent="0.25">
      <c r="A1896" s="39" t="s">
        <v>1062</v>
      </c>
      <c r="L1896" s="64"/>
    </row>
    <row r="1897" spans="1:12" x14ac:dyDescent="0.25">
      <c r="A1897" s="42" t="s">
        <v>1206</v>
      </c>
      <c r="B1897" s="34"/>
      <c r="C1897" s="34"/>
      <c r="D1897" s="34"/>
      <c r="E1897" s="34"/>
      <c r="F1897" s="34"/>
      <c r="G1897" s="34"/>
      <c r="H1897" s="34"/>
      <c r="I1897" s="34"/>
      <c r="J1897" s="34"/>
      <c r="K1897" s="34"/>
      <c r="L1897" s="48"/>
    </row>
    <row r="1899" spans="1:12" x14ac:dyDescent="0.25">
      <c r="A1899" s="6" t="s">
        <v>203</v>
      </c>
      <c r="B1899" s="7" t="s">
        <v>641</v>
      </c>
      <c r="C1899" s="9" t="s">
        <v>15</v>
      </c>
    </row>
    <row r="1900" spans="1:12" x14ac:dyDescent="0.25">
      <c r="A1900" s="11" t="s">
        <v>16</v>
      </c>
      <c r="B1900" s="11"/>
      <c r="C1900" s="154">
        <v>2016</v>
      </c>
      <c r="D1900" s="154">
        <v>2017</v>
      </c>
      <c r="E1900" s="154">
        <v>2018</v>
      </c>
      <c r="F1900" s="154">
        <v>2019</v>
      </c>
      <c r="G1900" s="154">
        <v>2020</v>
      </c>
      <c r="H1900" s="154">
        <v>2021</v>
      </c>
      <c r="I1900" s="154">
        <v>2022</v>
      </c>
      <c r="J1900" s="154">
        <v>2023</v>
      </c>
      <c r="K1900" s="154">
        <v>2024</v>
      </c>
    </row>
    <row r="1901" spans="1:12" x14ac:dyDescent="0.25">
      <c r="A1901" s="11" t="s">
        <v>17</v>
      </c>
      <c r="B1901" s="12"/>
      <c r="C1901" s="12">
        <v>1001</v>
      </c>
      <c r="D1901" s="12">
        <v>1001</v>
      </c>
      <c r="E1901" s="12">
        <v>1001</v>
      </c>
      <c r="F1901" s="12">
        <v>1001</v>
      </c>
      <c r="G1901" s="12">
        <v>1001</v>
      </c>
      <c r="H1901" s="12">
        <v>1001</v>
      </c>
      <c r="I1901" s="12">
        <v>1001</v>
      </c>
      <c r="J1901" s="12">
        <v>1001</v>
      </c>
      <c r="K1901" s="12">
        <v>1001</v>
      </c>
    </row>
    <row r="1902" spans="1:12" x14ac:dyDescent="0.25">
      <c r="A1902" s="11" t="s">
        <v>18</v>
      </c>
      <c r="B1902" s="12"/>
      <c r="C1902" s="12">
        <f>C1901*1.3-50</f>
        <v>1251.3</v>
      </c>
      <c r="D1902" s="12">
        <f>D1901*1.3-50</f>
        <v>1251.3</v>
      </c>
      <c r="E1902" s="12">
        <f>E1901*1.2-50</f>
        <v>1151.2</v>
      </c>
      <c r="F1902" s="12">
        <f>F1901*1.2-50</f>
        <v>1151.2</v>
      </c>
      <c r="G1902" s="12">
        <f>G1901*1.2-50</f>
        <v>1151.2</v>
      </c>
      <c r="H1902" s="12">
        <f>H1901*1.2-50</f>
        <v>1151.2</v>
      </c>
      <c r="I1902" s="12">
        <f>I1901*1.2-50</f>
        <v>1151.2</v>
      </c>
      <c r="J1902" s="12">
        <f>J1901*1.1-50</f>
        <v>1051.1000000000001</v>
      </c>
      <c r="K1902" s="12">
        <f>K1901*1.1-50</f>
        <v>1051.1000000000001</v>
      </c>
    </row>
    <row r="1903" spans="1:12" x14ac:dyDescent="0.25">
      <c r="A1903" s="10" t="s">
        <v>19</v>
      </c>
      <c r="B1903" s="284"/>
      <c r="C1903" s="480" t="s">
        <v>467</v>
      </c>
      <c r="D1903" s="480" t="s">
        <v>467</v>
      </c>
      <c r="E1903" s="480" t="s">
        <v>468</v>
      </c>
      <c r="F1903" s="480" t="s">
        <v>468</v>
      </c>
      <c r="G1903" s="480" t="s">
        <v>468</v>
      </c>
      <c r="H1903" s="480" t="s">
        <v>468</v>
      </c>
      <c r="I1903" s="480" t="s">
        <v>468</v>
      </c>
      <c r="J1903" s="480" t="s">
        <v>1063</v>
      </c>
      <c r="K1903" s="480" t="s">
        <v>1063</v>
      </c>
    </row>
    <row r="1904" spans="1:12" x14ac:dyDescent="0.25">
      <c r="A1904" s="10" t="s">
        <v>20</v>
      </c>
      <c r="B1904" s="12"/>
      <c r="C1904" s="12">
        <v>124.4</v>
      </c>
      <c r="D1904" s="12">
        <v>159</v>
      </c>
      <c r="E1904" s="12">
        <v>188.7</v>
      </c>
      <c r="F1904" s="12">
        <v>288.56359999999995</v>
      </c>
      <c r="G1904" s="12">
        <v>149.46553</v>
      </c>
      <c r="H1904" s="11">
        <v>228.99</v>
      </c>
      <c r="I1904" s="11">
        <v>160.58000000000001</v>
      </c>
      <c r="J1904" s="11">
        <v>291.24200000000002</v>
      </c>
      <c r="K1904" s="11">
        <v>291.10000000000002</v>
      </c>
    </row>
    <row r="1905" spans="1:12" x14ac:dyDescent="0.25">
      <c r="A1905" s="10" t="s">
        <v>21</v>
      </c>
      <c r="B1905" s="12"/>
      <c r="C1905" s="12">
        <f t="shared" ref="C1905:K1905" si="80">C1902-C1904</f>
        <v>1126.8999999999999</v>
      </c>
      <c r="D1905" s="12">
        <f t="shared" si="80"/>
        <v>1092.3</v>
      </c>
      <c r="E1905" s="12">
        <f t="shared" si="80"/>
        <v>962.5</v>
      </c>
      <c r="F1905" s="12">
        <f t="shared" si="80"/>
        <v>862.63640000000009</v>
      </c>
      <c r="G1905" s="12">
        <f t="shared" si="80"/>
        <v>1001.7344700000001</v>
      </c>
      <c r="H1905" s="12">
        <f t="shared" si="80"/>
        <v>922.21</v>
      </c>
      <c r="I1905" s="12">
        <f t="shared" si="80"/>
        <v>990.62</v>
      </c>
      <c r="J1905" s="12">
        <f t="shared" si="80"/>
        <v>759.85800000000017</v>
      </c>
      <c r="K1905" s="12">
        <f t="shared" si="80"/>
        <v>760.00000000000011</v>
      </c>
    </row>
    <row r="1906" spans="1:12" x14ac:dyDescent="0.25">
      <c r="A1906" s="16" t="s">
        <v>22</v>
      </c>
      <c r="B1906" s="17"/>
      <c r="C1906" s="159">
        <v>2018</v>
      </c>
      <c r="D1906" s="159">
        <v>2019</v>
      </c>
      <c r="E1906" s="159">
        <v>2020</v>
      </c>
      <c r="F1906" s="159">
        <v>2021</v>
      </c>
      <c r="G1906" s="159">
        <v>2022</v>
      </c>
      <c r="H1906" s="159">
        <v>2023</v>
      </c>
      <c r="I1906" s="159">
        <v>2024</v>
      </c>
      <c r="J1906" s="159">
        <v>2025</v>
      </c>
      <c r="K1906" s="159">
        <v>2026</v>
      </c>
    </row>
    <row r="1907" spans="1:12" x14ac:dyDescent="0.25">
      <c r="A1907" s="17" t="s">
        <v>23</v>
      </c>
      <c r="B1907" s="16"/>
      <c r="C1907" s="46"/>
      <c r="D1907" s="46"/>
      <c r="E1907" s="46"/>
      <c r="F1907" s="46"/>
      <c r="G1907" s="46"/>
      <c r="H1907" s="47"/>
      <c r="I1907" s="47"/>
      <c r="J1907" s="47"/>
      <c r="K1907" s="47"/>
    </row>
    <row r="1908" spans="1:12" x14ac:dyDescent="0.25">
      <c r="A1908" s="76" t="s">
        <v>455</v>
      </c>
      <c r="B1908" s="77"/>
      <c r="C1908" s="77"/>
      <c r="D1908" s="77"/>
      <c r="E1908" s="77"/>
      <c r="F1908" s="75"/>
      <c r="G1908" s="75"/>
      <c r="H1908" s="46"/>
      <c r="I1908" s="46"/>
      <c r="J1908" s="47"/>
      <c r="K1908" s="47"/>
    </row>
    <row r="1909" spans="1:12" x14ac:dyDescent="0.25">
      <c r="A1909" s="39" t="s">
        <v>454</v>
      </c>
      <c r="J1909" s="64"/>
      <c r="K1909" s="64"/>
    </row>
    <row r="1910" spans="1:12" x14ac:dyDescent="0.25">
      <c r="A1910" s="39" t="s">
        <v>834</v>
      </c>
      <c r="J1910" s="64"/>
      <c r="K1910" s="64"/>
    </row>
    <row r="1911" spans="1:12" x14ac:dyDescent="0.25">
      <c r="A1911" s="41" t="s">
        <v>1207</v>
      </c>
      <c r="B1911" s="34"/>
      <c r="C1911" s="34"/>
      <c r="D1911" s="34"/>
      <c r="E1911" s="34"/>
      <c r="F1911" s="34"/>
      <c r="G1911" s="34"/>
      <c r="H1911" s="34"/>
      <c r="I1911" s="34"/>
      <c r="J1911" s="48"/>
      <c r="K1911" s="48"/>
    </row>
    <row r="1914" spans="1:12" x14ac:dyDescent="0.25">
      <c r="A1914" s="6" t="s">
        <v>12</v>
      </c>
      <c r="B1914" s="7" t="s">
        <v>13</v>
      </c>
    </row>
    <row r="1915" spans="1:12" x14ac:dyDescent="0.25">
      <c r="A1915" s="6" t="s">
        <v>14</v>
      </c>
      <c r="B1915" s="7" t="s">
        <v>642</v>
      </c>
      <c r="C1915" s="9" t="s">
        <v>15</v>
      </c>
    </row>
    <row r="1916" spans="1:12" x14ac:dyDescent="0.25">
      <c r="A1916" s="10" t="s">
        <v>16</v>
      </c>
      <c r="B1916" s="11"/>
      <c r="C1916" s="507">
        <v>2016</v>
      </c>
      <c r="D1916" s="508">
        <v>2017</v>
      </c>
      <c r="E1916" s="507">
        <v>2018</v>
      </c>
      <c r="F1916" s="509">
        <v>2019</v>
      </c>
      <c r="G1916" s="509">
        <v>2020</v>
      </c>
      <c r="H1916" s="509">
        <v>2021</v>
      </c>
      <c r="I1916" s="509">
        <v>2022</v>
      </c>
      <c r="J1916" s="509">
        <v>2023</v>
      </c>
      <c r="K1916" s="509">
        <v>2024</v>
      </c>
      <c r="L1916" s="509">
        <v>2025</v>
      </c>
    </row>
    <row r="1917" spans="1:12" x14ac:dyDescent="0.25">
      <c r="A1917" s="10" t="s">
        <v>17</v>
      </c>
      <c r="B1917" s="11"/>
      <c r="C1917" s="12">
        <v>47.4</v>
      </c>
      <c r="D1917" s="188">
        <v>56.91</v>
      </c>
      <c r="E1917" s="12">
        <v>66</v>
      </c>
      <c r="F1917" s="189">
        <v>73</v>
      </c>
      <c r="G1917" s="189">
        <v>80</v>
      </c>
      <c r="H1917" s="189">
        <v>80</v>
      </c>
      <c r="I1917" s="189">
        <v>80</v>
      </c>
      <c r="J1917" s="189">
        <v>129</v>
      </c>
      <c r="K1917" s="189">
        <v>129</v>
      </c>
      <c r="L1917" s="189">
        <v>129</v>
      </c>
    </row>
    <row r="1918" spans="1:12" x14ac:dyDescent="0.25">
      <c r="A1918" s="10" t="s">
        <v>18</v>
      </c>
      <c r="B1918" s="11"/>
      <c r="C1918" s="12">
        <v>47.4</v>
      </c>
      <c r="D1918" s="188">
        <v>56.91</v>
      </c>
      <c r="E1918" s="12">
        <v>66</v>
      </c>
      <c r="F1918" s="189">
        <v>73</v>
      </c>
      <c r="G1918" s="189">
        <v>80</v>
      </c>
      <c r="H1918" s="189">
        <v>0.8</v>
      </c>
      <c r="I1918" s="189">
        <v>80</v>
      </c>
      <c r="J1918" s="189">
        <v>1</v>
      </c>
      <c r="K1918" s="189">
        <v>1</v>
      </c>
      <c r="L1918" s="189">
        <v>1</v>
      </c>
    </row>
    <row r="1919" spans="1:12" x14ac:dyDescent="0.25">
      <c r="A1919" s="10" t="s">
        <v>19</v>
      </c>
      <c r="B1919" s="11"/>
      <c r="C1919" s="12"/>
      <c r="D1919" s="188"/>
      <c r="E1919" s="12"/>
      <c r="F1919" s="189"/>
      <c r="G1919" s="189"/>
      <c r="H1919" s="510" t="s">
        <v>543</v>
      </c>
      <c r="I1919" s="510"/>
      <c r="J1919" s="510" t="s">
        <v>544</v>
      </c>
      <c r="K1919" s="510" t="s">
        <v>545</v>
      </c>
      <c r="L1919" s="510" t="s">
        <v>548</v>
      </c>
    </row>
    <row r="1920" spans="1:12" x14ac:dyDescent="0.25">
      <c r="A1920" s="10" t="s">
        <v>20</v>
      </c>
      <c r="B1920" s="11"/>
      <c r="C1920" s="12">
        <v>47.393000000000001</v>
      </c>
      <c r="D1920" s="188">
        <v>56.905999999999999</v>
      </c>
      <c r="E1920" s="12">
        <v>66</v>
      </c>
      <c r="F1920" s="189">
        <v>71.97</v>
      </c>
      <c r="G1920" s="189">
        <v>79.2</v>
      </c>
      <c r="H1920" s="189"/>
      <c r="I1920" s="189">
        <v>79.2</v>
      </c>
      <c r="J1920" s="189"/>
      <c r="K1920" s="189">
        <v>0</v>
      </c>
      <c r="L1920" s="189"/>
    </row>
    <row r="1921" spans="1:13" x14ac:dyDescent="0.25">
      <c r="A1921" s="10" t="s">
        <v>21</v>
      </c>
      <c r="B1921" s="11"/>
      <c r="C1921" s="12">
        <f>C1918-C1920</f>
        <v>6.9999999999978968E-3</v>
      </c>
      <c r="D1921" s="12">
        <f>D1918-D1920</f>
        <v>3.9999999999977831E-3</v>
      </c>
      <c r="E1921" s="12">
        <f>E1918-E1920</f>
        <v>0</v>
      </c>
      <c r="F1921" s="12">
        <f>F1918-F1920</f>
        <v>1.0300000000000011</v>
      </c>
      <c r="G1921" s="189">
        <f>G1918-G1920</f>
        <v>0.79999999999999716</v>
      </c>
      <c r="H1921" s="189"/>
      <c r="I1921" s="189">
        <v>0.79999999999999716</v>
      </c>
      <c r="J1921" s="189">
        <v>0</v>
      </c>
      <c r="K1921" s="189">
        <f>K1918-K1920</f>
        <v>1</v>
      </c>
      <c r="L1921" s="189"/>
    </row>
    <row r="1922" spans="1:13" x14ac:dyDescent="0.25">
      <c r="A1922" s="16" t="s">
        <v>22</v>
      </c>
      <c r="B1922" s="17"/>
      <c r="C1922" s="17"/>
      <c r="D1922" s="46"/>
      <c r="E1922" s="17"/>
      <c r="F1922" s="47"/>
      <c r="G1922" s="17"/>
      <c r="H1922" s="17"/>
      <c r="I1922" s="17"/>
      <c r="J1922" s="17"/>
      <c r="K1922" s="17">
        <v>2025</v>
      </c>
      <c r="L1922" s="17">
        <v>2026</v>
      </c>
    </row>
    <row r="1923" spans="1:13" x14ac:dyDescent="0.25">
      <c r="A1923" s="16" t="s">
        <v>23</v>
      </c>
      <c r="B1923" s="46"/>
      <c r="C1923" s="46"/>
      <c r="D1923" s="46"/>
      <c r="E1923" s="46"/>
      <c r="F1923" s="46"/>
      <c r="G1923" s="46"/>
      <c r="H1923" s="46"/>
      <c r="I1923" s="47"/>
      <c r="J1923" s="47"/>
      <c r="K1923" s="47"/>
    </row>
    <row r="1924" spans="1:13" x14ac:dyDescent="0.25">
      <c r="A1924" s="16" t="s">
        <v>953</v>
      </c>
      <c r="B1924" s="46"/>
      <c r="C1924" s="46"/>
      <c r="D1924" s="46"/>
      <c r="E1924" s="46"/>
      <c r="F1924" s="46"/>
      <c r="G1924" s="46"/>
      <c r="H1924" s="46"/>
      <c r="I1924" s="46"/>
      <c r="J1924" s="46"/>
      <c r="K1924" s="47"/>
    </row>
    <row r="1925" spans="1:13" x14ac:dyDescent="0.25">
      <c r="A1925" s="39" t="s">
        <v>954</v>
      </c>
      <c r="K1925" s="64"/>
    </row>
    <row r="1926" spans="1:13" x14ac:dyDescent="0.25">
      <c r="A1926" s="41" t="s">
        <v>955</v>
      </c>
      <c r="B1926" s="34"/>
      <c r="C1926" s="34"/>
      <c r="D1926" s="34"/>
      <c r="E1926" s="34"/>
      <c r="F1926" s="34"/>
      <c r="G1926" s="34"/>
      <c r="H1926" s="34"/>
      <c r="I1926" s="34"/>
      <c r="J1926" s="34"/>
      <c r="K1926" s="48"/>
    </row>
    <row r="1929" spans="1:13" x14ac:dyDescent="0.25">
      <c r="A1929" s="6" t="s">
        <v>12</v>
      </c>
      <c r="B1929" s="7" t="s">
        <v>172</v>
      </c>
    </row>
    <row r="1930" spans="1:13" x14ac:dyDescent="0.25">
      <c r="A1930" s="6" t="s">
        <v>14</v>
      </c>
      <c r="B1930" s="511" t="s">
        <v>623</v>
      </c>
      <c r="C1930" s="512" t="s">
        <v>15</v>
      </c>
    </row>
    <row r="1931" spans="1:13" x14ac:dyDescent="0.25">
      <c r="A1931" s="10" t="s">
        <v>16</v>
      </c>
      <c r="B1931" s="11"/>
      <c r="C1931" s="11"/>
      <c r="D1931" s="11"/>
      <c r="E1931" s="11"/>
      <c r="F1931" s="154">
        <v>2018</v>
      </c>
      <c r="G1931" s="154">
        <v>2019</v>
      </c>
      <c r="H1931" s="154">
        <v>2020</v>
      </c>
      <c r="I1931" s="154">
        <v>2021</v>
      </c>
      <c r="J1931" s="154">
        <v>2022</v>
      </c>
      <c r="K1931" s="154">
        <v>2023</v>
      </c>
      <c r="L1931" s="154">
        <v>2024</v>
      </c>
      <c r="M1931" s="154">
        <v>2025</v>
      </c>
    </row>
    <row r="1932" spans="1:13" x14ac:dyDescent="0.25">
      <c r="A1932" s="10" t="s">
        <v>17</v>
      </c>
      <c r="B1932" s="11"/>
      <c r="C1932" s="12"/>
      <c r="D1932" s="12"/>
      <c r="E1932" s="12"/>
      <c r="F1932" s="12">
        <v>125</v>
      </c>
      <c r="G1932" s="12">
        <v>125</v>
      </c>
      <c r="H1932" s="12">
        <v>125</v>
      </c>
      <c r="I1932" s="12">
        <v>125</v>
      </c>
      <c r="J1932" s="12">
        <v>125</v>
      </c>
      <c r="K1932" s="12">
        <v>125</v>
      </c>
      <c r="L1932" s="12">
        <v>125</v>
      </c>
      <c r="M1932" s="12">
        <v>125</v>
      </c>
    </row>
    <row r="1933" spans="1:13" x14ac:dyDescent="0.25">
      <c r="A1933" s="10" t="s">
        <v>18</v>
      </c>
      <c r="B1933" s="11"/>
      <c r="C1933" s="12"/>
      <c r="D1933" s="12"/>
      <c r="E1933" s="12"/>
      <c r="F1933" s="12">
        <v>100</v>
      </c>
      <c r="G1933" s="12">
        <v>100</v>
      </c>
      <c r="H1933" s="12">
        <f>H1932*1.4-100</f>
        <v>75</v>
      </c>
      <c r="I1933" s="12">
        <v>75</v>
      </c>
      <c r="J1933" s="12">
        <v>75</v>
      </c>
      <c r="K1933" s="12">
        <v>75</v>
      </c>
      <c r="L1933" s="12">
        <v>75</v>
      </c>
      <c r="M1933" s="12">
        <v>75</v>
      </c>
    </row>
    <row r="1934" spans="1:13" x14ac:dyDescent="0.25">
      <c r="A1934" s="10" t="s">
        <v>19</v>
      </c>
      <c r="B1934" s="11"/>
      <c r="C1934" s="12"/>
      <c r="D1934" s="12"/>
      <c r="E1934" s="12"/>
      <c r="F1934" s="12">
        <f>F1932*1.4-(75)</f>
        <v>100</v>
      </c>
      <c r="G1934" s="12">
        <f>G1932*1.4-(75)</f>
        <v>100</v>
      </c>
      <c r="H1934" s="12">
        <v>75</v>
      </c>
      <c r="I1934" s="12">
        <v>75</v>
      </c>
      <c r="J1934" s="12">
        <v>75</v>
      </c>
      <c r="K1934" s="12">
        <v>75</v>
      </c>
      <c r="L1934" s="12">
        <f>L1932+0.4*K1932-75-25</f>
        <v>75</v>
      </c>
      <c r="M1934" s="12"/>
    </row>
    <row r="1935" spans="1:13" x14ac:dyDescent="0.25">
      <c r="A1935" s="10" t="s">
        <v>20</v>
      </c>
      <c r="B1935" s="11"/>
      <c r="C1935" s="12"/>
      <c r="D1935" s="12"/>
      <c r="E1935" s="12"/>
      <c r="F1935" s="12">
        <v>3</v>
      </c>
      <c r="G1935" s="12">
        <v>5.91</v>
      </c>
      <c r="H1935" s="12">
        <v>7.76</v>
      </c>
      <c r="I1935" s="12">
        <v>6.2</v>
      </c>
      <c r="J1935" s="12">
        <v>6.06</v>
      </c>
      <c r="K1935" s="12">
        <v>0.95</v>
      </c>
      <c r="L1935" s="15">
        <v>4.09</v>
      </c>
      <c r="M1935" s="15"/>
    </row>
    <row r="1936" spans="1:13" x14ac:dyDescent="0.25">
      <c r="A1936" s="10" t="s">
        <v>21</v>
      </c>
      <c r="B1936" s="11"/>
      <c r="C1936" s="12"/>
      <c r="D1936" s="12"/>
      <c r="E1936" s="12"/>
      <c r="F1936" s="12">
        <f>F1933-F1935</f>
        <v>97</v>
      </c>
      <c r="G1936" s="12">
        <f>G1933-G1935</f>
        <v>94.09</v>
      </c>
      <c r="H1936" s="12">
        <v>67.239999999999995</v>
      </c>
      <c r="I1936" s="12">
        <f>I1933-I1935</f>
        <v>68.8</v>
      </c>
      <c r="J1936" s="12">
        <f>J1933-J1935</f>
        <v>68.94</v>
      </c>
      <c r="K1936" s="12">
        <f>K1933-K1935</f>
        <v>74.05</v>
      </c>
      <c r="L1936" s="12">
        <f>L1933-L1935</f>
        <v>70.91</v>
      </c>
      <c r="M1936" s="12"/>
    </row>
    <row r="1937" spans="1:13" x14ac:dyDescent="0.25">
      <c r="A1937" s="16" t="s">
        <v>22</v>
      </c>
      <c r="B1937" s="17"/>
      <c r="C1937" s="17"/>
      <c r="D1937" s="17"/>
      <c r="E1937" s="17"/>
      <c r="F1937" s="159">
        <v>2019</v>
      </c>
      <c r="G1937" s="159">
        <v>2020</v>
      </c>
      <c r="H1937" s="159">
        <v>2021</v>
      </c>
      <c r="I1937" s="159">
        <v>2022</v>
      </c>
      <c r="J1937" s="159">
        <v>2023</v>
      </c>
      <c r="K1937" s="159">
        <v>2024</v>
      </c>
      <c r="L1937" s="159">
        <v>2025</v>
      </c>
      <c r="M1937" s="159">
        <v>2026</v>
      </c>
    </row>
    <row r="1938" spans="1:13" ht="25.95" customHeight="1" x14ac:dyDescent="0.25">
      <c r="A1938" s="160" t="s">
        <v>662</v>
      </c>
      <c r="B1938" s="585"/>
      <c r="C1938" s="585"/>
      <c r="D1938" s="585"/>
      <c r="E1938" s="585"/>
      <c r="F1938" s="585"/>
      <c r="G1938" s="585"/>
      <c r="H1938" s="585"/>
      <c r="I1938" s="585"/>
      <c r="J1938" s="19"/>
      <c r="K1938" s="19"/>
      <c r="L1938" s="19"/>
      <c r="M1938" s="63"/>
    </row>
    <row r="1939" spans="1:13" ht="34.200000000000003" customHeight="1" x14ac:dyDescent="0.25">
      <c r="A1939" s="161" t="s">
        <v>260</v>
      </c>
      <c r="B1939" s="4"/>
      <c r="C1939" s="4"/>
      <c r="D1939" s="4"/>
      <c r="E1939" s="4"/>
      <c r="F1939" s="4"/>
      <c r="G1939" s="4"/>
      <c r="H1939" s="4"/>
      <c r="I1939" s="4"/>
      <c r="M1939" s="64"/>
    </row>
    <row r="1940" spans="1:13" ht="27.6" customHeight="1" x14ac:dyDescent="0.25">
      <c r="A1940" s="161" t="s">
        <v>521</v>
      </c>
      <c r="B1940" s="4"/>
      <c r="C1940" s="4"/>
      <c r="D1940" s="4"/>
      <c r="E1940" s="4"/>
      <c r="F1940" s="4"/>
      <c r="G1940" s="4"/>
      <c r="H1940" s="4"/>
      <c r="I1940" s="4"/>
      <c r="M1940" s="64"/>
    </row>
    <row r="1941" spans="1:13" ht="27.6" customHeight="1" x14ac:dyDescent="0.25">
      <c r="A1941" s="161" t="s">
        <v>522</v>
      </c>
      <c r="B1941" s="4"/>
      <c r="C1941" s="4"/>
      <c r="D1941" s="4"/>
      <c r="E1941" s="4"/>
      <c r="F1941" s="4"/>
      <c r="G1941" s="4"/>
      <c r="H1941" s="4"/>
      <c r="I1941" s="4"/>
      <c r="M1941" s="64"/>
    </row>
    <row r="1942" spans="1:13" ht="27.6" customHeight="1" x14ac:dyDescent="0.25">
      <c r="A1942" s="161" t="s">
        <v>661</v>
      </c>
      <c r="M1942" s="64"/>
    </row>
    <row r="1943" spans="1:13" ht="27.6" customHeight="1" x14ac:dyDescent="0.25">
      <c r="A1943" s="161" t="s">
        <v>846</v>
      </c>
      <c r="M1943" s="64"/>
    </row>
    <row r="1944" spans="1:13" ht="30" customHeight="1" x14ac:dyDescent="0.25">
      <c r="A1944" s="245" t="s">
        <v>1066</v>
      </c>
      <c r="B1944" s="34"/>
      <c r="C1944" s="34"/>
      <c r="D1944" s="34"/>
      <c r="E1944" s="34"/>
      <c r="F1944" s="34"/>
      <c r="G1944" s="34"/>
      <c r="H1944" s="34"/>
      <c r="I1944" s="34"/>
      <c r="J1944" s="34"/>
      <c r="K1944" s="34"/>
      <c r="L1944" s="34"/>
      <c r="M1944" s="48"/>
    </row>
    <row r="1946" spans="1:13" x14ac:dyDescent="0.25">
      <c r="A1946" s="6" t="s">
        <v>14</v>
      </c>
      <c r="B1946" s="473" t="s">
        <v>74</v>
      </c>
      <c r="C1946" s="7" t="s">
        <v>15</v>
      </c>
    </row>
    <row r="1947" spans="1:13" x14ac:dyDescent="0.25">
      <c r="A1947" s="41" t="s">
        <v>16</v>
      </c>
      <c r="B1947" s="469"/>
      <c r="C1947" s="154">
        <v>2015</v>
      </c>
      <c r="D1947" s="154">
        <v>2016</v>
      </c>
      <c r="E1947" s="154">
        <v>2017</v>
      </c>
      <c r="F1947" s="154">
        <v>2018</v>
      </c>
      <c r="G1947" s="154">
        <v>2019</v>
      </c>
      <c r="H1947" s="154">
        <v>2020</v>
      </c>
      <c r="I1947" s="154">
        <v>2021</v>
      </c>
      <c r="J1947" s="154">
        <v>2022</v>
      </c>
      <c r="K1947" s="154">
        <v>2023</v>
      </c>
      <c r="L1947" s="154">
        <v>2024</v>
      </c>
      <c r="M1947" s="154">
        <v>2025</v>
      </c>
    </row>
    <row r="1948" spans="1:13" x14ac:dyDescent="0.25">
      <c r="A1948" s="10" t="s">
        <v>17</v>
      </c>
      <c r="B1948" s="275"/>
      <c r="C1948" s="275">
        <v>20</v>
      </c>
      <c r="D1948" s="275">
        <v>20</v>
      </c>
      <c r="E1948" s="275">
        <v>20</v>
      </c>
      <c r="F1948" s="275">
        <v>20</v>
      </c>
      <c r="G1948" s="275">
        <v>20</v>
      </c>
      <c r="H1948" s="298">
        <v>16.8</v>
      </c>
      <c r="I1948" s="11">
        <v>16.8</v>
      </c>
      <c r="J1948" s="11">
        <v>16.8</v>
      </c>
      <c r="K1948" s="11">
        <v>16.8</v>
      </c>
      <c r="L1948" s="11">
        <v>16.8</v>
      </c>
      <c r="M1948" s="11">
        <v>16.8</v>
      </c>
    </row>
    <row r="1949" spans="1:13" x14ac:dyDescent="0.25">
      <c r="A1949" s="10" t="s">
        <v>18</v>
      </c>
      <c r="B1949" s="275"/>
      <c r="C1949" s="275"/>
      <c r="D1949" s="275">
        <v>-64.900000000000006</v>
      </c>
      <c r="E1949" s="275">
        <v>-63.600000000000009</v>
      </c>
      <c r="F1949" s="275">
        <v>-43.600000000000009</v>
      </c>
      <c r="G1949" s="275">
        <v>-23.600000000000009</v>
      </c>
      <c r="H1949" s="275">
        <f>G1952+H1948+2</f>
        <v>-4.8000000000000078</v>
      </c>
      <c r="I1949" s="12">
        <f>I1948+H1952+2</f>
        <v>13.999999999999993</v>
      </c>
      <c r="J1949" s="12">
        <f>J1948+2</f>
        <v>18.8</v>
      </c>
      <c r="K1949" s="12">
        <f>K1948+2</f>
        <v>18.8</v>
      </c>
      <c r="L1949" s="12">
        <f>L1948+2</f>
        <v>18.8</v>
      </c>
      <c r="M1949" s="12">
        <f>M1948+2</f>
        <v>18.8</v>
      </c>
    </row>
    <row r="1950" spans="1:13" x14ac:dyDescent="0.25">
      <c r="A1950" s="10" t="s">
        <v>19</v>
      </c>
      <c r="B1950" s="276"/>
      <c r="C1950" s="276"/>
      <c r="D1950" s="291">
        <v>1</v>
      </c>
      <c r="E1950" s="291">
        <v>2</v>
      </c>
      <c r="F1950" s="291">
        <v>3</v>
      </c>
      <c r="G1950" s="291">
        <v>4</v>
      </c>
      <c r="H1950" s="291">
        <v>5</v>
      </c>
      <c r="I1950" s="197">
        <v>6</v>
      </c>
      <c r="J1950" s="197">
        <v>7</v>
      </c>
      <c r="K1950" s="197">
        <v>8</v>
      </c>
      <c r="L1950" s="197">
        <v>9</v>
      </c>
      <c r="M1950" s="90">
        <v>10</v>
      </c>
    </row>
    <row r="1951" spans="1:13" x14ac:dyDescent="0.25">
      <c r="A1951" s="10" t="s">
        <v>20</v>
      </c>
      <c r="B1951" s="12"/>
      <c r="C1951" s="12">
        <v>34.9</v>
      </c>
      <c r="D1951" s="12">
        <v>18.7</v>
      </c>
      <c r="E1951" s="12">
        <v>0</v>
      </c>
      <c r="F1951" s="12">
        <v>0</v>
      </c>
      <c r="G1951" s="12">
        <v>0</v>
      </c>
      <c r="H1951" s="12">
        <v>0</v>
      </c>
      <c r="I1951" s="11">
        <v>0.6</v>
      </c>
      <c r="J1951" s="11">
        <v>0</v>
      </c>
      <c r="K1951" s="11">
        <v>0</v>
      </c>
      <c r="L1951" s="12">
        <v>0.13172300000000001</v>
      </c>
      <c r="M1951" s="90"/>
    </row>
    <row r="1952" spans="1:13" x14ac:dyDescent="0.25">
      <c r="A1952" s="10" t="s">
        <v>21</v>
      </c>
      <c r="B1952" s="12"/>
      <c r="C1952" s="12">
        <v>-84.9</v>
      </c>
      <c r="D1952" s="12">
        <v>-83.600000000000009</v>
      </c>
      <c r="E1952" s="12">
        <v>-63.600000000000009</v>
      </c>
      <c r="F1952" s="12">
        <v>-43.600000000000009</v>
      </c>
      <c r="G1952" s="12">
        <f t="shared" ref="G1952:L1952" si="81">G1949-G1951</f>
        <v>-23.600000000000009</v>
      </c>
      <c r="H1952" s="12">
        <f t="shared" si="81"/>
        <v>-4.8000000000000078</v>
      </c>
      <c r="I1952" s="12">
        <f t="shared" si="81"/>
        <v>13.399999999999993</v>
      </c>
      <c r="J1952" s="12">
        <f t="shared" si="81"/>
        <v>18.8</v>
      </c>
      <c r="K1952" s="12">
        <f t="shared" si="81"/>
        <v>18.8</v>
      </c>
      <c r="L1952" s="12">
        <f t="shared" si="81"/>
        <v>18.668277</v>
      </c>
      <c r="M1952" s="90"/>
    </row>
    <row r="1953" spans="1:13" x14ac:dyDescent="0.25">
      <c r="A1953" s="62" t="s">
        <v>22</v>
      </c>
      <c r="B1953" s="127"/>
      <c r="C1953" s="643">
        <v>2016</v>
      </c>
      <c r="D1953" s="643">
        <v>2017</v>
      </c>
      <c r="E1953" s="643">
        <v>2018</v>
      </c>
      <c r="F1953" s="643">
        <v>2019</v>
      </c>
      <c r="G1953" s="643">
        <v>2020</v>
      </c>
      <c r="H1953" s="643">
        <v>2021</v>
      </c>
      <c r="I1953" s="643">
        <v>2022</v>
      </c>
      <c r="J1953" s="643">
        <v>2023</v>
      </c>
      <c r="K1953" s="643">
        <v>2024</v>
      </c>
      <c r="L1953" s="643">
        <v>2025</v>
      </c>
      <c r="M1953" s="62">
        <v>2026</v>
      </c>
    </row>
    <row r="1954" spans="1:13" x14ac:dyDescent="0.25">
      <c r="A1954" s="18" t="s">
        <v>523</v>
      </c>
      <c r="B1954" s="287"/>
      <c r="C1954" s="287"/>
      <c r="D1954" s="287"/>
      <c r="E1954" s="287"/>
      <c r="F1954" s="676"/>
      <c r="G1954" s="676"/>
      <c r="H1954" s="676"/>
      <c r="I1954" s="19"/>
      <c r="J1954" s="19"/>
      <c r="K1954" s="19"/>
      <c r="L1954" s="19"/>
      <c r="M1954" s="63"/>
    </row>
    <row r="1955" spans="1:13" x14ac:dyDescent="0.25">
      <c r="A1955" s="39" t="s">
        <v>524</v>
      </c>
      <c r="B1955" s="2"/>
      <c r="C1955" s="2"/>
      <c r="D1955" s="2"/>
      <c r="E1955" s="2"/>
      <c r="F1955" s="675"/>
      <c r="G1955" s="675"/>
      <c r="H1955" s="675"/>
      <c r="M1955" s="64"/>
    </row>
    <row r="1956" spans="1:13" x14ac:dyDescent="0.25">
      <c r="A1956" s="39" t="s">
        <v>525</v>
      </c>
      <c r="B1956" s="2"/>
      <c r="C1956" s="2"/>
      <c r="D1956" s="2"/>
      <c r="E1956" s="2"/>
      <c r="F1956" s="675"/>
      <c r="G1956" s="675"/>
      <c r="H1956" s="675"/>
      <c r="M1956" s="64"/>
    </row>
    <row r="1957" spans="1:13" x14ac:dyDescent="0.25">
      <c r="A1957" s="39" t="s">
        <v>526</v>
      </c>
      <c r="B1957" s="2"/>
      <c r="C1957" s="2"/>
      <c r="D1957" s="2"/>
      <c r="E1957" s="2"/>
      <c r="F1957" s="675"/>
      <c r="G1957" s="675"/>
      <c r="H1957" s="675"/>
      <c r="M1957" s="64"/>
    </row>
    <row r="1958" spans="1:13" x14ac:dyDescent="0.25">
      <c r="A1958" s="39" t="s">
        <v>527</v>
      </c>
      <c r="B1958" s="2"/>
      <c r="C1958" s="2"/>
      <c r="D1958" s="2"/>
      <c r="E1958" s="2"/>
      <c r="F1958" s="675"/>
      <c r="G1958" s="675"/>
      <c r="H1958" s="675"/>
      <c r="M1958" s="64"/>
    </row>
    <row r="1959" spans="1:13" x14ac:dyDescent="0.25">
      <c r="A1959" s="39" t="s">
        <v>664</v>
      </c>
      <c r="B1959" s="2"/>
      <c r="C1959" s="2"/>
      <c r="D1959" s="2"/>
      <c r="E1959" s="2"/>
      <c r="F1959" s="675"/>
      <c r="G1959" s="675"/>
      <c r="H1959" s="675"/>
      <c r="M1959" s="64"/>
    </row>
    <row r="1960" spans="1:13" x14ac:dyDescent="0.25">
      <c r="A1960" s="39" t="s">
        <v>663</v>
      </c>
      <c r="B1960" s="2"/>
      <c r="C1960" s="2"/>
      <c r="D1960" s="2"/>
      <c r="E1960" s="2"/>
      <c r="F1960" s="675"/>
      <c r="G1960" s="675"/>
      <c r="H1960" s="675"/>
      <c r="M1960" s="64"/>
    </row>
    <row r="1961" spans="1:13" x14ac:dyDescent="0.25">
      <c r="A1961" s="39" t="s">
        <v>847</v>
      </c>
      <c r="B1961" s="2"/>
      <c r="C1961" s="2"/>
      <c r="D1961" s="2"/>
      <c r="E1961" s="2"/>
      <c r="F1961" s="675"/>
      <c r="G1961" s="675"/>
      <c r="H1961" s="675"/>
      <c r="M1961" s="64"/>
    </row>
    <row r="1962" spans="1:13" x14ac:dyDescent="0.25">
      <c r="A1962" s="39" t="s">
        <v>1068</v>
      </c>
      <c r="B1962" s="2"/>
      <c r="C1962" s="2"/>
      <c r="D1962" s="2"/>
      <c r="E1962" s="2"/>
      <c r="F1962" s="675"/>
      <c r="G1962" s="675"/>
      <c r="H1962" s="675"/>
      <c r="M1962" s="64"/>
    </row>
    <row r="1963" spans="1:13" x14ac:dyDescent="0.25">
      <c r="A1963" s="41" t="s">
        <v>1260</v>
      </c>
      <c r="B1963" s="33"/>
      <c r="C1963" s="33"/>
      <c r="D1963" s="33"/>
      <c r="E1963" s="33"/>
      <c r="F1963" s="513"/>
      <c r="G1963" s="513"/>
      <c r="H1963" s="513"/>
      <c r="I1963" s="34"/>
      <c r="J1963" s="34"/>
      <c r="K1963" s="34"/>
      <c r="L1963" s="34"/>
      <c r="M1963" s="48"/>
    </row>
    <row r="1965" spans="1:13" x14ac:dyDescent="0.25">
      <c r="A1965" s="6" t="s">
        <v>14</v>
      </c>
      <c r="B1965" s="473" t="s">
        <v>79</v>
      </c>
      <c r="C1965" s="7" t="s">
        <v>15</v>
      </c>
    </row>
    <row r="1966" spans="1:13" x14ac:dyDescent="0.25">
      <c r="A1966" s="41" t="s">
        <v>16</v>
      </c>
      <c r="B1966" s="469"/>
      <c r="C1966" s="9">
        <v>2015</v>
      </c>
      <c r="D1966" s="9">
        <v>2016</v>
      </c>
      <c r="E1966" s="9">
        <v>2017</v>
      </c>
      <c r="F1966" s="9">
        <v>2018</v>
      </c>
      <c r="G1966" s="9">
        <v>2019</v>
      </c>
      <c r="H1966" s="9">
        <v>2020</v>
      </c>
      <c r="I1966" s="154">
        <v>2021</v>
      </c>
      <c r="J1966" s="154">
        <v>2022</v>
      </c>
      <c r="K1966" s="154">
        <v>2023</v>
      </c>
      <c r="L1966" s="154">
        <v>2024</v>
      </c>
      <c r="M1966" s="493">
        <v>2024</v>
      </c>
    </row>
    <row r="1967" spans="1:13" x14ac:dyDescent="0.25">
      <c r="A1967" s="10" t="s">
        <v>17</v>
      </c>
      <c r="B1967" s="275"/>
      <c r="C1967" s="275">
        <v>15</v>
      </c>
      <c r="D1967" s="275">
        <v>15</v>
      </c>
      <c r="E1967" s="275">
        <v>15</v>
      </c>
      <c r="F1967" s="275">
        <v>15</v>
      </c>
      <c r="G1967" s="275">
        <v>15</v>
      </c>
      <c r="H1967" s="298">
        <v>15</v>
      </c>
      <c r="I1967" s="12">
        <v>15</v>
      </c>
      <c r="J1967" s="12">
        <v>15</v>
      </c>
      <c r="K1967" s="12">
        <v>15</v>
      </c>
      <c r="L1967" s="12">
        <v>15</v>
      </c>
      <c r="M1967" s="131">
        <v>15</v>
      </c>
    </row>
    <row r="1968" spans="1:13" x14ac:dyDescent="0.25">
      <c r="A1968" s="10" t="s">
        <v>18</v>
      </c>
      <c r="B1968" s="275"/>
      <c r="C1968" s="275"/>
      <c r="D1968" s="275">
        <v>-59.3</v>
      </c>
      <c r="E1968" s="275">
        <v>-64.199999999999989</v>
      </c>
      <c r="F1968" s="275">
        <v>-49.199999999999989</v>
      </c>
      <c r="G1968" s="275">
        <v>-34.199999999999989</v>
      </c>
      <c r="H1968" s="275">
        <f>G1971+H1967</f>
        <v>-19.199999999999989</v>
      </c>
      <c r="I1968" s="12">
        <f>I1967+H1971</f>
        <v>-4.1999999999999886</v>
      </c>
      <c r="J1968" s="12">
        <f>J1967+I1971</f>
        <v>10.440000000000012</v>
      </c>
      <c r="K1968" s="12"/>
      <c r="L1968" s="12">
        <f t="shared" ref="L1968" si="82">L1967+K1971</f>
        <v>15</v>
      </c>
      <c r="M1968" s="12"/>
    </row>
    <row r="1969" spans="1:13" x14ac:dyDescent="0.25">
      <c r="A1969" s="10" t="s">
        <v>19</v>
      </c>
      <c r="B1969" s="276"/>
      <c r="C1969" s="276"/>
      <c r="D1969" s="291">
        <v>1</v>
      </c>
      <c r="E1969" s="291">
        <v>2</v>
      </c>
      <c r="F1969" s="291">
        <v>3</v>
      </c>
      <c r="G1969" s="291">
        <v>4</v>
      </c>
      <c r="H1969" s="291">
        <v>5</v>
      </c>
      <c r="I1969" s="197">
        <v>6</v>
      </c>
      <c r="J1969" s="197">
        <v>7</v>
      </c>
      <c r="K1969" s="197">
        <v>8</v>
      </c>
      <c r="L1969" s="197">
        <v>9</v>
      </c>
      <c r="M1969" s="249">
        <v>10</v>
      </c>
    </row>
    <row r="1970" spans="1:13" x14ac:dyDescent="0.25">
      <c r="A1970" s="10" t="s">
        <v>20</v>
      </c>
      <c r="B1970" s="12"/>
      <c r="C1970" s="12">
        <v>31.9</v>
      </c>
      <c r="D1970" s="12">
        <v>19.899999999999999</v>
      </c>
      <c r="E1970" s="12">
        <v>0</v>
      </c>
      <c r="F1970" s="12">
        <v>0</v>
      </c>
      <c r="G1970" s="12">
        <v>0</v>
      </c>
      <c r="H1970" s="12">
        <v>0</v>
      </c>
      <c r="I1970" s="12">
        <v>0.36</v>
      </c>
      <c r="J1970" s="12">
        <v>0</v>
      </c>
      <c r="K1970" s="12">
        <v>0</v>
      </c>
      <c r="L1970" s="12">
        <v>1.53</v>
      </c>
      <c r="M1970" s="90"/>
    </row>
    <row r="1971" spans="1:13" x14ac:dyDescent="0.25">
      <c r="A1971" s="10" t="s">
        <v>21</v>
      </c>
      <c r="B1971" s="12"/>
      <c r="C1971" s="12">
        <v>-74.3</v>
      </c>
      <c r="D1971" s="12">
        <v>-79.199999999999989</v>
      </c>
      <c r="E1971" s="12">
        <v>-64.199999999999989</v>
      </c>
      <c r="F1971" s="12">
        <v>-49.199999999999989</v>
      </c>
      <c r="G1971" s="12">
        <f t="shared" ref="G1971:L1971" si="83">G1968-G1970</f>
        <v>-34.199999999999989</v>
      </c>
      <c r="H1971" s="12">
        <f t="shared" si="83"/>
        <v>-19.199999999999989</v>
      </c>
      <c r="I1971" s="12">
        <f t="shared" si="83"/>
        <v>-4.559999999999989</v>
      </c>
      <c r="J1971" s="12">
        <f t="shared" si="83"/>
        <v>10.440000000000012</v>
      </c>
      <c r="K1971" s="12">
        <f t="shared" si="83"/>
        <v>0</v>
      </c>
      <c r="L1971" s="12">
        <f t="shared" si="83"/>
        <v>13.47</v>
      </c>
      <c r="M1971" s="12"/>
    </row>
    <row r="1972" spans="1:13" x14ac:dyDescent="0.25">
      <c r="A1972" s="62" t="s">
        <v>22</v>
      </c>
      <c r="B1972" s="127"/>
      <c r="C1972" s="643">
        <v>2016</v>
      </c>
      <c r="D1972" s="643">
        <v>2017</v>
      </c>
      <c r="E1972" s="643">
        <v>2018</v>
      </c>
      <c r="F1972" s="643">
        <v>2019</v>
      </c>
      <c r="G1972" s="643">
        <v>2020</v>
      </c>
      <c r="H1972" s="643">
        <v>2021</v>
      </c>
      <c r="I1972" s="643">
        <v>2022</v>
      </c>
      <c r="J1972" s="643"/>
      <c r="K1972" s="643"/>
      <c r="L1972" s="643"/>
      <c r="M1972" s="62"/>
    </row>
    <row r="1973" spans="1:13" x14ac:dyDescent="0.25">
      <c r="A1973" s="18" t="s">
        <v>523</v>
      </c>
      <c r="B1973" s="287"/>
      <c r="C1973" s="287"/>
      <c r="D1973" s="439"/>
      <c r="E1973" s="439"/>
      <c r="F1973" s="439"/>
      <c r="G1973" s="439"/>
      <c r="H1973" s="439"/>
      <c r="I1973" s="439"/>
      <c r="J1973" s="439"/>
      <c r="K1973" s="19"/>
      <c r="L1973" s="19"/>
      <c r="M1973" s="63"/>
    </row>
    <row r="1974" spans="1:13" x14ac:dyDescent="0.25">
      <c r="A1974" s="39" t="s">
        <v>524</v>
      </c>
      <c r="B1974" s="2"/>
      <c r="C1974" s="2"/>
      <c r="D1974" s="446"/>
      <c r="E1974" s="446"/>
      <c r="F1974" s="446"/>
      <c r="G1974" s="446"/>
      <c r="H1974" s="446"/>
      <c r="I1974" s="446"/>
      <c r="J1974" s="446"/>
      <c r="M1974" s="64"/>
    </row>
    <row r="1975" spans="1:13" x14ac:dyDescent="0.25">
      <c r="A1975" s="39" t="s">
        <v>525</v>
      </c>
      <c r="B1975" s="2"/>
      <c r="C1975" s="2"/>
      <c r="D1975" s="446"/>
      <c r="E1975" s="446"/>
      <c r="F1975" s="446"/>
      <c r="G1975" s="446"/>
      <c r="H1975" s="446"/>
      <c r="I1975" s="446"/>
      <c r="J1975" s="446"/>
      <c r="M1975" s="64"/>
    </row>
    <row r="1976" spans="1:13" x14ac:dyDescent="0.25">
      <c r="A1976" s="39" t="s">
        <v>526</v>
      </c>
      <c r="B1976" s="2"/>
      <c r="C1976" s="2"/>
      <c r="D1976" s="446"/>
      <c r="E1976" s="446"/>
      <c r="F1976" s="446"/>
      <c r="G1976" s="446"/>
      <c r="H1976" s="446"/>
      <c r="I1976" s="446"/>
      <c r="J1976" s="446"/>
      <c r="M1976" s="64"/>
    </row>
    <row r="1977" spans="1:13" x14ac:dyDescent="0.25">
      <c r="A1977" s="39" t="s">
        <v>528</v>
      </c>
      <c r="B1977" s="2"/>
      <c r="C1977" s="2"/>
      <c r="D1977" s="446"/>
      <c r="E1977" s="446"/>
      <c r="F1977" s="446"/>
      <c r="G1977" s="446"/>
      <c r="H1977" s="446"/>
      <c r="I1977" s="446"/>
      <c r="J1977" s="446"/>
      <c r="M1977" s="64"/>
    </row>
    <row r="1978" spans="1:13" x14ac:dyDescent="0.25">
      <c r="A1978" s="39" t="s">
        <v>529</v>
      </c>
      <c r="B1978" s="2"/>
      <c r="C1978" s="2"/>
      <c r="D1978" s="446"/>
      <c r="E1978" s="446"/>
      <c r="F1978" s="446"/>
      <c r="G1978" s="446"/>
      <c r="H1978" s="446"/>
      <c r="I1978" s="446"/>
      <c r="J1978" s="446"/>
      <c r="M1978" s="64"/>
    </row>
    <row r="1979" spans="1:13" x14ac:dyDescent="0.25">
      <c r="A1979" s="39" t="s">
        <v>665</v>
      </c>
      <c r="B1979" s="2"/>
      <c r="C1979" s="2"/>
      <c r="D1979" s="446"/>
      <c r="E1979" s="446"/>
      <c r="F1979" s="446"/>
      <c r="G1979" s="446"/>
      <c r="H1979" s="446"/>
      <c r="I1979" s="446"/>
      <c r="J1979" s="446"/>
      <c r="M1979" s="64"/>
    </row>
    <row r="1980" spans="1:13" x14ac:dyDescent="0.25">
      <c r="A1980" s="41"/>
      <c r="B1980" s="34"/>
      <c r="C1980" s="34"/>
      <c r="D1980" s="34"/>
      <c r="E1980" s="34"/>
      <c r="F1980" s="34"/>
      <c r="G1980" s="34"/>
      <c r="H1980" s="34"/>
      <c r="I1980" s="34"/>
      <c r="J1980" s="34"/>
      <c r="K1980" s="34"/>
      <c r="L1980" s="34"/>
      <c r="M1980" s="48"/>
    </row>
    <row r="1982" spans="1:13" x14ac:dyDescent="0.25">
      <c r="A1982" s="6" t="s">
        <v>11</v>
      </c>
      <c r="B1982" s="7" t="s">
        <v>38</v>
      </c>
    </row>
    <row r="1983" spans="1:13" x14ac:dyDescent="0.25">
      <c r="A1983" s="6" t="s">
        <v>1</v>
      </c>
      <c r="B1983" s="473" t="s">
        <v>642</v>
      </c>
      <c r="C1983" s="9" t="s">
        <v>2</v>
      </c>
    </row>
    <row r="1984" spans="1:13" x14ac:dyDescent="0.25">
      <c r="A1984" s="11" t="s">
        <v>3</v>
      </c>
      <c r="B1984" s="514">
        <v>2016</v>
      </c>
      <c r="C1984" s="515">
        <v>2017</v>
      </c>
      <c r="D1984" s="515">
        <v>2018</v>
      </c>
      <c r="E1984" s="515">
        <v>2019</v>
      </c>
      <c r="F1984" s="154">
        <v>2020</v>
      </c>
      <c r="G1984" s="154">
        <v>2021</v>
      </c>
      <c r="H1984" s="154">
        <v>2022</v>
      </c>
      <c r="I1984" s="154">
        <v>2023</v>
      </c>
      <c r="J1984" s="154">
        <v>2024</v>
      </c>
      <c r="K1984" s="154">
        <v>2025</v>
      </c>
    </row>
    <row r="1985" spans="1:11" x14ac:dyDescent="0.25">
      <c r="A1985" s="10" t="s">
        <v>4</v>
      </c>
      <c r="B1985" s="516">
        <v>1491.71</v>
      </c>
      <c r="C1985" s="516">
        <v>1791</v>
      </c>
      <c r="D1985" s="189">
        <v>2115</v>
      </c>
      <c r="E1985" s="189">
        <v>2400</v>
      </c>
      <c r="F1985" s="189">
        <v>2655</v>
      </c>
      <c r="G1985" s="189">
        <v>2655</v>
      </c>
      <c r="H1985" s="189">
        <v>2655</v>
      </c>
      <c r="I1985" s="189">
        <v>3000</v>
      </c>
      <c r="J1985" s="189">
        <v>3000</v>
      </c>
      <c r="K1985" s="189">
        <v>3000</v>
      </c>
    </row>
    <row r="1986" spans="1:11" x14ac:dyDescent="0.25">
      <c r="A1986" s="10" t="s">
        <v>5</v>
      </c>
      <c r="B1986" s="516">
        <v>1491.71</v>
      </c>
      <c r="C1986" s="516">
        <v>1791</v>
      </c>
      <c r="D1986" s="189">
        <v>2115</v>
      </c>
      <c r="E1986" s="189">
        <v>2400</v>
      </c>
      <c r="F1986" s="189">
        <v>2675.4</v>
      </c>
      <c r="G1986" s="189">
        <f>G1985+79.2+21.55</f>
        <v>2755.75</v>
      </c>
      <c r="H1986" s="189">
        <f>H1985+24.72</f>
        <v>2679.72</v>
      </c>
      <c r="I1986" s="189">
        <v>3020</v>
      </c>
      <c r="J1986" s="189">
        <v>3030</v>
      </c>
      <c r="K1986" s="189">
        <v>3020.62</v>
      </c>
    </row>
    <row r="1987" spans="1:11" x14ac:dyDescent="0.25">
      <c r="A1987" s="10" t="s">
        <v>6</v>
      </c>
      <c r="B1987" s="12"/>
      <c r="C1987" s="188"/>
      <c r="D1987" s="12"/>
      <c r="E1987" s="189"/>
      <c r="F1987" s="189"/>
      <c r="G1987" s="189"/>
      <c r="H1987" s="189"/>
      <c r="I1987" s="189"/>
      <c r="J1987" s="189"/>
      <c r="K1987" s="189"/>
    </row>
    <row r="1988" spans="1:11" x14ac:dyDescent="0.25">
      <c r="A1988" s="10" t="s">
        <v>7</v>
      </c>
      <c r="B1988" s="189">
        <v>1490.58</v>
      </c>
      <c r="C1988" s="189">
        <v>1789.538</v>
      </c>
      <c r="D1988" s="189">
        <v>2102.0929999999998</v>
      </c>
      <c r="E1988" s="189">
        <v>2379.1309999999999</v>
      </c>
      <c r="F1988" s="189">
        <v>2653.377</v>
      </c>
      <c r="G1988" s="189">
        <v>2729.7379999999998</v>
      </c>
      <c r="H1988" s="189">
        <v>2652.7869999999998</v>
      </c>
      <c r="I1988" s="189">
        <v>2989.87</v>
      </c>
      <c r="J1988" s="517">
        <v>2998</v>
      </c>
      <c r="K1988" s="517"/>
    </row>
    <row r="1989" spans="1:11" x14ac:dyDescent="0.25">
      <c r="A1989" s="10" t="s">
        <v>8</v>
      </c>
      <c r="B1989" s="12">
        <v>1.1300000000001091</v>
      </c>
      <c r="C1989" s="12">
        <v>1.4619999999999891</v>
      </c>
      <c r="D1989" s="12">
        <v>12.907000000000153</v>
      </c>
      <c r="E1989" s="12">
        <f t="shared" ref="E1989:J1989" si="84">E1986-E1988</f>
        <v>20.869000000000142</v>
      </c>
      <c r="F1989" s="189">
        <f t="shared" si="84"/>
        <v>22.023000000000138</v>
      </c>
      <c r="G1989" s="189">
        <f t="shared" si="84"/>
        <v>26.012000000000171</v>
      </c>
      <c r="H1989" s="189">
        <f t="shared" si="84"/>
        <v>26.932999999999993</v>
      </c>
      <c r="I1989" s="189">
        <f t="shared" si="84"/>
        <v>30.130000000000109</v>
      </c>
      <c r="J1989" s="189">
        <f t="shared" si="84"/>
        <v>32</v>
      </c>
      <c r="K1989" s="189"/>
    </row>
    <row r="1990" spans="1:11" x14ac:dyDescent="0.25">
      <c r="A1990" s="10" t="s">
        <v>9</v>
      </c>
      <c r="B1990" s="11">
        <v>2017</v>
      </c>
      <c r="C1990" s="11">
        <v>2018</v>
      </c>
      <c r="D1990" s="11">
        <v>2019</v>
      </c>
      <c r="E1990" s="11">
        <v>2020</v>
      </c>
      <c r="F1990" s="11">
        <v>2021</v>
      </c>
      <c r="G1990" s="11">
        <v>2022</v>
      </c>
      <c r="H1990" s="37">
        <v>2023</v>
      </c>
      <c r="I1990" s="37">
        <v>2024</v>
      </c>
      <c r="J1990" s="37">
        <v>2025</v>
      </c>
      <c r="K1990" s="37">
        <v>2026</v>
      </c>
    </row>
    <row r="1991" spans="1:11" x14ac:dyDescent="0.25">
      <c r="A1991" s="16" t="s">
        <v>10</v>
      </c>
      <c r="B1991" s="46"/>
      <c r="C1991" s="46"/>
      <c r="D1991" s="46"/>
      <c r="E1991" s="46"/>
      <c r="F1991" s="47"/>
      <c r="G1991" s="47"/>
      <c r="H1991" s="47"/>
      <c r="I1991" s="47"/>
      <c r="J1991" s="47"/>
    </row>
    <row r="1992" spans="1:11" x14ac:dyDescent="0.25">
      <c r="A1992" s="16" t="s">
        <v>530</v>
      </c>
      <c r="B1992" s="46"/>
      <c r="C1992" s="46"/>
      <c r="D1992" s="46"/>
      <c r="E1992" s="46"/>
      <c r="F1992" s="46"/>
      <c r="G1992" s="46"/>
      <c r="H1992" s="46"/>
      <c r="I1992" s="46"/>
      <c r="J1992" s="47"/>
    </row>
    <row r="1993" spans="1:11" x14ac:dyDescent="0.25">
      <c r="A1993" s="39" t="s">
        <v>251</v>
      </c>
      <c r="J1993" s="64"/>
    </row>
    <row r="1994" spans="1:11" x14ac:dyDescent="0.25">
      <c r="A1994" s="682" t="s">
        <v>595</v>
      </c>
      <c r="B1994" s="683"/>
      <c r="C1994" s="683"/>
      <c r="D1994" s="683"/>
      <c r="E1994" s="683"/>
      <c r="F1994" s="683"/>
      <c r="G1994" s="683"/>
      <c r="J1994" s="64"/>
    </row>
    <row r="1995" spans="1:11" x14ac:dyDescent="0.25">
      <c r="A1995" s="161" t="s">
        <v>952</v>
      </c>
      <c r="B1995" s="32"/>
      <c r="C1995" s="32"/>
      <c r="D1995" s="32"/>
      <c r="E1995" s="32"/>
      <c r="F1995" s="32"/>
      <c r="G1995" s="32"/>
      <c r="J1995" s="64"/>
    </row>
    <row r="1996" spans="1:11" x14ac:dyDescent="0.25">
      <c r="A1996" s="161" t="s">
        <v>848</v>
      </c>
      <c r="B1996" s="32"/>
      <c r="C1996" s="32"/>
      <c r="D1996" s="32"/>
      <c r="E1996" s="32"/>
      <c r="F1996" s="32"/>
      <c r="G1996" s="32"/>
      <c r="J1996" s="64"/>
    </row>
    <row r="1997" spans="1:11" x14ac:dyDescent="0.25">
      <c r="A1997" s="123" t="s">
        <v>1069</v>
      </c>
      <c r="B1997" s="32"/>
      <c r="C1997" s="32"/>
      <c r="D1997" s="32"/>
      <c r="E1997" s="32"/>
      <c r="F1997" s="32"/>
      <c r="G1997" s="32"/>
    </row>
    <row r="1998" spans="1:11" s="43" customFormat="1" x14ac:dyDescent="0.25">
      <c r="A1998" s="171" t="s">
        <v>1143</v>
      </c>
      <c r="B1998" s="518"/>
      <c r="C1998" s="518"/>
      <c r="D1998" s="518"/>
      <c r="E1998" s="518"/>
      <c r="F1998" s="518"/>
      <c r="G1998" s="518"/>
    </row>
    <row r="2001" spans="1:8" x14ac:dyDescent="0.25">
      <c r="A2001" s="519" t="s">
        <v>12</v>
      </c>
      <c r="B2001" s="520" t="s">
        <v>861</v>
      </c>
      <c r="D2001" s="521"/>
      <c r="E2001" s="521"/>
      <c r="F2001" s="521"/>
      <c r="G2001" s="521"/>
      <c r="H2001" s="521"/>
    </row>
    <row r="2002" spans="1:8" x14ac:dyDescent="0.25">
      <c r="A2002" s="519" t="s">
        <v>14</v>
      </c>
      <c r="B2002" s="522" t="s">
        <v>642</v>
      </c>
      <c r="C2002" s="523" t="s">
        <v>15</v>
      </c>
      <c r="D2002" s="521"/>
      <c r="E2002" s="521"/>
      <c r="F2002" s="521"/>
      <c r="G2002" s="521"/>
      <c r="H2002" s="521"/>
    </row>
    <row r="2003" spans="1:8" x14ac:dyDescent="0.25">
      <c r="A2003" s="524" t="s">
        <v>16</v>
      </c>
      <c r="B2003" s="525"/>
      <c r="C2003" s="526">
        <v>2022</v>
      </c>
      <c r="D2003" s="527">
        <v>2023</v>
      </c>
      <c r="E2003" s="527">
        <v>2024</v>
      </c>
      <c r="F2003" s="527">
        <v>2025</v>
      </c>
    </row>
    <row r="2004" spans="1:8" x14ac:dyDescent="0.25">
      <c r="A2004" s="524" t="s">
        <v>17</v>
      </c>
      <c r="B2004" s="525"/>
      <c r="C2004" s="528">
        <v>2305</v>
      </c>
      <c r="D2004" s="528">
        <v>2600</v>
      </c>
      <c r="E2004" s="528">
        <v>2600</v>
      </c>
      <c r="F2004" s="528">
        <v>2600</v>
      </c>
    </row>
    <row r="2005" spans="1:8" x14ac:dyDescent="0.25">
      <c r="A2005" s="524" t="s">
        <v>18</v>
      </c>
      <c r="B2005" s="525"/>
      <c r="C2005" s="529"/>
      <c r="D2005" s="528">
        <f>D2004+C2008+440.79+67.08+128</f>
        <v>3246.0209999999997</v>
      </c>
      <c r="E2005" s="528">
        <f>E2004+D2008+128+507.87</f>
        <v>3200.74</v>
      </c>
      <c r="F2005" s="528">
        <f>F2004+128</f>
        <v>2728</v>
      </c>
    </row>
    <row r="2006" spans="1:8" x14ac:dyDescent="0.25">
      <c r="A2006" s="524" t="s">
        <v>19</v>
      </c>
      <c r="B2006" s="525"/>
      <c r="C2006" s="530"/>
      <c r="D2006" s="531" t="str">
        <f>"(1)"</f>
        <v>(1)</v>
      </c>
      <c r="E2006" s="531" t="str">
        <f>"(2)"</f>
        <v>(2)</v>
      </c>
      <c r="F2006" s="531" t="str">
        <f>"(3)"</f>
        <v>(3)</v>
      </c>
    </row>
    <row r="2007" spans="1:8" x14ac:dyDescent="0.25">
      <c r="A2007" s="524" t="s">
        <v>20</v>
      </c>
      <c r="B2007" s="525"/>
      <c r="C2007" s="528">
        <v>2294.8490000000002</v>
      </c>
      <c r="D2007" s="532">
        <f>D2005-D2008</f>
        <v>3281.1509999999998</v>
      </c>
      <c r="E2007" s="532">
        <v>3200.48</v>
      </c>
      <c r="F2007" s="532"/>
    </row>
    <row r="2008" spans="1:8" x14ac:dyDescent="0.25">
      <c r="A2008" s="524" t="s">
        <v>21</v>
      </c>
      <c r="B2008" s="525"/>
      <c r="C2008" s="528">
        <f>C2004-C2007</f>
        <v>10.15099999999984</v>
      </c>
      <c r="D2008" s="528">
        <v>-35.130000000000003</v>
      </c>
      <c r="E2008" s="528">
        <v>0.26</v>
      </c>
      <c r="F2008" s="528"/>
    </row>
    <row r="2009" spans="1:8" x14ac:dyDescent="0.25">
      <c r="A2009" s="533" t="s">
        <v>22</v>
      </c>
      <c r="B2009" s="534"/>
      <c r="C2009" s="535">
        <v>2023</v>
      </c>
      <c r="D2009" s="536">
        <v>2024</v>
      </c>
      <c r="E2009" s="536">
        <v>2025</v>
      </c>
      <c r="F2009" s="536">
        <v>2026</v>
      </c>
    </row>
    <row r="2010" spans="1:8" x14ac:dyDescent="0.25">
      <c r="A2010" s="544" t="s">
        <v>931</v>
      </c>
      <c r="B2010" s="554"/>
      <c r="C2010" s="555"/>
      <c r="D2010" s="555"/>
      <c r="E2010" s="555"/>
      <c r="F2010" s="63"/>
    </row>
    <row r="2011" spans="1:8" x14ac:dyDescent="0.25">
      <c r="A2011" s="546" t="s">
        <v>957</v>
      </c>
      <c r="B2011" s="521"/>
      <c r="C2011" s="556"/>
      <c r="D2011" s="556"/>
      <c r="E2011" s="556"/>
      <c r="F2011" s="64"/>
    </row>
    <row r="2012" spans="1:8" x14ac:dyDescent="0.25">
      <c r="A2012" s="42" t="s">
        <v>1239</v>
      </c>
      <c r="B2012" s="537"/>
      <c r="C2012" s="538"/>
      <c r="D2012" s="538"/>
      <c r="E2012" s="538"/>
      <c r="F2012" s="48"/>
    </row>
    <row r="2013" spans="1:8" x14ac:dyDescent="0.25">
      <c r="A2013" s="521"/>
      <c r="B2013" s="521"/>
      <c r="C2013" s="521"/>
      <c r="D2013" s="521"/>
      <c r="E2013" s="521"/>
    </row>
    <row r="2014" spans="1:8" x14ac:dyDescent="0.25">
      <c r="A2014" s="519" t="s">
        <v>14</v>
      </c>
      <c r="B2014" s="522" t="s">
        <v>862</v>
      </c>
      <c r="C2014" s="523" t="s">
        <v>15</v>
      </c>
      <c r="D2014" s="521"/>
      <c r="E2014" s="521"/>
      <c r="F2014" s="521"/>
      <c r="G2014" s="521"/>
      <c r="H2014" s="521"/>
    </row>
    <row r="2015" spans="1:8" x14ac:dyDescent="0.25">
      <c r="A2015" s="524" t="s">
        <v>16</v>
      </c>
      <c r="B2015" s="525"/>
      <c r="C2015" s="526">
        <v>2023</v>
      </c>
      <c r="D2015" s="527">
        <v>2024</v>
      </c>
      <c r="E2015" s="527">
        <v>2025</v>
      </c>
    </row>
    <row r="2016" spans="1:8" x14ac:dyDescent="0.25">
      <c r="A2016" s="524" t="s">
        <v>17</v>
      </c>
      <c r="B2016" s="525"/>
      <c r="C2016" s="528">
        <v>225</v>
      </c>
      <c r="D2016" s="528">
        <v>225</v>
      </c>
      <c r="E2016" s="528">
        <v>225</v>
      </c>
    </row>
    <row r="2017" spans="1:8" x14ac:dyDescent="0.25">
      <c r="A2017" s="524" t="s">
        <v>18</v>
      </c>
      <c r="B2017" s="525"/>
      <c r="C2017" s="528">
        <v>150</v>
      </c>
      <c r="D2017" s="528">
        <v>150</v>
      </c>
      <c r="E2017" s="528">
        <v>150</v>
      </c>
    </row>
    <row r="2018" spans="1:8" x14ac:dyDescent="0.25">
      <c r="A2018" s="524" t="s">
        <v>19</v>
      </c>
      <c r="B2018" s="525"/>
      <c r="C2018" s="539" t="s">
        <v>863</v>
      </c>
      <c r="D2018" s="539" t="s">
        <v>863</v>
      </c>
      <c r="E2018" s="539" t="s">
        <v>1208</v>
      </c>
    </row>
    <row r="2019" spans="1:8" x14ac:dyDescent="0.25">
      <c r="A2019" s="524" t="s">
        <v>20</v>
      </c>
      <c r="B2019" s="525"/>
      <c r="C2019" s="528">
        <v>149.94999999999999</v>
      </c>
      <c r="D2019" s="532">
        <v>150</v>
      </c>
      <c r="E2019" s="532">
        <v>150</v>
      </c>
    </row>
    <row r="2020" spans="1:8" x14ac:dyDescent="0.25">
      <c r="A2020" s="524" t="s">
        <v>21</v>
      </c>
      <c r="B2020" s="525"/>
      <c r="C2020" s="528">
        <f>C2017-C2019</f>
        <v>5.0000000000011369E-2</v>
      </c>
      <c r="D2020" s="528">
        <f>D2017-D2019</f>
        <v>0</v>
      </c>
      <c r="E2020" s="528">
        <f>E2017-E2019</f>
        <v>0</v>
      </c>
    </row>
    <row r="2021" spans="1:8" x14ac:dyDescent="0.25">
      <c r="A2021" s="533" t="s">
        <v>22</v>
      </c>
      <c r="B2021" s="534"/>
      <c r="C2021" s="535"/>
      <c r="D2021" s="536"/>
      <c r="E2021" s="536"/>
    </row>
    <row r="2022" spans="1:8" x14ac:dyDescent="0.25">
      <c r="A2022" s="566" t="s">
        <v>864</v>
      </c>
      <c r="B2022" s="567"/>
      <c r="C2022" s="581"/>
      <c r="D2022" s="581"/>
      <c r="E2022" s="88"/>
    </row>
    <row r="2023" spans="1:8" x14ac:dyDescent="0.25">
      <c r="A2023" s="637" t="s">
        <v>1253</v>
      </c>
      <c r="B2023" s="567"/>
      <c r="C2023" s="567"/>
      <c r="D2023" s="567"/>
      <c r="E2023" s="638"/>
    </row>
    <row r="2024" spans="1:8" x14ac:dyDescent="0.25">
      <c r="A2024" s="521"/>
      <c r="B2024" s="521"/>
      <c r="C2024" s="521"/>
      <c r="D2024" s="521"/>
      <c r="E2024" s="521"/>
    </row>
    <row r="2025" spans="1:8" x14ac:dyDescent="0.25">
      <c r="A2025" s="519" t="s">
        <v>12</v>
      </c>
      <c r="B2025" s="520" t="s">
        <v>584</v>
      </c>
      <c r="D2025" s="521"/>
      <c r="E2025" s="521"/>
      <c r="F2025" s="521"/>
      <c r="G2025" s="521"/>
      <c r="H2025" s="521"/>
    </row>
    <row r="2026" spans="1:8" x14ac:dyDescent="0.25">
      <c r="A2026" s="519" t="s">
        <v>14</v>
      </c>
      <c r="B2026" s="522" t="s">
        <v>624</v>
      </c>
      <c r="C2026" s="523" t="s">
        <v>15</v>
      </c>
      <c r="D2026" s="521"/>
      <c r="E2026" s="521"/>
      <c r="F2026" s="521"/>
      <c r="G2026" s="521"/>
      <c r="H2026" s="521"/>
    </row>
    <row r="2027" spans="1:8" x14ac:dyDescent="0.25">
      <c r="A2027" s="524" t="s">
        <v>16</v>
      </c>
      <c r="B2027" s="525"/>
      <c r="C2027" s="526">
        <v>2021</v>
      </c>
      <c r="D2027" s="527">
        <v>2022</v>
      </c>
      <c r="E2027" s="540">
        <v>2023</v>
      </c>
      <c r="F2027" s="540">
        <v>2024</v>
      </c>
      <c r="G2027" s="540">
        <v>2025</v>
      </c>
      <c r="H2027" s="540" t="s">
        <v>1210</v>
      </c>
    </row>
    <row r="2028" spans="1:8" x14ac:dyDescent="0.25">
      <c r="A2028" s="524" t="s">
        <v>17</v>
      </c>
      <c r="B2028" s="525"/>
      <c r="C2028" s="528">
        <f>434.04</f>
        <v>434.04</v>
      </c>
      <c r="D2028" s="528">
        <v>442.25</v>
      </c>
      <c r="E2028" s="528">
        <v>442.25</v>
      </c>
      <c r="F2028" s="528">
        <v>752.8</v>
      </c>
      <c r="G2028" s="528">
        <v>752.8</v>
      </c>
      <c r="H2028" s="541">
        <v>752.8</v>
      </c>
    </row>
    <row r="2029" spans="1:8" x14ac:dyDescent="0.25">
      <c r="A2029" s="524" t="s">
        <v>18</v>
      </c>
      <c r="B2029" s="525"/>
      <c r="C2029" s="528">
        <f>C2028+53.75</f>
        <v>487.79</v>
      </c>
      <c r="D2029" s="528">
        <f>D2028+53.75</f>
        <v>496</v>
      </c>
      <c r="E2029" s="530">
        <f>E2028+0.25*C2028</f>
        <v>550.76</v>
      </c>
      <c r="F2029" s="530">
        <f>F2028+0.25*D2028</f>
        <v>863.36249999999995</v>
      </c>
      <c r="G2029" s="530">
        <f>G2028+0.25*E2028</f>
        <v>863.36249999999995</v>
      </c>
      <c r="H2029" s="541">
        <v>941</v>
      </c>
    </row>
    <row r="2030" spans="1:8" x14ac:dyDescent="0.25">
      <c r="A2030" s="524" t="s">
        <v>19</v>
      </c>
      <c r="B2030" s="525"/>
      <c r="C2030" s="530" t="s">
        <v>684</v>
      </c>
      <c r="D2030" s="530" t="s">
        <v>686</v>
      </c>
      <c r="E2030" s="530" t="s">
        <v>685</v>
      </c>
      <c r="F2030" s="530" t="s">
        <v>851</v>
      </c>
      <c r="G2030" s="530" t="s">
        <v>1070</v>
      </c>
      <c r="H2030" s="542" t="s">
        <v>1211</v>
      </c>
    </row>
    <row r="2031" spans="1:8" x14ac:dyDescent="0.25">
      <c r="A2031" s="524" t="s">
        <v>20</v>
      </c>
      <c r="B2031" s="525"/>
      <c r="C2031" s="528">
        <v>169.39099999999999</v>
      </c>
      <c r="D2031" s="532">
        <v>125.35080000000001</v>
      </c>
      <c r="E2031" s="530">
        <v>112.47</v>
      </c>
      <c r="F2031" s="530">
        <v>8.23</v>
      </c>
      <c r="G2031" s="530"/>
      <c r="H2031" s="542"/>
    </row>
    <row r="2032" spans="1:8" x14ac:dyDescent="0.25">
      <c r="A2032" s="524" t="s">
        <v>21</v>
      </c>
      <c r="B2032" s="525"/>
      <c r="C2032" s="528">
        <f>C2029-C2031</f>
        <v>318.399</v>
      </c>
      <c r="D2032" s="528">
        <f>D2029-D2031</f>
        <v>370.64920000000001</v>
      </c>
      <c r="E2032" s="528">
        <f>E2029-E2031</f>
        <v>438.28999999999996</v>
      </c>
      <c r="F2032" s="528">
        <f>F2029-F2031</f>
        <v>855.13249999999994</v>
      </c>
      <c r="G2032" s="530"/>
      <c r="H2032" s="542"/>
    </row>
    <row r="2033" spans="1:8" x14ac:dyDescent="0.25">
      <c r="A2033" s="533" t="s">
        <v>22</v>
      </c>
      <c r="B2033" s="534"/>
      <c r="C2033" s="535">
        <v>2023</v>
      </c>
      <c r="D2033" s="536">
        <v>2024</v>
      </c>
      <c r="E2033" s="535">
        <v>2025</v>
      </c>
      <c r="F2033" s="535">
        <v>2026</v>
      </c>
      <c r="G2033" s="535">
        <v>2027</v>
      </c>
      <c r="H2033" s="543">
        <v>2028</v>
      </c>
    </row>
    <row r="2034" spans="1:8" x14ac:dyDescent="0.25">
      <c r="A2034" s="544" t="s">
        <v>691</v>
      </c>
      <c r="B2034" s="545"/>
      <c r="C2034" s="545"/>
      <c r="D2034" s="545"/>
      <c r="E2034" s="545"/>
      <c r="F2034" s="19"/>
      <c r="G2034" s="19"/>
      <c r="H2034" s="63"/>
    </row>
    <row r="2035" spans="1:8" ht="12.75" customHeight="1" x14ac:dyDescent="0.25">
      <c r="A2035" s="546" t="s">
        <v>699</v>
      </c>
      <c r="B2035" s="547"/>
      <c r="C2035" s="547"/>
      <c r="D2035" s="547"/>
      <c r="E2035" s="547"/>
      <c r="H2035" s="64"/>
    </row>
    <row r="2036" spans="1:8" x14ac:dyDescent="0.25">
      <c r="A2036" s="548" t="s">
        <v>700</v>
      </c>
      <c r="B2036" s="549"/>
      <c r="C2036" s="549"/>
      <c r="D2036" s="549"/>
      <c r="E2036" s="549"/>
      <c r="H2036" s="64"/>
    </row>
    <row r="2037" spans="1:8" x14ac:dyDescent="0.25">
      <c r="A2037" s="548" t="s">
        <v>940</v>
      </c>
      <c r="B2037" s="549"/>
      <c r="C2037" s="549"/>
      <c r="D2037" s="549"/>
      <c r="E2037" s="549"/>
      <c r="H2037" s="64"/>
    </row>
    <row r="2038" spans="1:8" x14ac:dyDescent="0.25">
      <c r="A2038" s="548" t="s">
        <v>1071</v>
      </c>
      <c r="B2038" s="549"/>
      <c r="C2038" s="549"/>
      <c r="D2038" s="549"/>
      <c r="E2038" s="549"/>
      <c r="H2038" s="64"/>
    </row>
    <row r="2039" spans="1:8" x14ac:dyDescent="0.25">
      <c r="A2039" s="550" t="s">
        <v>1209</v>
      </c>
      <c r="B2039" s="551"/>
      <c r="C2039" s="551"/>
      <c r="D2039" s="551"/>
      <c r="E2039" s="551"/>
      <c r="F2039" s="34"/>
      <c r="G2039" s="34"/>
      <c r="H2039" s="48"/>
    </row>
    <row r="2040" spans="1:8" x14ac:dyDescent="0.25">
      <c r="A2040" s="521"/>
      <c r="B2040" s="547"/>
      <c r="C2040" s="551"/>
      <c r="D2040" s="547"/>
      <c r="E2040" s="547"/>
    </row>
    <row r="2041" spans="1:8" x14ac:dyDescent="0.25">
      <c r="A2041" s="549"/>
      <c r="B2041" s="549"/>
      <c r="C2041" s="552"/>
      <c r="D2041" s="549"/>
      <c r="E2041" s="549"/>
    </row>
    <row r="2042" spans="1:8" x14ac:dyDescent="0.25">
      <c r="A2042" s="519" t="s">
        <v>14</v>
      </c>
      <c r="B2042" s="522" t="s">
        <v>638</v>
      </c>
      <c r="C2042" s="523" t="s">
        <v>15</v>
      </c>
      <c r="D2042" s="521"/>
      <c r="E2042" s="521"/>
      <c r="F2042" s="521"/>
      <c r="G2042" s="521"/>
      <c r="H2042" s="521"/>
    </row>
    <row r="2043" spans="1:8" x14ac:dyDescent="0.25">
      <c r="A2043" s="524" t="s">
        <v>16</v>
      </c>
      <c r="B2043" s="525"/>
      <c r="C2043" s="526">
        <v>2021</v>
      </c>
      <c r="D2043" s="527">
        <v>2022</v>
      </c>
      <c r="E2043" s="540">
        <v>2023</v>
      </c>
      <c r="F2043" s="540">
        <v>2024</v>
      </c>
      <c r="G2043" s="540">
        <v>2025</v>
      </c>
      <c r="H2043" s="540">
        <v>2026</v>
      </c>
    </row>
    <row r="2044" spans="1:8" x14ac:dyDescent="0.25">
      <c r="A2044" s="524" t="s">
        <v>17</v>
      </c>
      <c r="B2044" s="525"/>
      <c r="C2044" s="528">
        <v>100</v>
      </c>
      <c r="D2044" s="528">
        <v>100</v>
      </c>
      <c r="E2044" s="530">
        <v>120</v>
      </c>
      <c r="F2044" s="530">
        <v>120</v>
      </c>
      <c r="G2044" s="530">
        <v>120</v>
      </c>
      <c r="H2044" s="542">
        <v>120</v>
      </c>
    </row>
    <row r="2045" spans="1:8" x14ac:dyDescent="0.25">
      <c r="A2045" s="524" t="s">
        <v>18</v>
      </c>
      <c r="B2045" s="525"/>
      <c r="C2045" s="528"/>
      <c r="D2045" s="528">
        <v>125</v>
      </c>
      <c r="E2045" s="553">
        <f>E2044+0.25*C2044</f>
        <v>145</v>
      </c>
      <c r="F2045" s="553">
        <f>F2044+1.49</f>
        <v>121.49</v>
      </c>
      <c r="G2045" s="553">
        <f>G2044+0.25*E2044</f>
        <v>150</v>
      </c>
      <c r="H2045" s="542">
        <v>150</v>
      </c>
    </row>
    <row r="2046" spans="1:8" x14ac:dyDescent="0.25">
      <c r="A2046" s="524" t="s">
        <v>19</v>
      </c>
      <c r="B2046" s="525"/>
      <c r="C2046" s="553"/>
      <c r="D2046" s="553" t="s">
        <v>681</v>
      </c>
      <c r="E2046" s="553" t="s">
        <v>680</v>
      </c>
      <c r="F2046" s="553" t="s">
        <v>929</v>
      </c>
      <c r="G2046" s="553" t="s">
        <v>1073</v>
      </c>
      <c r="H2046" s="542" t="s">
        <v>1213</v>
      </c>
    </row>
    <row r="2047" spans="1:8" x14ac:dyDescent="0.25">
      <c r="A2047" s="524" t="s">
        <v>20</v>
      </c>
      <c r="B2047" s="525"/>
      <c r="C2047" s="528">
        <v>0</v>
      </c>
      <c r="D2047" s="532">
        <v>0</v>
      </c>
      <c r="E2047" s="530">
        <v>0</v>
      </c>
      <c r="F2047" s="530">
        <v>0</v>
      </c>
      <c r="G2047" s="530"/>
      <c r="H2047" s="542"/>
    </row>
    <row r="2048" spans="1:8" x14ac:dyDescent="0.25">
      <c r="A2048" s="524" t="s">
        <v>21</v>
      </c>
      <c r="B2048" s="525"/>
      <c r="C2048" s="528">
        <f>C2044-C2047</f>
        <v>100</v>
      </c>
      <c r="D2048" s="528">
        <f>D2045-D2047</f>
        <v>125</v>
      </c>
      <c r="E2048" s="528">
        <f>E2045-E2047</f>
        <v>145</v>
      </c>
      <c r="F2048" s="528">
        <f>F2045-F2047</f>
        <v>121.49</v>
      </c>
      <c r="G2048" s="530"/>
      <c r="H2048" s="542"/>
    </row>
    <row r="2049" spans="1:8" x14ac:dyDescent="0.25">
      <c r="A2049" s="533" t="s">
        <v>22</v>
      </c>
      <c r="B2049" s="534"/>
      <c r="C2049" s="535">
        <v>2023</v>
      </c>
      <c r="D2049" s="536">
        <v>2024</v>
      </c>
      <c r="E2049" s="535">
        <v>2025</v>
      </c>
      <c r="F2049" s="535">
        <v>2026</v>
      </c>
      <c r="G2049" s="535">
        <v>2027</v>
      </c>
      <c r="H2049" s="543">
        <v>2028</v>
      </c>
    </row>
    <row r="2050" spans="1:8" x14ac:dyDescent="0.25">
      <c r="A2050" s="544" t="s">
        <v>734</v>
      </c>
      <c r="B2050" s="554"/>
      <c r="C2050" s="555"/>
      <c r="D2050" s="555"/>
      <c r="E2050" s="555"/>
      <c r="F2050" s="555"/>
      <c r="G2050" s="555"/>
      <c r="H2050" s="63"/>
    </row>
    <row r="2051" spans="1:8" x14ac:dyDescent="0.25">
      <c r="A2051" s="546" t="s">
        <v>930</v>
      </c>
      <c r="B2051" s="521"/>
      <c r="C2051" s="556"/>
      <c r="D2051" s="556"/>
      <c r="E2051" s="556"/>
      <c r="F2051" s="556"/>
      <c r="G2051" s="556"/>
      <c r="H2051" s="64"/>
    </row>
    <row r="2052" spans="1:8" x14ac:dyDescent="0.25">
      <c r="A2052" s="546" t="s">
        <v>1072</v>
      </c>
      <c r="B2052" s="521"/>
      <c r="C2052" s="556"/>
      <c r="D2052" s="556"/>
      <c r="E2052" s="556"/>
      <c r="F2052" s="556"/>
      <c r="G2052" s="556"/>
      <c r="H2052" s="64"/>
    </row>
    <row r="2053" spans="1:8" x14ac:dyDescent="0.25">
      <c r="A2053" s="550" t="s">
        <v>1212</v>
      </c>
      <c r="B2053" s="537"/>
      <c r="C2053" s="537"/>
      <c r="D2053" s="537"/>
      <c r="E2053" s="537"/>
      <c r="F2053" s="34"/>
      <c r="G2053" s="34"/>
      <c r="H2053" s="48"/>
    </row>
    <row r="2054" spans="1:8" x14ac:dyDescent="0.25">
      <c r="A2054" s="521"/>
      <c r="B2054" s="521"/>
      <c r="C2054" s="521"/>
      <c r="D2054" s="521"/>
      <c r="E2054" s="521"/>
    </row>
    <row r="2055" spans="1:8" x14ac:dyDescent="0.25">
      <c r="A2055" s="519" t="s">
        <v>14</v>
      </c>
      <c r="B2055" s="522" t="s">
        <v>623</v>
      </c>
      <c r="C2055" s="523" t="s">
        <v>15</v>
      </c>
      <c r="D2055" s="521"/>
      <c r="E2055" s="521"/>
      <c r="F2055" s="521"/>
      <c r="G2055" s="521"/>
      <c r="H2055" s="521"/>
    </row>
    <row r="2056" spans="1:8" x14ac:dyDescent="0.25">
      <c r="A2056" s="524" t="s">
        <v>16</v>
      </c>
      <c r="B2056" s="525"/>
      <c r="C2056" s="526">
        <v>2021</v>
      </c>
      <c r="D2056" s="527">
        <v>2022</v>
      </c>
      <c r="E2056" s="540">
        <v>2023</v>
      </c>
      <c r="F2056" s="540">
        <v>2024</v>
      </c>
      <c r="G2056" s="540">
        <v>2025</v>
      </c>
      <c r="H2056" s="540">
        <v>2026</v>
      </c>
    </row>
    <row r="2057" spans="1:8" x14ac:dyDescent="0.25">
      <c r="A2057" s="524" t="s">
        <v>17</v>
      </c>
      <c r="B2057" s="525"/>
      <c r="C2057" s="528">
        <v>35</v>
      </c>
      <c r="D2057" s="528">
        <v>35</v>
      </c>
      <c r="E2057" s="528">
        <v>35.67</v>
      </c>
      <c r="F2057" s="528">
        <v>35.67</v>
      </c>
      <c r="G2057" s="528">
        <v>35.67</v>
      </c>
      <c r="H2057" s="542">
        <v>35.67</v>
      </c>
    </row>
    <row r="2058" spans="1:8" x14ac:dyDescent="0.25">
      <c r="A2058" s="524" t="s">
        <v>18</v>
      </c>
      <c r="B2058" s="525"/>
      <c r="C2058" s="528">
        <v>49.67</v>
      </c>
      <c r="D2058" s="528">
        <v>49.67</v>
      </c>
      <c r="E2058" s="530">
        <f>E2057+0.4*C2057</f>
        <v>49.67</v>
      </c>
      <c r="F2058" s="530">
        <f>F2057+0.4*D2057</f>
        <v>49.67</v>
      </c>
      <c r="G2058" s="530">
        <f>G2057+0.4*E2057</f>
        <v>49.938000000000002</v>
      </c>
      <c r="H2058" s="542">
        <v>49.94</v>
      </c>
    </row>
    <row r="2059" spans="1:8" ht="30.75" customHeight="1" x14ac:dyDescent="0.25">
      <c r="A2059" s="524" t="s">
        <v>19</v>
      </c>
      <c r="B2059" s="525"/>
      <c r="C2059" s="557" t="s">
        <v>702</v>
      </c>
      <c r="D2059" s="557" t="s">
        <v>703</v>
      </c>
      <c r="E2059" s="557" t="s">
        <v>687</v>
      </c>
      <c r="F2059" s="557" t="s">
        <v>852</v>
      </c>
      <c r="G2059" s="557" t="s">
        <v>1076</v>
      </c>
      <c r="H2059" s="542" t="s">
        <v>1214</v>
      </c>
    </row>
    <row r="2060" spans="1:8" x14ac:dyDescent="0.25">
      <c r="A2060" s="524" t="s">
        <v>20</v>
      </c>
      <c r="B2060" s="525"/>
      <c r="C2060" s="528">
        <v>5.9</v>
      </c>
      <c r="D2060" s="532">
        <v>3.351</v>
      </c>
      <c r="E2060" s="530">
        <v>3.54</v>
      </c>
      <c r="F2060" s="530">
        <v>4.3899999999999997</v>
      </c>
      <c r="G2060" s="530"/>
      <c r="H2060" s="542"/>
    </row>
    <row r="2061" spans="1:8" x14ac:dyDescent="0.25">
      <c r="A2061" s="524" t="s">
        <v>21</v>
      </c>
      <c r="B2061" s="525"/>
      <c r="C2061" s="528">
        <f>C2058-C2060</f>
        <v>43.77</v>
      </c>
      <c r="D2061" s="528">
        <f>D2058-D2060</f>
        <v>46.319000000000003</v>
      </c>
      <c r="E2061" s="528">
        <f>E2058-E2060</f>
        <v>46.13</v>
      </c>
      <c r="F2061" s="528">
        <f>F2058-F2060</f>
        <v>45.28</v>
      </c>
      <c r="G2061" s="530"/>
      <c r="H2061" s="542"/>
    </row>
    <row r="2062" spans="1:8" x14ac:dyDescent="0.25">
      <c r="A2062" s="533" t="s">
        <v>22</v>
      </c>
      <c r="B2062" s="534"/>
      <c r="C2062" s="535">
        <v>2023</v>
      </c>
      <c r="D2062" s="535">
        <v>2024</v>
      </c>
      <c r="E2062" s="535">
        <v>2025</v>
      </c>
      <c r="F2062" s="535">
        <v>2026</v>
      </c>
      <c r="G2062" s="535">
        <v>2027</v>
      </c>
      <c r="H2062" s="543">
        <v>2028</v>
      </c>
    </row>
    <row r="2063" spans="1:8" x14ac:dyDescent="0.25">
      <c r="A2063" s="544" t="s">
        <v>701</v>
      </c>
      <c r="B2063" s="554"/>
      <c r="C2063" s="554"/>
      <c r="D2063" s="554"/>
      <c r="E2063" s="554"/>
      <c r="F2063" s="19"/>
      <c r="G2063" s="19"/>
      <c r="H2063" s="63"/>
    </row>
    <row r="2064" spans="1:8" x14ac:dyDescent="0.25">
      <c r="A2064" s="546" t="s">
        <v>705</v>
      </c>
      <c r="B2064" s="521"/>
      <c r="C2064" s="521"/>
      <c r="D2064" s="521"/>
      <c r="E2064" s="521"/>
      <c r="H2064" s="64"/>
    </row>
    <row r="2065" spans="1:8" x14ac:dyDescent="0.25">
      <c r="A2065" s="546" t="s">
        <v>704</v>
      </c>
      <c r="B2065" s="521"/>
      <c r="C2065" s="521"/>
      <c r="D2065" s="521"/>
      <c r="E2065" s="521"/>
      <c r="H2065" s="64"/>
    </row>
    <row r="2066" spans="1:8" x14ac:dyDescent="0.25">
      <c r="A2066" s="546" t="s">
        <v>1074</v>
      </c>
      <c r="B2066" s="521"/>
      <c r="C2066" s="521"/>
      <c r="D2066" s="521"/>
      <c r="E2066" s="521"/>
      <c r="H2066" s="64"/>
    </row>
    <row r="2067" spans="1:8" x14ac:dyDescent="0.25">
      <c r="A2067" s="546" t="s">
        <v>1075</v>
      </c>
      <c r="B2067" s="521"/>
      <c r="C2067" s="521"/>
      <c r="D2067" s="521"/>
      <c r="E2067" s="521"/>
      <c r="H2067" s="64"/>
    </row>
    <row r="2068" spans="1:8" x14ac:dyDescent="0.25">
      <c r="A2068" s="550" t="s">
        <v>1215</v>
      </c>
      <c r="B2068" s="537"/>
      <c r="C2068" s="537"/>
      <c r="D2068" s="537"/>
      <c r="E2068" s="537"/>
      <c r="F2068" s="34"/>
      <c r="G2068" s="34"/>
      <c r="H2068" s="48"/>
    </row>
    <row r="2069" spans="1:8" x14ac:dyDescent="0.25">
      <c r="A2069" s="549"/>
      <c r="B2069" s="549"/>
      <c r="C2069" s="552"/>
      <c r="D2069" s="549"/>
      <c r="E2069" s="549"/>
    </row>
    <row r="2070" spans="1:8" x14ac:dyDescent="0.25">
      <c r="A2070" s="519" t="s">
        <v>14</v>
      </c>
      <c r="B2070" s="522" t="s">
        <v>641</v>
      </c>
      <c r="C2070" s="523" t="s">
        <v>15</v>
      </c>
      <c r="D2070" s="521"/>
      <c r="E2070" s="521"/>
      <c r="F2070" s="521"/>
      <c r="G2070" s="521"/>
      <c r="H2070" s="521"/>
    </row>
    <row r="2071" spans="1:8" x14ac:dyDescent="0.25">
      <c r="A2071" s="524" t="s">
        <v>16</v>
      </c>
      <c r="B2071" s="525"/>
      <c r="C2071" s="526">
        <v>2021</v>
      </c>
      <c r="D2071" s="527">
        <v>2022</v>
      </c>
      <c r="E2071" s="540">
        <v>2023</v>
      </c>
      <c r="F2071" s="540">
        <v>2024</v>
      </c>
      <c r="G2071" s="540">
        <v>2025</v>
      </c>
      <c r="H2071" s="540">
        <v>2026</v>
      </c>
    </row>
    <row r="2072" spans="1:8" x14ac:dyDescent="0.25">
      <c r="A2072" s="524" t="s">
        <v>17</v>
      </c>
      <c r="B2072" s="525"/>
      <c r="C2072" s="528">
        <v>25</v>
      </c>
      <c r="D2072" s="528">
        <v>25</v>
      </c>
      <c r="E2072" s="528">
        <v>25</v>
      </c>
      <c r="F2072" s="528">
        <v>25</v>
      </c>
      <c r="G2072" s="528">
        <v>25</v>
      </c>
      <c r="H2072" s="541">
        <v>25</v>
      </c>
    </row>
    <row r="2073" spans="1:8" x14ac:dyDescent="0.25">
      <c r="A2073" s="524" t="s">
        <v>18</v>
      </c>
      <c r="B2073" s="525"/>
      <c r="C2073" s="528">
        <v>30</v>
      </c>
      <c r="D2073" s="528">
        <v>30</v>
      </c>
      <c r="E2073" s="553">
        <f>E2072+0.1*C2072</f>
        <v>27.5</v>
      </c>
      <c r="F2073" s="553">
        <f>F2072+0.1*D2072</f>
        <v>27.5</v>
      </c>
      <c r="G2073" s="553">
        <f>G2072+0.1*E2072</f>
        <v>27.5</v>
      </c>
      <c r="H2073" s="541">
        <v>27.5</v>
      </c>
    </row>
    <row r="2074" spans="1:8" x14ac:dyDescent="0.25">
      <c r="A2074" s="524" t="s">
        <v>19</v>
      </c>
      <c r="B2074" s="525"/>
      <c r="C2074" s="553" t="s">
        <v>682</v>
      </c>
      <c r="D2074" s="553" t="s">
        <v>683</v>
      </c>
      <c r="E2074" s="553" t="s">
        <v>1077</v>
      </c>
      <c r="F2074" s="553" t="s">
        <v>1078</v>
      </c>
      <c r="G2074" s="553" t="s">
        <v>1079</v>
      </c>
      <c r="H2074" s="542" t="s">
        <v>1218</v>
      </c>
    </row>
    <row r="2075" spans="1:8" x14ac:dyDescent="0.25">
      <c r="A2075" s="524" t="s">
        <v>20</v>
      </c>
      <c r="B2075" s="525"/>
      <c r="C2075" s="528">
        <v>0</v>
      </c>
      <c r="D2075" s="532">
        <v>0</v>
      </c>
      <c r="E2075" s="530">
        <v>0</v>
      </c>
      <c r="F2075" s="530">
        <v>0</v>
      </c>
      <c r="G2075" s="530"/>
      <c r="H2075" s="542"/>
    </row>
    <row r="2076" spans="1:8" x14ac:dyDescent="0.25">
      <c r="A2076" s="524" t="s">
        <v>21</v>
      </c>
      <c r="B2076" s="525"/>
      <c r="C2076" s="528">
        <v>30</v>
      </c>
      <c r="D2076" s="532">
        <f>D2073-D2075</f>
        <v>30</v>
      </c>
      <c r="E2076" s="532">
        <f>E2073-E2075</f>
        <v>27.5</v>
      </c>
      <c r="F2076" s="532">
        <f>F2073-F2075</f>
        <v>27.5</v>
      </c>
      <c r="G2076" s="530"/>
      <c r="H2076" s="542"/>
    </row>
    <row r="2077" spans="1:8" x14ac:dyDescent="0.25">
      <c r="A2077" s="533" t="s">
        <v>22</v>
      </c>
      <c r="B2077" s="534"/>
      <c r="C2077" s="535">
        <v>2023</v>
      </c>
      <c r="D2077" s="536">
        <v>2024</v>
      </c>
      <c r="E2077" s="535">
        <v>2025</v>
      </c>
      <c r="F2077" s="535">
        <v>2026</v>
      </c>
      <c r="G2077" s="535">
        <v>2027</v>
      </c>
      <c r="H2077" s="543">
        <v>2028</v>
      </c>
    </row>
    <row r="2078" spans="1:8" x14ac:dyDescent="0.25">
      <c r="A2078" s="544" t="s">
        <v>688</v>
      </c>
      <c r="B2078" s="554"/>
      <c r="C2078" s="555"/>
      <c r="D2078" s="555"/>
      <c r="E2078" s="555"/>
      <c r="F2078" s="555"/>
      <c r="G2078" s="19"/>
      <c r="H2078" s="63"/>
    </row>
    <row r="2079" spans="1:8" x14ac:dyDescent="0.25">
      <c r="A2079" s="546" t="s">
        <v>1080</v>
      </c>
      <c r="B2079" s="521"/>
      <c r="C2079" s="521"/>
      <c r="D2079" s="521"/>
      <c r="E2079" s="521"/>
      <c r="H2079" s="64"/>
    </row>
    <row r="2080" spans="1:8" x14ac:dyDescent="0.25">
      <c r="A2080" s="546" t="s">
        <v>1081</v>
      </c>
      <c r="B2080" s="521"/>
      <c r="C2080" s="521"/>
      <c r="D2080" s="521"/>
      <c r="E2080" s="521"/>
      <c r="H2080" s="64"/>
    </row>
    <row r="2081" spans="1:8" x14ac:dyDescent="0.25">
      <c r="A2081" s="550" t="s">
        <v>1216</v>
      </c>
      <c r="B2081" s="537"/>
      <c r="C2081" s="537"/>
      <c r="D2081" s="537"/>
      <c r="E2081" s="537"/>
      <c r="F2081" s="34"/>
      <c r="G2081" s="34"/>
      <c r="H2081" s="48"/>
    </row>
    <row r="2082" spans="1:8" x14ac:dyDescent="0.25">
      <c r="A2082" s="521"/>
      <c r="B2082" s="521"/>
      <c r="C2082" s="521"/>
      <c r="D2082" s="521"/>
      <c r="E2082" s="521"/>
    </row>
    <row r="2083" spans="1:8" x14ac:dyDescent="0.25">
      <c r="A2083" s="519" t="s">
        <v>14</v>
      </c>
      <c r="B2083" s="522" t="s">
        <v>642</v>
      </c>
      <c r="C2083" s="523" t="s">
        <v>15</v>
      </c>
      <c r="D2083" s="521"/>
      <c r="E2083" s="521"/>
      <c r="F2083" s="521"/>
      <c r="G2083" s="521"/>
      <c r="H2083" s="521"/>
    </row>
    <row r="2084" spans="1:8" x14ac:dyDescent="0.25">
      <c r="A2084" s="524" t="s">
        <v>16</v>
      </c>
      <c r="B2084" s="525"/>
      <c r="C2084" s="526">
        <v>2021</v>
      </c>
      <c r="D2084" s="527">
        <v>2022</v>
      </c>
      <c r="E2084" s="540">
        <v>2023</v>
      </c>
      <c r="F2084" s="540">
        <v>2024</v>
      </c>
      <c r="G2084" s="540">
        <v>2025</v>
      </c>
      <c r="H2084" s="540">
        <v>2026</v>
      </c>
    </row>
    <row r="2085" spans="1:8" x14ac:dyDescent="0.25">
      <c r="A2085" s="524" t="s">
        <v>17</v>
      </c>
      <c r="B2085" s="525"/>
      <c r="C2085" s="528">
        <v>48.4</v>
      </c>
      <c r="D2085" s="528">
        <v>48.4</v>
      </c>
      <c r="E2085" s="528">
        <v>63</v>
      </c>
      <c r="F2085" s="528">
        <v>63</v>
      </c>
      <c r="G2085" s="528">
        <v>63</v>
      </c>
      <c r="H2085" s="528">
        <v>63</v>
      </c>
    </row>
    <row r="2086" spans="1:8" x14ac:dyDescent="0.25">
      <c r="A2086" s="524" t="s">
        <v>18</v>
      </c>
      <c r="B2086" s="525"/>
      <c r="C2086" s="528"/>
      <c r="D2086" s="528">
        <f>D2085+0.05*C2085</f>
        <v>50.82</v>
      </c>
      <c r="E2086" s="530">
        <f>E2085+0.05*D2085</f>
        <v>65.42</v>
      </c>
      <c r="F2086" s="530">
        <f>F2085+0.05*E2085</f>
        <v>66.150000000000006</v>
      </c>
      <c r="G2086" s="530">
        <v>66.150000000000006</v>
      </c>
      <c r="H2086" s="542"/>
    </row>
    <row r="2087" spans="1:8" x14ac:dyDescent="0.25">
      <c r="A2087" s="524" t="s">
        <v>19</v>
      </c>
      <c r="B2087" s="525"/>
      <c r="C2087" s="530"/>
      <c r="D2087" s="532" t="s">
        <v>853</v>
      </c>
      <c r="E2087" s="530" t="s">
        <v>854</v>
      </c>
      <c r="F2087" s="530" t="s">
        <v>855</v>
      </c>
      <c r="G2087" s="530" t="s">
        <v>1082</v>
      </c>
      <c r="H2087" s="542" t="s">
        <v>1219</v>
      </c>
    </row>
    <row r="2088" spans="1:8" x14ac:dyDescent="0.25">
      <c r="A2088" s="524" t="s">
        <v>20</v>
      </c>
      <c r="B2088" s="525"/>
      <c r="C2088" s="528">
        <v>2.92</v>
      </c>
      <c r="D2088" s="532">
        <v>4.609</v>
      </c>
      <c r="E2088" s="530">
        <v>22.1</v>
      </c>
      <c r="F2088" s="530">
        <v>39.75</v>
      </c>
      <c r="G2088" s="530"/>
      <c r="H2088" s="542"/>
    </row>
    <row r="2089" spans="1:8" x14ac:dyDescent="0.25">
      <c r="A2089" s="524" t="s">
        <v>21</v>
      </c>
      <c r="B2089" s="525"/>
      <c r="C2089" s="528">
        <f>C2085-C2088</f>
        <v>45.48</v>
      </c>
      <c r="D2089" s="528">
        <f>D2086-D2088</f>
        <v>46.210999999999999</v>
      </c>
      <c r="E2089" s="528">
        <f>E2086-E2088</f>
        <v>43.32</v>
      </c>
      <c r="F2089" s="528">
        <f>F2086-F2088</f>
        <v>26.400000000000006</v>
      </c>
      <c r="G2089" s="530"/>
      <c r="H2089" s="542"/>
    </row>
    <row r="2090" spans="1:8" x14ac:dyDescent="0.25">
      <c r="A2090" s="533" t="s">
        <v>22</v>
      </c>
      <c r="B2090" s="534"/>
      <c r="C2090" s="535">
        <v>2022</v>
      </c>
      <c r="D2090" s="536">
        <v>2023</v>
      </c>
      <c r="E2090" s="535">
        <v>2024</v>
      </c>
      <c r="F2090" s="535">
        <v>2025</v>
      </c>
      <c r="G2090" s="535">
        <v>2026</v>
      </c>
      <c r="H2090" s="543">
        <v>2027</v>
      </c>
    </row>
    <row r="2091" spans="1:8" x14ac:dyDescent="0.25">
      <c r="A2091" s="544" t="s">
        <v>689</v>
      </c>
      <c r="B2091" s="554"/>
      <c r="C2091" s="555"/>
      <c r="D2091" s="555"/>
      <c r="E2091" s="555"/>
      <c r="F2091" s="555"/>
      <c r="G2091" s="555"/>
      <c r="H2091" s="63"/>
    </row>
    <row r="2092" spans="1:8" x14ac:dyDescent="0.25">
      <c r="A2092" s="546" t="s">
        <v>856</v>
      </c>
      <c r="B2092" s="521"/>
      <c r="C2092" s="556"/>
      <c r="D2092" s="556"/>
      <c r="E2092" s="556"/>
      <c r="F2092" s="556"/>
      <c r="G2092" s="556"/>
      <c r="H2092" s="64"/>
    </row>
    <row r="2093" spans="1:8" x14ac:dyDescent="0.25">
      <c r="A2093" s="546" t="s">
        <v>1083</v>
      </c>
      <c r="B2093" s="521"/>
      <c r="C2093" s="556"/>
      <c r="D2093" s="556"/>
      <c r="E2093" s="556"/>
      <c r="F2093" s="556"/>
      <c r="G2093" s="556"/>
      <c r="H2093" s="64"/>
    </row>
    <row r="2094" spans="1:8" x14ac:dyDescent="0.25">
      <c r="A2094" s="550" t="s">
        <v>1217</v>
      </c>
      <c r="B2094" s="537"/>
      <c r="C2094" s="537"/>
      <c r="D2094" s="537"/>
      <c r="E2094" s="537"/>
      <c r="F2094" s="34"/>
      <c r="G2094" s="34"/>
      <c r="H2094" s="48"/>
    </row>
    <row r="2095" spans="1:8" x14ac:dyDescent="0.25">
      <c r="A2095" s="521"/>
      <c r="B2095" s="521"/>
      <c r="C2095" s="521"/>
      <c r="D2095" s="521"/>
      <c r="E2095" s="521"/>
    </row>
    <row r="2096" spans="1:8" x14ac:dyDescent="0.25">
      <c r="A2096" s="519" t="s">
        <v>14</v>
      </c>
      <c r="B2096" s="522" t="s">
        <v>645</v>
      </c>
      <c r="C2096" s="523" t="s">
        <v>15</v>
      </c>
      <c r="D2096" s="521"/>
      <c r="E2096" s="521"/>
      <c r="F2096" s="521"/>
      <c r="G2096" s="521"/>
      <c r="H2096" s="521"/>
    </row>
    <row r="2097" spans="1:8" x14ac:dyDescent="0.25">
      <c r="A2097" s="524" t="s">
        <v>16</v>
      </c>
      <c r="B2097" s="525"/>
      <c r="C2097" s="526">
        <v>2021</v>
      </c>
      <c r="D2097" s="527">
        <v>2022</v>
      </c>
      <c r="E2097" s="540">
        <v>2023</v>
      </c>
      <c r="F2097" s="540">
        <v>2024</v>
      </c>
      <c r="G2097" s="540">
        <v>2025</v>
      </c>
      <c r="H2097" s="540">
        <v>2026</v>
      </c>
    </row>
    <row r="2098" spans="1:8" x14ac:dyDescent="0.25">
      <c r="A2098" s="524" t="s">
        <v>17</v>
      </c>
      <c r="B2098" s="525"/>
      <c r="C2098" s="528">
        <v>5.31</v>
      </c>
      <c r="D2098" s="528">
        <v>6.18</v>
      </c>
      <c r="E2098" s="528">
        <v>6.18</v>
      </c>
      <c r="F2098" s="528">
        <v>6.18</v>
      </c>
      <c r="G2098" s="528">
        <v>6.18</v>
      </c>
      <c r="H2098" s="542">
        <v>6.18</v>
      </c>
    </row>
    <row r="2099" spans="1:8" x14ac:dyDescent="0.25">
      <c r="A2099" s="524" t="s">
        <v>18</v>
      </c>
      <c r="B2099" s="525"/>
      <c r="C2099" s="528">
        <v>10.62</v>
      </c>
      <c r="D2099" s="528">
        <f>D2098+C2098</f>
        <v>11.489999999999998</v>
      </c>
      <c r="E2099" s="530">
        <f>E2098+D2098</f>
        <v>12.36</v>
      </c>
      <c r="F2099" s="530">
        <f>F2098*2</f>
        <v>12.36</v>
      </c>
      <c r="G2099" s="530">
        <f>G2098*2</f>
        <v>12.36</v>
      </c>
      <c r="H2099" s="542">
        <v>12.36</v>
      </c>
    </row>
    <row r="2100" spans="1:8" x14ac:dyDescent="0.25">
      <c r="A2100" s="524" t="s">
        <v>19</v>
      </c>
      <c r="B2100" s="525"/>
      <c r="C2100" s="530"/>
      <c r="D2100" s="532" t="s">
        <v>857</v>
      </c>
      <c r="E2100" s="530" t="s">
        <v>858</v>
      </c>
      <c r="F2100" s="530" t="s">
        <v>859</v>
      </c>
      <c r="G2100" s="530" t="s">
        <v>1084</v>
      </c>
      <c r="H2100" s="542" t="s">
        <v>1220</v>
      </c>
    </row>
    <row r="2101" spans="1:8" x14ac:dyDescent="0.25">
      <c r="A2101" s="524" t="s">
        <v>20</v>
      </c>
      <c r="B2101" s="525"/>
      <c r="C2101" s="528">
        <v>0.71</v>
      </c>
      <c r="D2101" s="532">
        <v>0</v>
      </c>
      <c r="E2101" s="530">
        <v>0.55000000000000004</v>
      </c>
      <c r="F2101" s="530">
        <v>0</v>
      </c>
      <c r="G2101" s="530"/>
      <c r="H2101" s="542"/>
    </row>
    <row r="2102" spans="1:8" x14ac:dyDescent="0.25">
      <c r="A2102" s="524" t="s">
        <v>21</v>
      </c>
      <c r="B2102" s="525"/>
      <c r="C2102" s="528">
        <f>C2099-C2101</f>
        <v>9.91</v>
      </c>
      <c r="D2102" s="528">
        <f>D2099-D2101</f>
        <v>11.489999999999998</v>
      </c>
      <c r="E2102" s="528">
        <f>E2099-E2101</f>
        <v>11.809999999999999</v>
      </c>
      <c r="F2102" s="528">
        <f>F2099-F2101</f>
        <v>12.36</v>
      </c>
      <c r="G2102" s="530"/>
      <c r="H2102" s="542"/>
    </row>
    <row r="2103" spans="1:8" x14ac:dyDescent="0.25">
      <c r="A2103" s="533" t="s">
        <v>22</v>
      </c>
      <c r="B2103" s="534"/>
      <c r="C2103" s="535">
        <v>2022</v>
      </c>
      <c r="D2103" s="536">
        <v>2023</v>
      </c>
      <c r="E2103" s="535">
        <v>2024</v>
      </c>
      <c r="F2103" s="535">
        <v>2025</v>
      </c>
      <c r="G2103" s="535">
        <v>2026</v>
      </c>
      <c r="H2103" s="543">
        <v>2027</v>
      </c>
    </row>
    <row r="2104" spans="1:8" x14ac:dyDescent="0.25">
      <c r="A2104" s="544" t="s">
        <v>690</v>
      </c>
      <c r="B2104" s="554"/>
      <c r="C2104" s="555"/>
      <c r="D2104" s="555"/>
      <c r="E2104" s="555"/>
      <c r="F2104" s="555"/>
      <c r="G2104" s="555"/>
      <c r="H2104" s="63"/>
    </row>
    <row r="2105" spans="1:8" x14ac:dyDescent="0.25">
      <c r="A2105" s="546" t="s">
        <v>860</v>
      </c>
      <c r="B2105" s="521"/>
      <c r="C2105" s="521"/>
      <c r="D2105" s="521"/>
      <c r="E2105" s="521"/>
      <c r="F2105" s="521"/>
      <c r="G2105" s="521"/>
      <c r="H2105" s="64"/>
    </row>
    <row r="2106" spans="1:8" x14ac:dyDescent="0.25">
      <c r="A2106" s="546" t="s">
        <v>1085</v>
      </c>
      <c r="B2106" s="521"/>
      <c r="C2106" s="521"/>
      <c r="D2106" s="521"/>
      <c r="E2106" s="521"/>
      <c r="F2106" s="521"/>
      <c r="G2106" s="521"/>
      <c r="H2106" s="64"/>
    </row>
    <row r="2107" spans="1:8" x14ac:dyDescent="0.25">
      <c r="A2107" s="550" t="s">
        <v>1221</v>
      </c>
      <c r="B2107" s="537"/>
      <c r="C2107" s="537"/>
      <c r="D2107" s="537"/>
      <c r="E2107" s="537"/>
      <c r="F2107" s="34"/>
      <c r="G2107" s="34"/>
      <c r="H2107" s="48"/>
    </row>
    <row r="2108" spans="1:8" x14ac:dyDescent="0.25">
      <c r="A2108" s="521"/>
      <c r="B2108" s="521"/>
      <c r="C2108" s="521"/>
      <c r="D2108" s="521"/>
      <c r="E2108" s="521"/>
    </row>
    <row r="2109" spans="1:8" x14ac:dyDescent="0.25">
      <c r="A2109" s="6" t="s">
        <v>204</v>
      </c>
      <c r="B2109" s="7" t="s">
        <v>818</v>
      </c>
    </row>
    <row r="2110" spans="1:8" x14ac:dyDescent="0.25">
      <c r="A2110" s="6" t="s">
        <v>203</v>
      </c>
      <c r="B2110" s="7" t="s">
        <v>638</v>
      </c>
      <c r="C2110" s="9" t="s">
        <v>15</v>
      </c>
    </row>
    <row r="2111" spans="1:8" x14ac:dyDescent="0.25">
      <c r="A2111" s="11" t="s">
        <v>16</v>
      </c>
      <c r="B2111" s="11"/>
      <c r="C2111" s="11"/>
      <c r="D2111" s="154">
        <v>2022</v>
      </c>
      <c r="E2111" s="154">
        <v>2023</v>
      </c>
      <c r="F2111" s="154">
        <v>2024</v>
      </c>
      <c r="G2111" s="154">
        <v>2025</v>
      </c>
      <c r="H2111" s="493">
        <v>2026</v>
      </c>
    </row>
    <row r="2112" spans="1:8" x14ac:dyDescent="0.25">
      <c r="A2112" s="11" t="s">
        <v>17</v>
      </c>
      <c r="B2112" s="12"/>
      <c r="C2112" s="12"/>
      <c r="D2112" s="12">
        <v>440</v>
      </c>
      <c r="E2112" s="12">
        <v>530</v>
      </c>
      <c r="F2112" s="12">
        <v>530</v>
      </c>
      <c r="G2112" s="12">
        <v>530</v>
      </c>
      <c r="H2112" s="131">
        <v>530</v>
      </c>
    </row>
    <row r="2113" spans="1:12" x14ac:dyDescent="0.25">
      <c r="A2113" s="11" t="s">
        <v>18</v>
      </c>
      <c r="B2113" s="12"/>
      <c r="C2113" s="12"/>
      <c r="D2113" s="12">
        <f>D2112+0.25*440-52.95</f>
        <v>497.05</v>
      </c>
      <c r="E2113" s="12">
        <f>E2112+0.25*440-100</f>
        <v>540</v>
      </c>
      <c r="F2113" s="12">
        <f>F2112-100</f>
        <v>430</v>
      </c>
      <c r="G2113" s="12">
        <f>G2112+0.25*E2112-100</f>
        <v>562.5</v>
      </c>
      <c r="H2113" s="131">
        <f>H2112+0.25*F2112-100</f>
        <v>562.5</v>
      </c>
    </row>
    <row r="2114" spans="1:12" x14ac:dyDescent="0.25">
      <c r="A2114" s="10" t="s">
        <v>19</v>
      </c>
      <c r="B2114" s="284"/>
      <c r="C2114" s="12"/>
      <c r="D2114" s="12"/>
      <c r="E2114" s="12"/>
      <c r="F2114" s="12"/>
      <c r="G2114" s="12"/>
      <c r="H2114" s="131"/>
    </row>
    <row r="2115" spans="1:12" x14ac:dyDescent="0.25">
      <c r="A2115" s="10" t="s">
        <v>20</v>
      </c>
      <c r="B2115" s="12"/>
      <c r="C2115" s="12"/>
      <c r="D2115" s="12">
        <v>0</v>
      </c>
      <c r="E2115" s="12">
        <v>0</v>
      </c>
      <c r="F2115" s="12">
        <v>0</v>
      </c>
      <c r="G2115" s="12"/>
      <c r="H2115" s="131"/>
    </row>
    <row r="2116" spans="1:12" x14ac:dyDescent="0.25">
      <c r="A2116" s="10" t="s">
        <v>21</v>
      </c>
      <c r="B2116" s="12"/>
      <c r="C2116" s="12"/>
      <c r="D2116" s="12">
        <f>D2113-D2115</f>
        <v>497.05</v>
      </c>
      <c r="E2116" s="12">
        <f>E2113-E2115</f>
        <v>540</v>
      </c>
      <c r="F2116" s="12">
        <f>F2113-F2115</f>
        <v>430</v>
      </c>
      <c r="G2116" s="12"/>
      <c r="H2116" s="131"/>
    </row>
    <row r="2117" spans="1:12" x14ac:dyDescent="0.25">
      <c r="A2117" s="18" t="s">
        <v>22</v>
      </c>
      <c r="B2117" s="62"/>
      <c r="C2117" s="62"/>
      <c r="D2117" s="643">
        <v>2024</v>
      </c>
      <c r="E2117" s="643">
        <v>2025</v>
      </c>
      <c r="F2117" s="643">
        <v>2026</v>
      </c>
      <c r="G2117" s="643">
        <v>2027</v>
      </c>
      <c r="H2117" s="643">
        <v>2028</v>
      </c>
    </row>
    <row r="2118" spans="1:12" x14ac:dyDescent="0.25">
      <c r="A2118" s="18" t="s">
        <v>23</v>
      </c>
      <c r="B2118" s="19"/>
      <c r="C2118" s="19"/>
      <c r="D2118" s="439"/>
      <c r="E2118" s="439"/>
      <c r="F2118" s="439"/>
      <c r="G2118" s="439"/>
      <c r="H2118" s="63"/>
    </row>
    <row r="2119" spans="1:12" x14ac:dyDescent="0.25">
      <c r="A2119" s="39" t="s">
        <v>906</v>
      </c>
      <c r="D2119" s="446"/>
      <c r="E2119" s="446"/>
      <c r="F2119" s="446"/>
      <c r="G2119" s="446"/>
      <c r="H2119" s="64"/>
    </row>
    <row r="2120" spans="1:12" x14ac:dyDescent="0.25">
      <c r="A2120" s="39" t="s">
        <v>819</v>
      </c>
      <c r="H2120" s="64"/>
    </row>
    <row r="2121" spans="1:12" x14ac:dyDescent="0.25">
      <c r="A2121" s="39" t="s">
        <v>1098</v>
      </c>
      <c r="H2121" s="64"/>
    </row>
    <row r="2122" spans="1:12" x14ac:dyDescent="0.25">
      <c r="A2122" s="39" t="s">
        <v>1099</v>
      </c>
      <c r="H2122" s="64"/>
    </row>
    <row r="2123" spans="1:12" x14ac:dyDescent="0.25">
      <c r="A2123" s="42" t="s">
        <v>1270</v>
      </c>
      <c r="B2123" s="34"/>
      <c r="C2123" s="34"/>
      <c r="D2123" s="34"/>
      <c r="E2123" s="34"/>
      <c r="F2123" s="34"/>
      <c r="G2123" s="34"/>
      <c r="H2123" s="48"/>
    </row>
    <row r="2126" spans="1:12" x14ac:dyDescent="0.25">
      <c r="A2126" s="519" t="s">
        <v>12</v>
      </c>
      <c r="B2126" s="520" t="s">
        <v>114</v>
      </c>
      <c r="D2126" s="521"/>
      <c r="E2126" s="521"/>
      <c r="F2126" s="521"/>
      <c r="G2126" s="521"/>
      <c r="H2126" s="521"/>
    </row>
    <row r="2127" spans="1:12" x14ac:dyDescent="0.25">
      <c r="A2127" s="519" t="s">
        <v>14</v>
      </c>
      <c r="B2127" s="522" t="s">
        <v>624</v>
      </c>
      <c r="C2127" s="523" t="s">
        <v>15</v>
      </c>
      <c r="D2127" s="521"/>
      <c r="E2127" s="521"/>
      <c r="F2127" s="521"/>
      <c r="G2127" s="521"/>
      <c r="H2127" s="521"/>
    </row>
    <row r="2128" spans="1:12" x14ac:dyDescent="0.25">
      <c r="A2128" s="524" t="s">
        <v>16</v>
      </c>
      <c r="B2128" s="525"/>
      <c r="C2128" s="526">
        <v>2016</v>
      </c>
      <c r="D2128" s="527">
        <v>2017</v>
      </c>
      <c r="E2128" s="540">
        <v>2018</v>
      </c>
      <c r="F2128" s="558">
        <v>2019</v>
      </c>
      <c r="G2128" s="559">
        <v>2020</v>
      </c>
      <c r="H2128" s="559">
        <v>2021</v>
      </c>
      <c r="I2128" s="559">
        <v>2022</v>
      </c>
      <c r="J2128" s="559">
        <v>2023</v>
      </c>
      <c r="K2128" s="559">
        <v>2024</v>
      </c>
      <c r="L2128" s="559">
        <v>2025</v>
      </c>
    </row>
    <row r="2129" spans="1:26" x14ac:dyDescent="0.25">
      <c r="A2129" s="524" t="s">
        <v>17</v>
      </c>
      <c r="B2129" s="525"/>
      <c r="C2129" s="528">
        <v>527</v>
      </c>
      <c r="D2129" s="528">
        <v>527</v>
      </c>
      <c r="E2129" s="530">
        <v>632.4</v>
      </c>
      <c r="F2129" s="560">
        <v>632.4</v>
      </c>
      <c r="G2129" s="561">
        <v>632.4</v>
      </c>
      <c r="H2129" s="561">
        <v>711.5</v>
      </c>
      <c r="I2129" s="561">
        <v>711.5</v>
      </c>
      <c r="J2129" s="561">
        <v>711.5</v>
      </c>
      <c r="K2129" s="561">
        <v>889.4</v>
      </c>
      <c r="L2129" s="561">
        <v>889.4</v>
      </c>
    </row>
    <row r="2130" spans="1:26" x14ac:dyDescent="0.25">
      <c r="A2130" s="524" t="s">
        <v>18</v>
      </c>
      <c r="B2130" s="525"/>
      <c r="C2130" s="528">
        <v>658.75</v>
      </c>
      <c r="D2130" s="528">
        <v>658.75</v>
      </c>
      <c r="E2130" s="530">
        <v>764.15</v>
      </c>
      <c r="F2130" s="560">
        <v>790.5</v>
      </c>
      <c r="G2130" s="561">
        <v>790.5</v>
      </c>
      <c r="H2130" s="561">
        <f>H2129+0.25*G2129</f>
        <v>869.6</v>
      </c>
      <c r="I2130" s="561">
        <f>I2129+0.25*H2129</f>
        <v>889.375</v>
      </c>
      <c r="J2130" s="561">
        <f>J2129+0.25*I2129</f>
        <v>889.375</v>
      </c>
      <c r="K2130" s="561">
        <f>K2129+0.25*J2129</f>
        <v>1067.2750000000001</v>
      </c>
      <c r="L2130" s="561">
        <f>L2129+0.25*K2129</f>
        <v>1111.75</v>
      </c>
    </row>
    <row r="2131" spans="1:26" x14ac:dyDescent="0.25">
      <c r="A2131" s="524" t="s">
        <v>19</v>
      </c>
      <c r="B2131" s="525"/>
      <c r="C2131" s="530"/>
      <c r="D2131" s="532"/>
      <c r="E2131" s="530"/>
      <c r="F2131" s="560"/>
      <c r="G2131" s="561"/>
      <c r="H2131" s="561"/>
      <c r="I2131" s="561"/>
      <c r="J2131" s="561"/>
      <c r="K2131" s="561"/>
      <c r="L2131" s="561"/>
    </row>
    <row r="2132" spans="1:26" x14ac:dyDescent="0.25">
      <c r="A2132" s="524" t="s">
        <v>20</v>
      </c>
      <c r="B2132" s="525"/>
      <c r="C2132" s="528">
        <v>250.22</v>
      </c>
      <c r="D2132" s="532">
        <v>238.35</v>
      </c>
      <c r="E2132" s="530">
        <v>102.57</v>
      </c>
      <c r="F2132" s="560">
        <v>221.13</v>
      </c>
      <c r="G2132" s="561">
        <v>328.36</v>
      </c>
      <c r="H2132" s="561">
        <v>295.93</v>
      </c>
      <c r="I2132" s="561">
        <v>310.56</v>
      </c>
      <c r="J2132" s="562">
        <v>180.1</v>
      </c>
      <c r="K2132" s="562">
        <v>228.4</v>
      </c>
      <c r="L2132" s="561"/>
    </row>
    <row r="2133" spans="1:26" x14ac:dyDescent="0.25">
      <c r="A2133" s="524" t="s">
        <v>21</v>
      </c>
      <c r="B2133" s="525"/>
      <c r="C2133" s="528">
        <v>408.53</v>
      </c>
      <c r="D2133" s="532">
        <v>420.4</v>
      </c>
      <c r="E2133" s="530">
        <f t="shared" ref="E2133:K2133" si="85">E2130-E2132</f>
        <v>661.57999999999993</v>
      </c>
      <c r="F2133" s="560">
        <f t="shared" si="85"/>
        <v>569.37</v>
      </c>
      <c r="G2133" s="561">
        <f t="shared" si="85"/>
        <v>462.14</v>
      </c>
      <c r="H2133" s="561">
        <f t="shared" si="85"/>
        <v>573.67000000000007</v>
      </c>
      <c r="I2133" s="561">
        <f t="shared" si="85"/>
        <v>578.81500000000005</v>
      </c>
      <c r="J2133" s="562">
        <f t="shared" si="85"/>
        <v>709.27499999999998</v>
      </c>
      <c r="K2133" s="562">
        <f t="shared" si="85"/>
        <v>838.87500000000011</v>
      </c>
      <c r="L2133" s="561"/>
    </row>
    <row r="2134" spans="1:26" x14ac:dyDescent="0.25">
      <c r="A2134" s="533" t="s">
        <v>22</v>
      </c>
      <c r="B2134" s="534"/>
      <c r="C2134" s="535">
        <v>2017</v>
      </c>
      <c r="D2134" s="536">
        <v>2018</v>
      </c>
      <c r="E2134" s="535">
        <v>2019</v>
      </c>
      <c r="F2134" s="563">
        <v>2020</v>
      </c>
      <c r="G2134" s="564">
        <v>2021</v>
      </c>
      <c r="H2134" s="564">
        <v>2022</v>
      </c>
      <c r="I2134" s="564">
        <v>2023</v>
      </c>
      <c r="J2134" s="564">
        <v>2024</v>
      </c>
      <c r="K2134" s="564">
        <v>2025</v>
      </c>
      <c r="L2134" s="565">
        <v>2026</v>
      </c>
    </row>
    <row r="2135" spans="1:26" x14ac:dyDescent="0.25">
      <c r="A2135" s="566" t="s">
        <v>115</v>
      </c>
      <c r="B2135" s="567"/>
      <c r="C2135" s="567"/>
      <c r="D2135" s="567"/>
      <c r="E2135" s="567"/>
      <c r="F2135" s="567"/>
      <c r="G2135" s="567"/>
      <c r="H2135" s="567"/>
      <c r="I2135" s="567"/>
      <c r="J2135" s="567"/>
      <c r="K2135" s="567"/>
      <c r="L2135" s="88"/>
    </row>
    <row r="2136" spans="1:26" x14ac:dyDescent="0.25">
      <c r="A2136" s="544" t="s">
        <v>116</v>
      </c>
      <c r="B2136" s="554"/>
      <c r="C2136" s="554"/>
      <c r="D2136" s="489"/>
      <c r="E2136" s="489"/>
      <c r="F2136" s="489"/>
      <c r="G2136" s="489"/>
      <c r="H2136" s="489"/>
      <c r="I2136" s="489"/>
      <c r="J2136" s="554"/>
      <c r="K2136" s="554"/>
      <c r="L2136" s="63"/>
    </row>
    <row r="2137" spans="1:26" x14ac:dyDescent="0.25">
      <c r="A2137" s="546" t="s">
        <v>117</v>
      </c>
      <c r="B2137" s="521"/>
      <c r="C2137" s="521"/>
      <c r="D2137" s="521"/>
      <c r="E2137" s="521"/>
      <c r="F2137" s="521"/>
      <c r="G2137" s="521"/>
      <c r="H2137" s="521"/>
      <c r="I2137" s="521"/>
      <c r="J2137" s="521"/>
      <c r="K2137" s="521"/>
      <c r="L2137" s="64"/>
    </row>
    <row r="2138" spans="1:26" x14ac:dyDescent="0.25">
      <c r="A2138" s="546" t="s">
        <v>118</v>
      </c>
      <c r="B2138" s="521"/>
      <c r="C2138" s="521"/>
      <c r="D2138" s="521"/>
      <c r="E2138" s="521"/>
      <c r="F2138" s="521"/>
      <c r="G2138" s="521"/>
      <c r="H2138" s="521"/>
      <c r="I2138" s="521"/>
      <c r="J2138" s="521"/>
      <c r="K2138" s="521"/>
      <c r="L2138" s="64"/>
    </row>
    <row r="2139" spans="1:26" x14ac:dyDescent="0.25">
      <c r="A2139" s="546" t="s">
        <v>119</v>
      </c>
      <c r="B2139" s="521"/>
      <c r="C2139" s="521"/>
      <c r="D2139" s="521"/>
      <c r="E2139" s="521"/>
      <c r="F2139" s="521"/>
      <c r="G2139" s="521"/>
      <c r="H2139" s="521"/>
      <c r="I2139" s="521"/>
      <c r="J2139" s="521"/>
      <c r="K2139" s="521"/>
      <c r="L2139" s="64"/>
    </row>
    <row r="2140" spans="1:26" x14ac:dyDescent="0.25">
      <c r="A2140" s="546" t="s">
        <v>301</v>
      </c>
      <c r="B2140" s="521"/>
      <c r="C2140" s="521"/>
      <c r="D2140" s="521"/>
      <c r="E2140" s="521"/>
      <c r="F2140" s="521"/>
      <c r="G2140" s="521"/>
      <c r="H2140" s="521"/>
      <c r="I2140" s="521"/>
      <c r="J2140" s="521"/>
      <c r="K2140" s="521"/>
      <c r="L2140" s="64"/>
    </row>
    <row r="2141" spans="1:26" x14ac:dyDescent="0.25">
      <c r="A2141" s="546" t="s">
        <v>532</v>
      </c>
      <c r="B2141" s="521"/>
      <c r="C2141" s="521"/>
      <c r="D2141" s="521"/>
      <c r="E2141" s="521"/>
      <c r="F2141" s="521"/>
      <c r="G2141" s="521"/>
      <c r="H2141" s="521"/>
      <c r="I2141" s="521"/>
      <c r="J2141" s="521"/>
      <c r="K2141" s="521"/>
      <c r="L2141" s="64"/>
    </row>
    <row r="2142" spans="1:26" x14ac:dyDescent="0.25">
      <c r="A2142" s="546" t="s">
        <v>666</v>
      </c>
      <c r="B2142" s="521"/>
      <c r="C2142" s="521"/>
      <c r="D2142" s="521"/>
      <c r="E2142" s="521"/>
      <c r="F2142" s="521"/>
      <c r="G2142" s="521"/>
      <c r="H2142" s="521"/>
      <c r="I2142" s="521"/>
      <c r="J2142" s="521"/>
      <c r="K2142" s="521"/>
      <c r="L2142" s="64"/>
    </row>
    <row r="2143" spans="1:26" x14ac:dyDescent="0.25">
      <c r="A2143" s="546" t="s">
        <v>865</v>
      </c>
      <c r="B2143" s="521"/>
      <c r="C2143" s="521"/>
      <c r="D2143" s="521"/>
      <c r="E2143" s="521"/>
      <c r="F2143" s="521"/>
      <c r="G2143" s="521"/>
      <c r="H2143" s="521"/>
      <c r="I2143" s="521"/>
      <c r="J2143" s="521"/>
      <c r="K2143" s="521"/>
      <c r="L2143" s="64"/>
    </row>
    <row r="2144" spans="1:26" s="50" customFormat="1" ht="14.4" x14ac:dyDescent="0.3">
      <c r="A2144" s="39" t="s">
        <v>1020</v>
      </c>
      <c r="B2144" s="3"/>
      <c r="C2144" s="3"/>
      <c r="D2144" s="3"/>
      <c r="E2144" s="3"/>
      <c r="F2144" s="3"/>
      <c r="G2144" s="3"/>
      <c r="H2144" s="3"/>
      <c r="I2144" s="3"/>
      <c r="J2144" s="3"/>
      <c r="K2144" s="3"/>
      <c r="L2144" s="64"/>
      <c r="M2144" s="3"/>
      <c r="N2144" s="3"/>
      <c r="O2144" s="3"/>
      <c r="P2144" s="3"/>
      <c r="Q2144" s="3"/>
      <c r="R2144" s="3"/>
      <c r="S2144" s="3"/>
      <c r="T2144" s="3"/>
      <c r="U2144" s="3"/>
      <c r="V2144" s="3"/>
      <c r="W2144" s="3"/>
      <c r="X2144" s="3"/>
      <c r="Y2144" s="3"/>
      <c r="Z2144" s="3"/>
    </row>
    <row r="2145" spans="1:26" s="50" customFormat="1" ht="14.4" x14ac:dyDescent="0.3">
      <c r="A2145" s="150" t="s">
        <v>1123</v>
      </c>
      <c r="B2145" s="3"/>
      <c r="C2145" s="3"/>
      <c r="D2145" s="3"/>
      <c r="E2145" s="3"/>
      <c r="F2145" s="3"/>
      <c r="G2145" s="3"/>
      <c r="H2145" s="3"/>
      <c r="I2145" s="3"/>
      <c r="J2145" s="3"/>
      <c r="K2145" s="3"/>
      <c r="L2145" s="64"/>
      <c r="M2145" s="3"/>
      <c r="N2145" s="3"/>
      <c r="O2145" s="3"/>
      <c r="P2145" s="3"/>
      <c r="Q2145" s="3"/>
      <c r="R2145" s="3"/>
      <c r="S2145" s="3"/>
      <c r="T2145" s="3"/>
      <c r="U2145" s="3"/>
      <c r="V2145" s="3"/>
      <c r="W2145" s="3"/>
      <c r="X2145" s="3"/>
      <c r="Y2145" s="3"/>
      <c r="Z2145" s="3"/>
    </row>
    <row r="2146" spans="1:26" x14ac:dyDescent="0.25">
      <c r="A2146" s="546" t="s">
        <v>533</v>
      </c>
      <c r="B2146" s="521"/>
      <c r="C2146" s="521"/>
      <c r="D2146" s="521"/>
      <c r="E2146" s="521"/>
      <c r="F2146" s="521"/>
      <c r="G2146" s="521"/>
      <c r="H2146" s="521"/>
      <c r="I2146" s="521"/>
      <c r="J2146" s="521"/>
      <c r="K2146" s="521"/>
      <c r="L2146" s="64"/>
    </row>
    <row r="2147" spans="1:26" x14ac:dyDescent="0.25">
      <c r="A2147" s="546" t="s">
        <v>534</v>
      </c>
      <c r="B2147" s="521"/>
      <c r="C2147" s="521"/>
      <c r="D2147" s="521"/>
      <c r="E2147" s="521"/>
      <c r="F2147" s="521"/>
      <c r="G2147" s="521"/>
      <c r="H2147" s="521"/>
      <c r="I2147" s="521"/>
      <c r="J2147" s="521"/>
      <c r="K2147" s="521"/>
      <c r="L2147" s="64"/>
    </row>
    <row r="2148" spans="1:26" s="50" customFormat="1" ht="12.75" customHeight="1" x14ac:dyDescent="0.3">
      <c r="A2148" s="39" t="s">
        <v>1021</v>
      </c>
      <c r="B2148" s="3"/>
      <c r="C2148" s="3"/>
      <c r="D2148" s="3"/>
      <c r="E2148" s="3"/>
      <c r="F2148" s="3"/>
      <c r="G2148" s="3"/>
      <c r="H2148" s="3"/>
      <c r="I2148" s="3"/>
      <c r="J2148" s="3"/>
      <c r="K2148" s="3"/>
      <c r="L2148" s="64"/>
      <c r="M2148" s="3"/>
      <c r="N2148" s="3"/>
      <c r="O2148" s="3"/>
      <c r="P2148" s="3"/>
      <c r="Q2148" s="3"/>
      <c r="R2148" s="3"/>
      <c r="S2148" s="3"/>
      <c r="T2148" s="3"/>
      <c r="U2148" s="3"/>
      <c r="V2148" s="3"/>
      <c r="W2148" s="3"/>
      <c r="X2148" s="3"/>
      <c r="Y2148" s="3"/>
      <c r="Z2148" s="3"/>
    </row>
    <row r="2149" spans="1:26" s="59" customFormat="1" ht="12.75" customHeight="1" x14ac:dyDescent="0.3">
      <c r="A2149" s="42" t="s">
        <v>1124</v>
      </c>
      <c r="B2149" s="34"/>
      <c r="C2149" s="34"/>
      <c r="D2149" s="34"/>
      <c r="E2149" s="34"/>
      <c r="F2149" s="34"/>
      <c r="G2149" s="34"/>
      <c r="H2149" s="34"/>
      <c r="I2149" s="34"/>
      <c r="J2149" s="34"/>
      <c r="K2149" s="34"/>
      <c r="L2149" s="48"/>
      <c r="M2149" s="34"/>
      <c r="N2149" s="34"/>
      <c r="O2149" s="34"/>
      <c r="P2149" s="34"/>
      <c r="Q2149" s="34"/>
      <c r="R2149" s="34"/>
      <c r="S2149" s="34"/>
      <c r="T2149" s="34"/>
      <c r="U2149" s="34"/>
      <c r="V2149" s="34"/>
      <c r="W2149" s="34"/>
      <c r="X2149" s="34"/>
      <c r="Y2149" s="34"/>
      <c r="Z2149" s="34"/>
    </row>
    <row r="2151" spans="1:26" x14ac:dyDescent="0.25">
      <c r="A2151" s="519" t="s">
        <v>14</v>
      </c>
      <c r="B2151" s="522" t="s">
        <v>623</v>
      </c>
      <c r="C2151" s="523" t="s">
        <v>15</v>
      </c>
      <c r="D2151" s="521"/>
      <c r="E2151" s="521"/>
      <c r="F2151" s="521"/>
      <c r="G2151" s="521"/>
      <c r="H2151" s="521"/>
    </row>
    <row r="2152" spans="1:26" x14ac:dyDescent="0.25">
      <c r="A2152" s="524" t="s">
        <v>16</v>
      </c>
      <c r="B2152" s="525"/>
      <c r="C2152" s="568">
        <v>2017</v>
      </c>
      <c r="D2152" s="540">
        <v>2018</v>
      </c>
      <c r="E2152" s="540">
        <v>2019</v>
      </c>
      <c r="F2152" s="558">
        <v>2020</v>
      </c>
      <c r="G2152" s="559">
        <v>2021</v>
      </c>
      <c r="H2152" s="559">
        <v>2022</v>
      </c>
      <c r="I2152" s="559">
        <v>2023</v>
      </c>
      <c r="J2152" s="559">
        <v>2024</v>
      </c>
      <c r="K2152" s="569">
        <v>2025</v>
      </c>
    </row>
    <row r="2153" spans="1:26" x14ac:dyDescent="0.25">
      <c r="A2153" s="524" t="s">
        <v>17</v>
      </c>
      <c r="B2153" s="525"/>
      <c r="C2153" s="528">
        <v>3907</v>
      </c>
      <c r="D2153" s="528">
        <v>3907</v>
      </c>
      <c r="E2153" s="530">
        <v>3907</v>
      </c>
      <c r="F2153" s="560">
        <v>3907</v>
      </c>
      <c r="G2153" s="561">
        <v>3907</v>
      </c>
      <c r="H2153" s="561">
        <v>3907</v>
      </c>
      <c r="I2153" s="561">
        <v>3907</v>
      </c>
      <c r="J2153" s="561">
        <v>3907</v>
      </c>
      <c r="K2153" s="562">
        <v>3907</v>
      </c>
    </row>
    <row r="2154" spans="1:26" x14ac:dyDescent="0.25">
      <c r="A2154" s="524" t="s">
        <v>18</v>
      </c>
      <c r="B2154" s="525"/>
      <c r="C2154" s="528">
        <v>4468.05</v>
      </c>
      <c r="D2154" s="528">
        <v>4493.05</v>
      </c>
      <c r="E2154" s="530">
        <v>4493.05</v>
      </c>
      <c r="F2154" s="560">
        <v>4493.05</v>
      </c>
      <c r="G2154" s="561">
        <v>4493.05</v>
      </c>
      <c r="H2154" s="561">
        <v>4493.05</v>
      </c>
      <c r="I2154" s="561">
        <v>4493.05</v>
      </c>
      <c r="J2154" s="561">
        <f>J2153+I2153*0.15-200</f>
        <v>4293.05</v>
      </c>
      <c r="K2154" s="562">
        <f>K2153+(K2153*0.15)-300</f>
        <v>4193.05</v>
      </c>
    </row>
    <row r="2155" spans="1:26" x14ac:dyDescent="0.25">
      <c r="A2155" s="524" t="s">
        <v>19</v>
      </c>
      <c r="B2155" s="525"/>
      <c r="C2155" s="570"/>
      <c r="D2155" s="530"/>
      <c r="E2155" s="530"/>
      <c r="F2155" s="560"/>
      <c r="G2155" s="561"/>
      <c r="H2155" s="561"/>
      <c r="I2155" s="561"/>
      <c r="J2155" s="561"/>
      <c r="K2155" s="562"/>
    </row>
    <row r="2156" spans="1:26" x14ac:dyDescent="0.25">
      <c r="A2156" s="524" t="s">
        <v>20</v>
      </c>
      <c r="B2156" s="525"/>
      <c r="C2156" s="571">
        <v>1404.81</v>
      </c>
      <c r="D2156" s="530">
        <v>1274.78</v>
      </c>
      <c r="E2156" s="530">
        <v>1736.49</v>
      </c>
      <c r="F2156" s="560">
        <v>1441.75</v>
      </c>
      <c r="G2156" s="561">
        <v>1231.69</v>
      </c>
      <c r="H2156" s="561">
        <v>1339.32</v>
      </c>
      <c r="I2156" s="561">
        <v>1008.8</v>
      </c>
      <c r="J2156" s="561">
        <v>890.44</v>
      </c>
      <c r="K2156" s="562"/>
    </row>
    <row r="2157" spans="1:26" x14ac:dyDescent="0.25">
      <c r="A2157" s="524" t="s">
        <v>21</v>
      </c>
      <c r="B2157" s="525"/>
      <c r="C2157" s="528">
        <v>3063.24</v>
      </c>
      <c r="D2157" s="530">
        <f t="shared" ref="D2157:H2157" si="86">D2154-D2156</f>
        <v>3218.2700000000004</v>
      </c>
      <c r="E2157" s="530">
        <f t="shared" si="86"/>
        <v>2756.5600000000004</v>
      </c>
      <c r="F2157" s="530">
        <f t="shared" si="86"/>
        <v>3051.3</v>
      </c>
      <c r="G2157" s="561">
        <f t="shared" si="86"/>
        <v>3261.36</v>
      </c>
      <c r="H2157" s="561">
        <f t="shared" si="86"/>
        <v>3153.7300000000005</v>
      </c>
      <c r="I2157" s="561">
        <v>3484.25</v>
      </c>
      <c r="J2157" s="561">
        <v>3402.61</v>
      </c>
      <c r="K2157" s="562"/>
    </row>
    <row r="2158" spans="1:26" x14ac:dyDescent="0.25">
      <c r="A2158" s="533" t="s">
        <v>22</v>
      </c>
      <c r="B2158" s="534"/>
      <c r="C2158" s="556">
        <v>2018</v>
      </c>
      <c r="D2158" s="535">
        <v>2019</v>
      </c>
      <c r="E2158" s="535">
        <v>2020</v>
      </c>
      <c r="F2158" s="563">
        <v>2021</v>
      </c>
      <c r="G2158" s="564">
        <v>2022</v>
      </c>
      <c r="H2158" s="564">
        <v>2023</v>
      </c>
      <c r="I2158" s="564">
        <v>2024</v>
      </c>
      <c r="J2158" s="564">
        <v>2025</v>
      </c>
      <c r="K2158" s="572">
        <v>2026</v>
      </c>
    </row>
    <row r="2159" spans="1:26" x14ac:dyDescent="0.25">
      <c r="A2159" s="566" t="s">
        <v>120</v>
      </c>
      <c r="B2159" s="567"/>
      <c r="C2159" s="567"/>
      <c r="D2159" s="567"/>
      <c r="E2159" s="567"/>
      <c r="F2159" s="567"/>
      <c r="G2159" s="567"/>
      <c r="H2159" s="567"/>
      <c r="I2159" s="567"/>
      <c r="J2159" s="567"/>
      <c r="K2159" s="88"/>
    </row>
    <row r="2160" spans="1:26" x14ac:dyDescent="0.25">
      <c r="A2160" s="544" t="s">
        <v>121</v>
      </c>
      <c r="B2160" s="554"/>
      <c r="C2160" s="554"/>
      <c r="D2160" s="554"/>
      <c r="E2160" s="554"/>
      <c r="F2160" s="554"/>
      <c r="G2160" s="554"/>
      <c r="H2160" s="554"/>
      <c r="I2160" s="554"/>
      <c r="J2160" s="554"/>
      <c r="K2160" s="63"/>
    </row>
    <row r="2161" spans="1:11" x14ac:dyDescent="0.25">
      <c r="A2161" s="546" t="s">
        <v>122</v>
      </c>
      <c r="B2161" s="521"/>
      <c r="C2161" s="521"/>
      <c r="D2161" s="521"/>
      <c r="E2161" s="521"/>
      <c r="F2161" s="521"/>
      <c r="G2161" s="521"/>
      <c r="H2161" s="521"/>
      <c r="I2161" s="521"/>
      <c r="J2161" s="521"/>
      <c r="K2161" s="64"/>
    </row>
    <row r="2162" spans="1:11" x14ac:dyDescent="0.25">
      <c r="A2162" s="546" t="s">
        <v>123</v>
      </c>
      <c r="B2162" s="521"/>
      <c r="C2162" s="521"/>
      <c r="D2162" s="521"/>
      <c r="E2162" s="521"/>
      <c r="F2162" s="521"/>
      <c r="G2162" s="521"/>
      <c r="H2162" s="521"/>
      <c r="I2162" s="521"/>
      <c r="J2162" s="521"/>
      <c r="K2162" s="64"/>
    </row>
    <row r="2163" spans="1:11" x14ac:dyDescent="0.25">
      <c r="A2163" s="39" t="s">
        <v>302</v>
      </c>
      <c r="B2163" s="521"/>
      <c r="C2163" s="521"/>
      <c r="D2163" s="521"/>
      <c r="E2163" s="521"/>
      <c r="F2163" s="521"/>
      <c r="G2163" s="521"/>
      <c r="H2163" s="521"/>
      <c r="I2163" s="521"/>
      <c r="J2163" s="521"/>
      <c r="K2163" s="64"/>
    </row>
    <row r="2164" spans="1:11" x14ac:dyDescent="0.25">
      <c r="A2164" s="546" t="s">
        <v>535</v>
      </c>
      <c r="B2164" s="521"/>
      <c r="C2164" s="521"/>
      <c r="D2164" s="521"/>
      <c r="E2164" s="521"/>
      <c r="F2164" s="521"/>
      <c r="G2164" s="521"/>
      <c r="H2164" s="521"/>
      <c r="I2164" s="521"/>
      <c r="J2164" s="521"/>
      <c r="K2164" s="64"/>
    </row>
    <row r="2165" spans="1:11" x14ac:dyDescent="0.25">
      <c r="A2165" s="546" t="s">
        <v>667</v>
      </c>
      <c r="B2165" s="521"/>
      <c r="C2165" s="521"/>
      <c r="D2165" s="521"/>
      <c r="E2165" s="521"/>
      <c r="F2165" s="521"/>
      <c r="G2165" s="521"/>
      <c r="H2165" s="521"/>
      <c r="I2165" s="521"/>
      <c r="J2165" s="521"/>
      <c r="K2165" s="64"/>
    </row>
    <row r="2166" spans="1:11" x14ac:dyDescent="0.25">
      <c r="A2166" s="546" t="s">
        <v>866</v>
      </c>
      <c r="B2166" s="521"/>
      <c r="C2166" s="521"/>
      <c r="D2166" s="521"/>
      <c r="E2166" s="521"/>
      <c r="F2166" s="521"/>
      <c r="G2166" s="521"/>
      <c r="H2166" s="521"/>
      <c r="I2166" s="521"/>
      <c r="J2166" s="521"/>
      <c r="K2166" s="64"/>
    </row>
    <row r="2167" spans="1:11" x14ac:dyDescent="0.25">
      <c r="A2167" s="546" t="s">
        <v>1022</v>
      </c>
      <c r="B2167" s="521"/>
      <c r="C2167" s="521"/>
      <c r="D2167" s="521"/>
      <c r="E2167" s="521"/>
      <c r="F2167" s="521"/>
      <c r="G2167" s="521"/>
      <c r="H2167" s="521"/>
      <c r="I2167" s="521"/>
      <c r="J2167" s="521"/>
      <c r="K2167" s="64"/>
    </row>
    <row r="2168" spans="1:11" x14ac:dyDescent="0.25">
      <c r="A2168" s="550" t="s">
        <v>1222</v>
      </c>
      <c r="B2168" s="537"/>
      <c r="C2168" s="537"/>
      <c r="D2168" s="537"/>
      <c r="E2168" s="537"/>
      <c r="F2168" s="537"/>
      <c r="G2168" s="537"/>
      <c r="H2168" s="537"/>
      <c r="I2168" s="537"/>
      <c r="J2168" s="537"/>
      <c r="K2168" s="48"/>
    </row>
    <row r="2170" spans="1:11" x14ac:dyDescent="0.25">
      <c r="A2170" s="519" t="s">
        <v>14</v>
      </c>
      <c r="B2170" s="522" t="s">
        <v>641</v>
      </c>
      <c r="C2170" s="523" t="s">
        <v>15</v>
      </c>
      <c r="D2170" s="521"/>
      <c r="E2170" s="521"/>
      <c r="F2170" s="521"/>
      <c r="G2170" s="521"/>
      <c r="H2170" s="521"/>
    </row>
    <row r="2171" spans="1:11" x14ac:dyDescent="0.25">
      <c r="A2171" s="524" t="s">
        <v>16</v>
      </c>
      <c r="B2171" s="525"/>
      <c r="C2171" s="573">
        <v>2017</v>
      </c>
      <c r="D2171" s="574">
        <v>2018</v>
      </c>
      <c r="E2171" s="574">
        <v>2019</v>
      </c>
      <c r="F2171" s="575">
        <v>2020</v>
      </c>
      <c r="G2171" s="559">
        <v>2021</v>
      </c>
      <c r="H2171" s="559">
        <v>2022</v>
      </c>
      <c r="I2171" s="559">
        <v>2023</v>
      </c>
      <c r="J2171" s="559">
        <v>2024</v>
      </c>
      <c r="K2171" s="569">
        <v>2025</v>
      </c>
    </row>
    <row r="2172" spans="1:11" x14ac:dyDescent="0.25">
      <c r="A2172" s="524" t="s">
        <v>17</v>
      </c>
      <c r="B2172" s="524"/>
      <c r="C2172" s="576">
        <v>100</v>
      </c>
      <c r="D2172" s="576">
        <v>100</v>
      </c>
      <c r="E2172" s="561">
        <v>100</v>
      </c>
      <c r="F2172" s="561">
        <v>100</v>
      </c>
      <c r="G2172" s="561">
        <v>100</v>
      </c>
      <c r="H2172" s="561">
        <v>100</v>
      </c>
      <c r="I2172" s="561">
        <v>100</v>
      </c>
      <c r="J2172" s="561">
        <v>100</v>
      </c>
      <c r="K2172" s="562">
        <v>100</v>
      </c>
    </row>
    <row r="2173" spans="1:11" x14ac:dyDescent="0.25">
      <c r="A2173" s="524" t="s">
        <v>18</v>
      </c>
      <c r="B2173" s="524"/>
      <c r="C2173" s="576">
        <v>99.94</v>
      </c>
      <c r="D2173" s="576">
        <v>99.94</v>
      </c>
      <c r="E2173" s="561">
        <v>99.94</v>
      </c>
      <c r="F2173" s="561">
        <v>99.94</v>
      </c>
      <c r="G2173" s="561">
        <v>99.94</v>
      </c>
      <c r="H2173" s="561">
        <f>H2172-50-25-24.94+G2176</f>
        <v>100</v>
      </c>
      <c r="I2173" s="561">
        <f>I2172-50-25-25+H2176</f>
        <v>100</v>
      </c>
      <c r="J2173" s="561">
        <f>J2172-50-25-25+I2176</f>
        <v>100</v>
      </c>
      <c r="K2173" s="562">
        <f t="shared" ref="K2173" si="87">K2172-50-25-25+I2176</f>
        <v>100</v>
      </c>
    </row>
    <row r="2174" spans="1:11" x14ac:dyDescent="0.25">
      <c r="A2174" s="524" t="s">
        <v>19</v>
      </c>
      <c r="B2174" s="524"/>
      <c r="C2174" s="561"/>
      <c r="D2174" s="561"/>
      <c r="E2174" s="561"/>
      <c r="F2174" s="561"/>
      <c r="G2174" s="561"/>
      <c r="H2174" s="561"/>
      <c r="I2174" s="561"/>
      <c r="J2174" s="561"/>
      <c r="K2174" s="562"/>
    </row>
    <row r="2175" spans="1:11" x14ac:dyDescent="0.25">
      <c r="A2175" s="524" t="s">
        <v>20</v>
      </c>
      <c r="B2175" s="524"/>
      <c r="C2175" s="576">
        <v>0</v>
      </c>
      <c r="D2175" s="576">
        <v>0</v>
      </c>
      <c r="E2175" s="576">
        <v>0</v>
      </c>
      <c r="F2175" s="561">
        <v>0</v>
      </c>
      <c r="G2175" s="561">
        <v>0</v>
      </c>
      <c r="H2175" s="561">
        <v>0</v>
      </c>
      <c r="I2175" s="561">
        <v>0</v>
      </c>
      <c r="J2175" s="562">
        <v>0</v>
      </c>
      <c r="K2175" s="562"/>
    </row>
    <row r="2176" spans="1:11" x14ac:dyDescent="0.25">
      <c r="A2176" s="524" t="s">
        <v>21</v>
      </c>
      <c r="B2176" s="525"/>
      <c r="C2176" s="577">
        <v>99.94</v>
      </c>
      <c r="D2176" s="577">
        <v>99.94</v>
      </c>
      <c r="E2176" s="577">
        <v>99.94</v>
      </c>
      <c r="F2176" s="570">
        <v>99.94</v>
      </c>
      <c r="G2176" s="561">
        <v>99.94</v>
      </c>
      <c r="H2176" s="561">
        <f>H2172-H2175</f>
        <v>100</v>
      </c>
      <c r="I2176" s="561">
        <v>100</v>
      </c>
      <c r="J2176" s="562">
        <v>100</v>
      </c>
      <c r="K2176" s="562"/>
    </row>
    <row r="2177" spans="1:12" x14ac:dyDescent="0.25">
      <c r="A2177" s="533" t="s">
        <v>22</v>
      </c>
      <c r="B2177" s="534"/>
      <c r="C2177" s="556">
        <v>2018</v>
      </c>
      <c r="D2177" s="535">
        <v>2019</v>
      </c>
      <c r="E2177" s="535">
        <v>2020</v>
      </c>
      <c r="F2177" s="563">
        <v>2021</v>
      </c>
      <c r="G2177" s="564">
        <v>2022</v>
      </c>
      <c r="H2177" s="564">
        <v>2023</v>
      </c>
      <c r="I2177" s="564">
        <v>2024</v>
      </c>
      <c r="J2177" s="564">
        <v>2025</v>
      </c>
      <c r="K2177" s="572">
        <v>2026</v>
      </c>
    </row>
    <row r="2178" spans="1:12" x14ac:dyDescent="0.25">
      <c r="A2178" s="544" t="s">
        <v>124</v>
      </c>
      <c r="B2178" s="554"/>
      <c r="C2178" s="554"/>
      <c r="D2178" s="554"/>
      <c r="E2178" s="554"/>
      <c r="F2178" s="554"/>
      <c r="G2178" s="554"/>
      <c r="H2178" s="554"/>
      <c r="I2178" s="554"/>
      <c r="J2178" s="554"/>
      <c r="K2178" s="63"/>
    </row>
    <row r="2179" spans="1:12" x14ac:dyDescent="0.25">
      <c r="A2179" s="546" t="s">
        <v>125</v>
      </c>
      <c r="B2179" s="521"/>
      <c r="C2179" s="521"/>
      <c r="D2179" s="521"/>
      <c r="E2179" s="521"/>
      <c r="F2179" s="521"/>
      <c r="G2179" s="521"/>
      <c r="H2179" s="521"/>
      <c r="I2179" s="521"/>
      <c r="J2179" s="521"/>
      <c r="K2179" s="64"/>
    </row>
    <row r="2180" spans="1:12" x14ac:dyDescent="0.25">
      <c r="A2180" s="546" t="s">
        <v>126</v>
      </c>
      <c r="B2180" s="521"/>
      <c r="C2180" s="521"/>
      <c r="D2180" s="521"/>
      <c r="E2180" s="521"/>
      <c r="F2180" s="521"/>
      <c r="G2180" s="521"/>
      <c r="H2180" s="521"/>
      <c r="I2180" s="521"/>
      <c r="J2180" s="521"/>
      <c r="K2180" s="64"/>
    </row>
    <row r="2181" spans="1:12" x14ac:dyDescent="0.25">
      <c r="A2181" s="546" t="s">
        <v>127</v>
      </c>
      <c r="B2181" s="521"/>
      <c r="C2181" s="521"/>
      <c r="D2181" s="521"/>
      <c r="E2181" s="521"/>
      <c r="F2181" s="521"/>
      <c r="G2181" s="521"/>
      <c r="H2181" s="521"/>
      <c r="I2181" s="521"/>
      <c r="J2181" s="521"/>
      <c r="K2181" s="64"/>
    </row>
    <row r="2182" spans="1:12" x14ac:dyDescent="0.25">
      <c r="A2182" s="546" t="s">
        <v>303</v>
      </c>
      <c r="B2182" s="521"/>
      <c r="C2182" s="521"/>
      <c r="D2182" s="521"/>
      <c r="E2182" s="521"/>
      <c r="F2182" s="521"/>
      <c r="G2182" s="521"/>
      <c r="H2182" s="521"/>
      <c r="I2182" s="521"/>
      <c r="J2182" s="521"/>
      <c r="K2182" s="64"/>
    </row>
    <row r="2183" spans="1:12" x14ac:dyDescent="0.25">
      <c r="A2183" s="546" t="s">
        <v>536</v>
      </c>
      <c r="B2183" s="521"/>
      <c r="C2183" s="521"/>
      <c r="D2183" s="521"/>
      <c r="E2183" s="521"/>
      <c r="F2183" s="521"/>
      <c r="G2183" s="521"/>
      <c r="H2183" s="521"/>
      <c r="I2183" s="521"/>
      <c r="J2183" s="521"/>
      <c r="K2183" s="64"/>
    </row>
    <row r="2184" spans="1:12" x14ac:dyDescent="0.25">
      <c r="A2184" s="546" t="s">
        <v>577</v>
      </c>
      <c r="B2184" s="521"/>
      <c r="C2184" s="521"/>
      <c r="D2184" s="521"/>
      <c r="E2184" s="521"/>
      <c r="F2184" s="521"/>
      <c r="G2184" s="521"/>
      <c r="H2184" s="521"/>
      <c r="I2184" s="521"/>
      <c r="J2184" s="521"/>
      <c r="K2184" s="64"/>
    </row>
    <row r="2185" spans="1:12" x14ac:dyDescent="0.25">
      <c r="A2185" s="546" t="s">
        <v>867</v>
      </c>
      <c r="B2185" s="521"/>
      <c r="C2185" s="521"/>
      <c r="D2185" s="521"/>
      <c r="E2185" s="521"/>
      <c r="F2185" s="521"/>
      <c r="G2185" s="521"/>
      <c r="H2185" s="521"/>
      <c r="I2185" s="521"/>
      <c r="J2185" s="521"/>
      <c r="K2185" s="64"/>
    </row>
    <row r="2186" spans="1:12" x14ac:dyDescent="0.25">
      <c r="A2186" s="546" t="s">
        <v>1023</v>
      </c>
      <c r="B2186" s="521"/>
      <c r="C2186" s="521"/>
      <c r="D2186" s="521"/>
      <c r="E2186" s="521"/>
      <c r="F2186" s="521"/>
      <c r="G2186" s="521"/>
      <c r="H2186" s="521"/>
      <c r="I2186" s="521"/>
      <c r="J2186" s="521"/>
      <c r="K2186" s="64"/>
    </row>
    <row r="2187" spans="1:12" x14ac:dyDescent="0.25">
      <c r="A2187" s="42" t="s">
        <v>1223</v>
      </c>
      <c r="B2187" s="537"/>
      <c r="C2187" s="537"/>
      <c r="D2187" s="537"/>
      <c r="E2187" s="537"/>
      <c r="F2187" s="537"/>
      <c r="G2187" s="537"/>
      <c r="H2187" s="537"/>
      <c r="I2187" s="537"/>
      <c r="J2187" s="537"/>
      <c r="K2187" s="48"/>
    </row>
    <row r="2189" spans="1:12" x14ac:dyDescent="0.25">
      <c r="A2189" s="519" t="s">
        <v>14</v>
      </c>
      <c r="B2189" s="522" t="s">
        <v>645</v>
      </c>
      <c r="C2189" s="523" t="s">
        <v>15</v>
      </c>
      <c r="D2189" s="521"/>
      <c r="E2189" s="521"/>
      <c r="F2189" s="521"/>
    </row>
    <row r="2190" spans="1:12" x14ac:dyDescent="0.25">
      <c r="A2190" s="524" t="s">
        <v>16</v>
      </c>
      <c r="B2190" s="525"/>
      <c r="C2190" s="526">
        <v>2016</v>
      </c>
      <c r="D2190" s="558">
        <v>2017</v>
      </c>
      <c r="E2190" s="540">
        <v>2018</v>
      </c>
      <c r="F2190" s="558">
        <v>2019</v>
      </c>
      <c r="G2190" s="154">
        <v>2020</v>
      </c>
      <c r="H2190" s="154">
        <v>2021</v>
      </c>
      <c r="I2190" s="154">
        <v>2022</v>
      </c>
      <c r="J2190" s="154">
        <v>2023</v>
      </c>
      <c r="K2190" s="154">
        <v>2024</v>
      </c>
      <c r="L2190" s="569">
        <v>2025</v>
      </c>
    </row>
    <row r="2191" spans="1:12" x14ac:dyDescent="0.25">
      <c r="A2191" s="524" t="s">
        <v>17</v>
      </c>
      <c r="B2191" s="525"/>
      <c r="C2191" s="578">
        <v>1083.79</v>
      </c>
      <c r="D2191" s="578">
        <v>1083.79</v>
      </c>
      <c r="E2191" s="525">
        <v>1272.8599999999999</v>
      </c>
      <c r="F2191" s="579">
        <v>1272.8599999999999</v>
      </c>
      <c r="G2191" s="11">
        <v>1272.8599999999999</v>
      </c>
      <c r="H2191" s="11">
        <v>1272.8599999999999</v>
      </c>
      <c r="I2191" s="12">
        <v>1341.14</v>
      </c>
      <c r="J2191" s="11">
        <v>1341.14</v>
      </c>
      <c r="K2191" s="11">
        <v>1341.14</v>
      </c>
      <c r="L2191" s="580">
        <v>1341.14</v>
      </c>
    </row>
    <row r="2192" spans="1:12" x14ac:dyDescent="0.25">
      <c r="A2192" s="524" t="s">
        <v>18</v>
      </c>
      <c r="B2192" s="525"/>
      <c r="C2192" s="578">
        <v>1192.17</v>
      </c>
      <c r="D2192" s="578">
        <v>1192.17</v>
      </c>
      <c r="E2192" s="525">
        <v>1381.24</v>
      </c>
      <c r="F2192" s="579">
        <v>1400.15</v>
      </c>
      <c r="G2192" s="11">
        <v>1400.15</v>
      </c>
      <c r="H2192" s="11">
        <v>1400.15</v>
      </c>
      <c r="I2192" s="12">
        <f>I2191+0.1*H2191</f>
        <v>1468.4260000000002</v>
      </c>
      <c r="J2192" s="12">
        <f>J2191+I2195</f>
        <v>1447.6760000000002</v>
      </c>
      <c r="K2192" s="12">
        <f>K2191+0.1*J2191</f>
        <v>1475.2540000000001</v>
      </c>
      <c r="L2192" s="562">
        <v>1199.96</v>
      </c>
    </row>
    <row r="2193" spans="1:16384" x14ac:dyDescent="0.25">
      <c r="A2193" s="524" t="s">
        <v>19</v>
      </c>
      <c r="B2193" s="525"/>
      <c r="C2193" s="525"/>
      <c r="D2193" s="579"/>
      <c r="E2193" s="525"/>
      <c r="F2193" s="579"/>
      <c r="G2193" s="11"/>
      <c r="H2193" s="11"/>
      <c r="I2193" s="12"/>
      <c r="J2193" s="11"/>
      <c r="K2193" s="11"/>
      <c r="L2193" s="580"/>
    </row>
    <row r="2194" spans="1:16384" x14ac:dyDescent="0.25">
      <c r="A2194" s="524" t="s">
        <v>20</v>
      </c>
      <c r="B2194" s="525"/>
      <c r="C2194" s="578">
        <v>1025.0999999999999</v>
      </c>
      <c r="D2194" s="579">
        <v>996.8</v>
      </c>
      <c r="E2194" s="525">
        <v>1028.26</v>
      </c>
      <c r="F2194" s="579">
        <v>1190.78</v>
      </c>
      <c r="G2194" s="11">
        <v>1184.99</v>
      </c>
      <c r="H2194" s="11">
        <v>1205.69</v>
      </c>
      <c r="I2194" s="12">
        <v>1361.89</v>
      </c>
      <c r="J2194" s="11">
        <v>1311.3</v>
      </c>
      <c r="K2194" s="11">
        <v>1616.43</v>
      </c>
      <c r="L2194" s="580"/>
    </row>
    <row r="2195" spans="1:16384" x14ac:dyDescent="0.25">
      <c r="A2195" s="524" t="s">
        <v>21</v>
      </c>
      <c r="B2195" s="525"/>
      <c r="C2195" s="578">
        <f t="shared" ref="C2195:I2195" si="88">C2192-C2194</f>
        <v>167.07000000000016</v>
      </c>
      <c r="D2195" s="578">
        <f t="shared" si="88"/>
        <v>195.37000000000012</v>
      </c>
      <c r="E2195" s="578">
        <f t="shared" si="88"/>
        <v>352.98</v>
      </c>
      <c r="F2195" s="578">
        <f t="shared" si="88"/>
        <v>209.37000000000012</v>
      </c>
      <c r="G2195" s="578">
        <f t="shared" si="88"/>
        <v>215.16000000000008</v>
      </c>
      <c r="H2195" s="11">
        <f t="shared" si="88"/>
        <v>194.46000000000004</v>
      </c>
      <c r="I2195" s="12">
        <f t="shared" si="88"/>
        <v>106.53600000000006</v>
      </c>
      <c r="J2195" s="12">
        <v>136.3760000000002</v>
      </c>
      <c r="K2195" s="25">
        <v>-141.18</v>
      </c>
      <c r="L2195" s="580"/>
    </row>
    <row r="2196" spans="1:16384" x14ac:dyDescent="0.25">
      <c r="A2196" s="533" t="s">
        <v>22</v>
      </c>
      <c r="B2196" s="534"/>
      <c r="C2196" s="535">
        <v>2017</v>
      </c>
      <c r="D2196" s="563">
        <v>2018</v>
      </c>
      <c r="E2196" s="535">
        <v>2019</v>
      </c>
      <c r="F2196" s="563">
        <v>2020</v>
      </c>
      <c r="G2196" s="159">
        <v>2021</v>
      </c>
      <c r="H2196" s="159">
        <v>2022</v>
      </c>
      <c r="I2196" s="159">
        <v>2023</v>
      </c>
      <c r="J2196" s="159">
        <v>2024</v>
      </c>
      <c r="K2196" s="159">
        <v>2025</v>
      </c>
      <c r="L2196" s="572">
        <v>2026</v>
      </c>
    </row>
    <row r="2197" spans="1:16384" x14ac:dyDescent="0.25">
      <c r="A2197" s="566" t="s">
        <v>538</v>
      </c>
      <c r="B2197" s="567"/>
      <c r="C2197" s="581"/>
      <c r="D2197" s="581"/>
      <c r="E2197" s="581"/>
      <c r="F2197" s="581"/>
      <c r="G2197" s="186"/>
      <c r="H2197" s="186"/>
      <c r="I2197" s="186"/>
      <c r="J2197" s="186"/>
      <c r="K2197" s="186"/>
      <c r="L2197" s="88"/>
    </row>
    <row r="2198" spans="1:16384" x14ac:dyDescent="0.25">
      <c r="A2198" s="544" t="s">
        <v>128</v>
      </c>
      <c r="B2198" s="554"/>
      <c r="C2198" s="554"/>
      <c r="D2198" s="554"/>
      <c r="E2198" s="554"/>
      <c r="F2198" s="554"/>
      <c r="G2198" s="19"/>
      <c r="H2198" s="19"/>
      <c r="I2198" s="19"/>
      <c r="J2198" s="19"/>
      <c r="K2198" s="19"/>
      <c r="L2198" s="63"/>
    </row>
    <row r="2199" spans="1:16384" x14ac:dyDescent="0.25">
      <c r="A2199" s="546" t="s">
        <v>129</v>
      </c>
      <c r="B2199" s="521"/>
      <c r="C2199" s="521"/>
      <c r="D2199" s="521"/>
      <c r="E2199" s="521"/>
      <c r="F2199" s="521"/>
      <c r="L2199" s="64"/>
    </row>
    <row r="2200" spans="1:16384" x14ac:dyDescent="0.25">
      <c r="A2200" s="546" t="s">
        <v>130</v>
      </c>
      <c r="B2200" s="521"/>
      <c r="C2200" s="521"/>
      <c r="D2200" s="521"/>
      <c r="E2200" s="521"/>
      <c r="F2200" s="521"/>
      <c r="L2200" s="64"/>
    </row>
    <row r="2201" spans="1:16384" x14ac:dyDescent="0.25">
      <c r="A2201" s="546" t="s">
        <v>131</v>
      </c>
      <c r="B2201" s="521"/>
      <c r="C2201" s="521"/>
      <c r="D2201" s="521"/>
      <c r="E2201" s="521"/>
      <c r="F2201" s="521"/>
      <c r="L2201" s="64"/>
    </row>
    <row r="2202" spans="1:16384" x14ac:dyDescent="0.25">
      <c r="A2202" s="546" t="s">
        <v>304</v>
      </c>
      <c r="B2202" s="521"/>
      <c r="C2202" s="521"/>
      <c r="D2202" s="521"/>
      <c r="E2202" s="521"/>
      <c r="F2202" s="521"/>
      <c r="L2202" s="64"/>
    </row>
    <row r="2203" spans="1:16384" x14ac:dyDescent="0.25">
      <c r="A2203" s="546" t="s">
        <v>537</v>
      </c>
      <c r="B2203" s="521"/>
      <c r="C2203" s="521"/>
      <c r="D2203" s="521"/>
      <c r="E2203" s="521"/>
      <c r="F2203" s="521"/>
      <c r="L2203" s="64"/>
    </row>
    <row r="2204" spans="1:16384" x14ac:dyDescent="0.25">
      <c r="A2204" s="546" t="s">
        <v>668</v>
      </c>
      <c r="B2204" s="521"/>
      <c r="C2204" s="521"/>
      <c r="D2204" s="521"/>
      <c r="E2204" s="521"/>
      <c r="F2204" s="521"/>
      <c r="L2204" s="64"/>
    </row>
    <row r="2205" spans="1:16384" x14ac:dyDescent="0.25">
      <c r="A2205" s="546" t="s">
        <v>868</v>
      </c>
      <c r="B2205" s="521"/>
      <c r="C2205" s="521"/>
      <c r="D2205" s="521"/>
      <c r="E2205" s="521"/>
      <c r="F2205" s="521"/>
      <c r="L2205" s="64"/>
    </row>
    <row r="2206" spans="1:16384" s="50" customFormat="1" ht="12.75" customHeight="1" x14ac:dyDescent="0.3">
      <c r="A2206" s="39" t="s">
        <v>1024</v>
      </c>
      <c r="B2206" s="3"/>
      <c r="C2206" s="3"/>
      <c r="D2206" s="3"/>
      <c r="E2206" s="3"/>
      <c r="F2206" s="3"/>
      <c r="G2206" s="3"/>
      <c r="H2206" s="3"/>
      <c r="I2206" s="3"/>
      <c r="J2206" s="3"/>
      <c r="K2206" s="3"/>
      <c r="L2206" s="64"/>
      <c r="M2206" s="3"/>
      <c r="N2206" s="3"/>
      <c r="O2206" s="3"/>
      <c r="P2206" s="3"/>
      <c r="Q2206" s="3"/>
      <c r="R2206" s="3"/>
      <c r="S2206" s="3"/>
      <c r="T2206" s="3"/>
      <c r="U2206" s="3"/>
      <c r="V2206" s="3"/>
      <c r="W2206" s="3"/>
      <c r="X2206" s="3"/>
      <c r="Y2206" s="3"/>
      <c r="Z2206" s="3"/>
    </row>
    <row r="2207" spans="1:16384" s="582" customFormat="1" ht="12.75" customHeight="1" x14ac:dyDescent="0.3">
      <c r="A2207" s="150" t="s">
        <v>1224</v>
      </c>
      <c r="B2207" s="45" t="s">
        <v>1224</v>
      </c>
      <c r="C2207" s="45" t="s">
        <v>1224</v>
      </c>
      <c r="D2207" s="45" t="s">
        <v>1224</v>
      </c>
      <c r="E2207" s="45" t="s">
        <v>1224</v>
      </c>
      <c r="F2207" s="45" t="s">
        <v>1224</v>
      </c>
      <c r="G2207" s="45" t="s">
        <v>1224</v>
      </c>
      <c r="H2207" s="45" t="s">
        <v>1224</v>
      </c>
      <c r="I2207" s="45" t="s">
        <v>1224</v>
      </c>
      <c r="J2207" s="45" t="s">
        <v>1224</v>
      </c>
      <c r="K2207" s="45" t="s">
        <v>1224</v>
      </c>
      <c r="L2207" s="40" t="s">
        <v>1224</v>
      </c>
      <c r="M2207" s="45" t="s">
        <v>1224</v>
      </c>
      <c r="N2207" s="45" t="s">
        <v>1224</v>
      </c>
      <c r="O2207" s="45" t="s">
        <v>1224</v>
      </c>
      <c r="P2207" s="45" t="s">
        <v>1224</v>
      </c>
      <c r="Q2207" s="45" t="s">
        <v>1224</v>
      </c>
      <c r="R2207" s="45" t="s">
        <v>1224</v>
      </c>
      <c r="S2207" s="45" t="s">
        <v>1224</v>
      </c>
      <c r="T2207" s="45" t="s">
        <v>1224</v>
      </c>
      <c r="U2207" s="45" t="s">
        <v>1224</v>
      </c>
      <c r="V2207" s="45" t="s">
        <v>1224</v>
      </c>
      <c r="W2207" s="45" t="s">
        <v>1224</v>
      </c>
      <c r="X2207" s="45" t="s">
        <v>1224</v>
      </c>
      <c r="Y2207" s="45" t="s">
        <v>1224</v>
      </c>
      <c r="Z2207" s="45" t="s">
        <v>1224</v>
      </c>
      <c r="AA2207" s="582" t="s">
        <v>1224</v>
      </c>
      <c r="AB2207" s="582" t="s">
        <v>1224</v>
      </c>
      <c r="AC2207" s="582" t="s">
        <v>1224</v>
      </c>
      <c r="AD2207" s="582" t="s">
        <v>1224</v>
      </c>
      <c r="AE2207" s="582" t="s">
        <v>1224</v>
      </c>
      <c r="AF2207" s="582" t="s">
        <v>1224</v>
      </c>
      <c r="AG2207" s="582" t="s">
        <v>1224</v>
      </c>
      <c r="AH2207" s="582" t="s">
        <v>1224</v>
      </c>
      <c r="AI2207" s="582" t="s">
        <v>1224</v>
      </c>
      <c r="AJ2207" s="582" t="s">
        <v>1224</v>
      </c>
      <c r="AK2207" s="582" t="s">
        <v>1224</v>
      </c>
      <c r="AL2207" s="582" t="s">
        <v>1224</v>
      </c>
      <c r="AM2207" s="582" t="s">
        <v>1224</v>
      </c>
      <c r="AN2207" s="582" t="s">
        <v>1224</v>
      </c>
      <c r="AO2207" s="582" t="s">
        <v>1224</v>
      </c>
      <c r="AP2207" s="582" t="s">
        <v>1224</v>
      </c>
      <c r="AQ2207" s="582" t="s">
        <v>1224</v>
      </c>
      <c r="AR2207" s="582" t="s">
        <v>1224</v>
      </c>
      <c r="AS2207" s="582" t="s">
        <v>1224</v>
      </c>
      <c r="AT2207" s="582" t="s">
        <v>1224</v>
      </c>
      <c r="AU2207" s="582" t="s">
        <v>1224</v>
      </c>
      <c r="AV2207" s="582" t="s">
        <v>1224</v>
      </c>
      <c r="AW2207" s="582" t="s">
        <v>1224</v>
      </c>
      <c r="AX2207" s="582" t="s">
        <v>1224</v>
      </c>
      <c r="AY2207" s="582" t="s">
        <v>1224</v>
      </c>
      <c r="AZ2207" s="582" t="s">
        <v>1224</v>
      </c>
      <c r="BA2207" s="582" t="s">
        <v>1224</v>
      </c>
      <c r="BB2207" s="582" t="s">
        <v>1224</v>
      </c>
      <c r="BC2207" s="582" t="s">
        <v>1224</v>
      </c>
      <c r="BD2207" s="582" t="s">
        <v>1224</v>
      </c>
      <c r="BE2207" s="582" t="s">
        <v>1224</v>
      </c>
      <c r="BF2207" s="582" t="s">
        <v>1224</v>
      </c>
      <c r="BG2207" s="582" t="s">
        <v>1224</v>
      </c>
      <c r="BH2207" s="582" t="s">
        <v>1224</v>
      </c>
      <c r="BI2207" s="582" t="s">
        <v>1224</v>
      </c>
      <c r="BJ2207" s="582" t="s">
        <v>1224</v>
      </c>
      <c r="BK2207" s="582" t="s">
        <v>1224</v>
      </c>
      <c r="BL2207" s="582" t="s">
        <v>1224</v>
      </c>
      <c r="BM2207" s="582" t="s">
        <v>1224</v>
      </c>
      <c r="BN2207" s="582" t="s">
        <v>1224</v>
      </c>
      <c r="BO2207" s="582" t="s">
        <v>1224</v>
      </c>
      <c r="BP2207" s="582" t="s">
        <v>1224</v>
      </c>
      <c r="BQ2207" s="582" t="s">
        <v>1224</v>
      </c>
      <c r="BR2207" s="582" t="s">
        <v>1224</v>
      </c>
      <c r="BS2207" s="582" t="s">
        <v>1224</v>
      </c>
      <c r="BT2207" s="582" t="s">
        <v>1224</v>
      </c>
      <c r="BU2207" s="582" t="s">
        <v>1224</v>
      </c>
      <c r="BV2207" s="582" t="s">
        <v>1224</v>
      </c>
      <c r="BW2207" s="582" t="s">
        <v>1224</v>
      </c>
      <c r="BX2207" s="582" t="s">
        <v>1224</v>
      </c>
      <c r="BY2207" s="582" t="s">
        <v>1224</v>
      </c>
      <c r="BZ2207" s="582" t="s">
        <v>1224</v>
      </c>
      <c r="CA2207" s="582" t="s">
        <v>1224</v>
      </c>
      <c r="CB2207" s="582" t="s">
        <v>1224</v>
      </c>
      <c r="CC2207" s="582" t="s">
        <v>1224</v>
      </c>
      <c r="CD2207" s="582" t="s">
        <v>1224</v>
      </c>
      <c r="CE2207" s="582" t="s">
        <v>1224</v>
      </c>
      <c r="CF2207" s="582" t="s">
        <v>1224</v>
      </c>
      <c r="CG2207" s="582" t="s">
        <v>1224</v>
      </c>
      <c r="CH2207" s="582" t="s">
        <v>1224</v>
      </c>
      <c r="CI2207" s="582" t="s">
        <v>1224</v>
      </c>
      <c r="CJ2207" s="582" t="s">
        <v>1224</v>
      </c>
      <c r="CK2207" s="582" t="s">
        <v>1224</v>
      </c>
      <c r="CL2207" s="582" t="s">
        <v>1224</v>
      </c>
      <c r="CM2207" s="582" t="s">
        <v>1224</v>
      </c>
      <c r="CN2207" s="582" t="s">
        <v>1224</v>
      </c>
      <c r="CO2207" s="582" t="s">
        <v>1224</v>
      </c>
      <c r="CP2207" s="582" t="s">
        <v>1224</v>
      </c>
      <c r="CQ2207" s="582" t="s">
        <v>1224</v>
      </c>
      <c r="CR2207" s="582" t="s">
        <v>1224</v>
      </c>
      <c r="CS2207" s="582" t="s">
        <v>1224</v>
      </c>
      <c r="CT2207" s="582" t="s">
        <v>1224</v>
      </c>
      <c r="CU2207" s="582" t="s">
        <v>1224</v>
      </c>
      <c r="CV2207" s="582" t="s">
        <v>1224</v>
      </c>
      <c r="CW2207" s="582" t="s">
        <v>1224</v>
      </c>
      <c r="CX2207" s="582" t="s">
        <v>1224</v>
      </c>
      <c r="CY2207" s="582" t="s">
        <v>1224</v>
      </c>
      <c r="CZ2207" s="582" t="s">
        <v>1224</v>
      </c>
      <c r="DA2207" s="582" t="s">
        <v>1224</v>
      </c>
      <c r="DB2207" s="582" t="s">
        <v>1224</v>
      </c>
      <c r="DC2207" s="582" t="s">
        <v>1224</v>
      </c>
      <c r="DD2207" s="582" t="s">
        <v>1224</v>
      </c>
      <c r="DE2207" s="582" t="s">
        <v>1224</v>
      </c>
      <c r="DF2207" s="582" t="s">
        <v>1224</v>
      </c>
      <c r="DG2207" s="582" t="s">
        <v>1224</v>
      </c>
      <c r="DH2207" s="582" t="s">
        <v>1224</v>
      </c>
      <c r="DI2207" s="582" t="s">
        <v>1224</v>
      </c>
      <c r="DJ2207" s="582" t="s">
        <v>1224</v>
      </c>
      <c r="DK2207" s="582" t="s">
        <v>1224</v>
      </c>
      <c r="DL2207" s="582" t="s">
        <v>1224</v>
      </c>
      <c r="DM2207" s="582" t="s">
        <v>1224</v>
      </c>
      <c r="DN2207" s="582" t="s">
        <v>1224</v>
      </c>
      <c r="DO2207" s="582" t="s">
        <v>1224</v>
      </c>
      <c r="DP2207" s="582" t="s">
        <v>1224</v>
      </c>
      <c r="DQ2207" s="582" t="s">
        <v>1224</v>
      </c>
      <c r="DR2207" s="582" t="s">
        <v>1224</v>
      </c>
      <c r="DS2207" s="582" t="s">
        <v>1224</v>
      </c>
      <c r="DT2207" s="582" t="s">
        <v>1224</v>
      </c>
      <c r="DU2207" s="582" t="s">
        <v>1224</v>
      </c>
      <c r="DV2207" s="582" t="s">
        <v>1224</v>
      </c>
      <c r="DW2207" s="582" t="s">
        <v>1224</v>
      </c>
      <c r="DX2207" s="582" t="s">
        <v>1224</v>
      </c>
      <c r="DY2207" s="582" t="s">
        <v>1224</v>
      </c>
      <c r="DZ2207" s="582" t="s">
        <v>1224</v>
      </c>
      <c r="EA2207" s="582" t="s">
        <v>1224</v>
      </c>
      <c r="EB2207" s="582" t="s">
        <v>1224</v>
      </c>
      <c r="EC2207" s="582" t="s">
        <v>1224</v>
      </c>
      <c r="ED2207" s="582" t="s">
        <v>1224</v>
      </c>
      <c r="EE2207" s="582" t="s">
        <v>1224</v>
      </c>
      <c r="EF2207" s="582" t="s">
        <v>1224</v>
      </c>
      <c r="EG2207" s="582" t="s">
        <v>1224</v>
      </c>
      <c r="EH2207" s="582" t="s">
        <v>1224</v>
      </c>
      <c r="EI2207" s="582" t="s">
        <v>1224</v>
      </c>
      <c r="EJ2207" s="582" t="s">
        <v>1224</v>
      </c>
      <c r="EK2207" s="582" t="s">
        <v>1224</v>
      </c>
      <c r="EL2207" s="582" t="s">
        <v>1224</v>
      </c>
      <c r="EM2207" s="582" t="s">
        <v>1224</v>
      </c>
      <c r="EN2207" s="582" t="s">
        <v>1224</v>
      </c>
      <c r="EO2207" s="582" t="s">
        <v>1224</v>
      </c>
      <c r="EP2207" s="582" t="s">
        <v>1224</v>
      </c>
      <c r="EQ2207" s="582" t="s">
        <v>1224</v>
      </c>
      <c r="ER2207" s="582" t="s">
        <v>1224</v>
      </c>
      <c r="ES2207" s="582" t="s">
        <v>1224</v>
      </c>
      <c r="ET2207" s="582" t="s">
        <v>1224</v>
      </c>
      <c r="EU2207" s="582" t="s">
        <v>1224</v>
      </c>
      <c r="EV2207" s="582" t="s">
        <v>1224</v>
      </c>
      <c r="EW2207" s="582" t="s">
        <v>1224</v>
      </c>
      <c r="EX2207" s="582" t="s">
        <v>1224</v>
      </c>
      <c r="EY2207" s="582" t="s">
        <v>1224</v>
      </c>
      <c r="EZ2207" s="582" t="s">
        <v>1224</v>
      </c>
      <c r="FA2207" s="582" t="s">
        <v>1224</v>
      </c>
      <c r="FB2207" s="582" t="s">
        <v>1224</v>
      </c>
      <c r="FC2207" s="582" t="s">
        <v>1224</v>
      </c>
      <c r="FD2207" s="582" t="s">
        <v>1224</v>
      </c>
      <c r="FE2207" s="582" t="s">
        <v>1224</v>
      </c>
      <c r="FF2207" s="582" t="s">
        <v>1224</v>
      </c>
      <c r="FG2207" s="582" t="s">
        <v>1224</v>
      </c>
      <c r="FH2207" s="582" t="s">
        <v>1224</v>
      </c>
      <c r="FI2207" s="582" t="s">
        <v>1224</v>
      </c>
      <c r="FJ2207" s="582" t="s">
        <v>1224</v>
      </c>
      <c r="FK2207" s="582" t="s">
        <v>1224</v>
      </c>
      <c r="FL2207" s="582" t="s">
        <v>1224</v>
      </c>
      <c r="FM2207" s="582" t="s">
        <v>1224</v>
      </c>
      <c r="FN2207" s="582" t="s">
        <v>1224</v>
      </c>
      <c r="FO2207" s="582" t="s">
        <v>1224</v>
      </c>
      <c r="FP2207" s="582" t="s">
        <v>1224</v>
      </c>
      <c r="FQ2207" s="582" t="s">
        <v>1224</v>
      </c>
      <c r="FR2207" s="582" t="s">
        <v>1224</v>
      </c>
      <c r="FS2207" s="582" t="s">
        <v>1224</v>
      </c>
      <c r="FT2207" s="582" t="s">
        <v>1224</v>
      </c>
      <c r="FU2207" s="582" t="s">
        <v>1224</v>
      </c>
      <c r="FV2207" s="582" t="s">
        <v>1224</v>
      </c>
      <c r="FW2207" s="582" t="s">
        <v>1224</v>
      </c>
      <c r="FX2207" s="582" t="s">
        <v>1224</v>
      </c>
      <c r="FY2207" s="582" t="s">
        <v>1224</v>
      </c>
      <c r="FZ2207" s="582" t="s">
        <v>1224</v>
      </c>
      <c r="GA2207" s="582" t="s">
        <v>1224</v>
      </c>
      <c r="GB2207" s="582" t="s">
        <v>1224</v>
      </c>
      <c r="GC2207" s="582" t="s">
        <v>1224</v>
      </c>
      <c r="GD2207" s="582" t="s">
        <v>1224</v>
      </c>
      <c r="GE2207" s="582" t="s">
        <v>1224</v>
      </c>
      <c r="GF2207" s="582" t="s">
        <v>1224</v>
      </c>
      <c r="GG2207" s="582" t="s">
        <v>1224</v>
      </c>
      <c r="GH2207" s="582" t="s">
        <v>1224</v>
      </c>
      <c r="GI2207" s="582" t="s">
        <v>1224</v>
      </c>
      <c r="GJ2207" s="582" t="s">
        <v>1224</v>
      </c>
      <c r="GK2207" s="582" t="s">
        <v>1224</v>
      </c>
      <c r="GL2207" s="582" t="s">
        <v>1224</v>
      </c>
      <c r="GM2207" s="582" t="s">
        <v>1224</v>
      </c>
      <c r="GN2207" s="582" t="s">
        <v>1224</v>
      </c>
      <c r="GO2207" s="582" t="s">
        <v>1224</v>
      </c>
      <c r="GP2207" s="582" t="s">
        <v>1224</v>
      </c>
      <c r="GQ2207" s="582" t="s">
        <v>1224</v>
      </c>
      <c r="GR2207" s="582" t="s">
        <v>1224</v>
      </c>
      <c r="GS2207" s="582" t="s">
        <v>1224</v>
      </c>
      <c r="GT2207" s="582" t="s">
        <v>1224</v>
      </c>
      <c r="GU2207" s="582" t="s">
        <v>1224</v>
      </c>
      <c r="GV2207" s="582" t="s">
        <v>1224</v>
      </c>
      <c r="GW2207" s="582" t="s">
        <v>1224</v>
      </c>
      <c r="GX2207" s="582" t="s">
        <v>1224</v>
      </c>
      <c r="GY2207" s="582" t="s">
        <v>1224</v>
      </c>
      <c r="GZ2207" s="582" t="s">
        <v>1224</v>
      </c>
      <c r="HA2207" s="582" t="s">
        <v>1224</v>
      </c>
      <c r="HB2207" s="582" t="s">
        <v>1224</v>
      </c>
      <c r="HC2207" s="582" t="s">
        <v>1224</v>
      </c>
      <c r="HD2207" s="582" t="s">
        <v>1224</v>
      </c>
      <c r="HE2207" s="582" t="s">
        <v>1224</v>
      </c>
      <c r="HF2207" s="582" t="s">
        <v>1224</v>
      </c>
      <c r="HG2207" s="582" t="s">
        <v>1224</v>
      </c>
      <c r="HH2207" s="582" t="s">
        <v>1224</v>
      </c>
      <c r="HI2207" s="582" t="s">
        <v>1224</v>
      </c>
      <c r="HJ2207" s="582" t="s">
        <v>1224</v>
      </c>
      <c r="HK2207" s="582" t="s">
        <v>1224</v>
      </c>
      <c r="HL2207" s="582" t="s">
        <v>1224</v>
      </c>
      <c r="HM2207" s="582" t="s">
        <v>1224</v>
      </c>
      <c r="HN2207" s="582" t="s">
        <v>1224</v>
      </c>
      <c r="HO2207" s="582" t="s">
        <v>1224</v>
      </c>
      <c r="HP2207" s="582" t="s">
        <v>1224</v>
      </c>
      <c r="HQ2207" s="582" t="s">
        <v>1224</v>
      </c>
      <c r="HR2207" s="582" t="s">
        <v>1224</v>
      </c>
      <c r="HS2207" s="582" t="s">
        <v>1224</v>
      </c>
      <c r="HT2207" s="582" t="s">
        <v>1224</v>
      </c>
      <c r="HU2207" s="582" t="s">
        <v>1224</v>
      </c>
      <c r="HV2207" s="582" t="s">
        <v>1224</v>
      </c>
      <c r="HW2207" s="582" t="s">
        <v>1224</v>
      </c>
      <c r="HX2207" s="582" t="s">
        <v>1224</v>
      </c>
      <c r="HY2207" s="582" t="s">
        <v>1224</v>
      </c>
      <c r="HZ2207" s="582" t="s">
        <v>1224</v>
      </c>
      <c r="IA2207" s="582" t="s">
        <v>1224</v>
      </c>
      <c r="IB2207" s="582" t="s">
        <v>1224</v>
      </c>
      <c r="IC2207" s="582" t="s">
        <v>1224</v>
      </c>
      <c r="ID2207" s="582" t="s">
        <v>1224</v>
      </c>
      <c r="IE2207" s="582" t="s">
        <v>1224</v>
      </c>
      <c r="IF2207" s="582" t="s">
        <v>1224</v>
      </c>
      <c r="IG2207" s="582" t="s">
        <v>1224</v>
      </c>
      <c r="IH2207" s="582" t="s">
        <v>1224</v>
      </c>
      <c r="II2207" s="582" t="s">
        <v>1224</v>
      </c>
      <c r="IJ2207" s="582" t="s">
        <v>1224</v>
      </c>
      <c r="IK2207" s="582" t="s">
        <v>1224</v>
      </c>
      <c r="IL2207" s="582" t="s">
        <v>1224</v>
      </c>
      <c r="IM2207" s="582" t="s">
        <v>1224</v>
      </c>
      <c r="IN2207" s="582" t="s">
        <v>1224</v>
      </c>
      <c r="IO2207" s="582" t="s">
        <v>1224</v>
      </c>
      <c r="IP2207" s="582" t="s">
        <v>1224</v>
      </c>
      <c r="IQ2207" s="582" t="s">
        <v>1224</v>
      </c>
      <c r="IR2207" s="582" t="s">
        <v>1224</v>
      </c>
      <c r="IS2207" s="582" t="s">
        <v>1224</v>
      </c>
      <c r="IT2207" s="582" t="s">
        <v>1224</v>
      </c>
      <c r="IU2207" s="582" t="s">
        <v>1224</v>
      </c>
      <c r="IV2207" s="582" t="s">
        <v>1224</v>
      </c>
      <c r="IW2207" s="582" t="s">
        <v>1224</v>
      </c>
      <c r="IX2207" s="582" t="s">
        <v>1224</v>
      </c>
      <c r="IY2207" s="582" t="s">
        <v>1224</v>
      </c>
      <c r="IZ2207" s="582" t="s">
        <v>1224</v>
      </c>
      <c r="JA2207" s="582" t="s">
        <v>1224</v>
      </c>
      <c r="JB2207" s="582" t="s">
        <v>1224</v>
      </c>
      <c r="JC2207" s="582" t="s">
        <v>1224</v>
      </c>
      <c r="JD2207" s="582" t="s">
        <v>1224</v>
      </c>
      <c r="JE2207" s="582" t="s">
        <v>1224</v>
      </c>
      <c r="JF2207" s="582" t="s">
        <v>1224</v>
      </c>
      <c r="JG2207" s="582" t="s">
        <v>1224</v>
      </c>
      <c r="JH2207" s="582" t="s">
        <v>1224</v>
      </c>
      <c r="JI2207" s="582" t="s">
        <v>1224</v>
      </c>
      <c r="JJ2207" s="582" t="s">
        <v>1224</v>
      </c>
      <c r="JK2207" s="582" t="s">
        <v>1224</v>
      </c>
      <c r="JL2207" s="582" t="s">
        <v>1224</v>
      </c>
      <c r="JM2207" s="582" t="s">
        <v>1224</v>
      </c>
      <c r="JN2207" s="582" t="s">
        <v>1224</v>
      </c>
      <c r="JO2207" s="582" t="s">
        <v>1224</v>
      </c>
      <c r="JP2207" s="582" t="s">
        <v>1224</v>
      </c>
      <c r="JQ2207" s="582" t="s">
        <v>1224</v>
      </c>
      <c r="JR2207" s="582" t="s">
        <v>1224</v>
      </c>
      <c r="JS2207" s="582" t="s">
        <v>1224</v>
      </c>
      <c r="JT2207" s="582" t="s">
        <v>1224</v>
      </c>
      <c r="JU2207" s="582" t="s">
        <v>1224</v>
      </c>
      <c r="JV2207" s="582" t="s">
        <v>1224</v>
      </c>
      <c r="JW2207" s="582" t="s">
        <v>1224</v>
      </c>
      <c r="JX2207" s="582" t="s">
        <v>1224</v>
      </c>
      <c r="JY2207" s="582" t="s">
        <v>1224</v>
      </c>
      <c r="JZ2207" s="582" t="s">
        <v>1224</v>
      </c>
      <c r="KA2207" s="582" t="s">
        <v>1224</v>
      </c>
      <c r="KB2207" s="582" t="s">
        <v>1224</v>
      </c>
      <c r="KC2207" s="582" t="s">
        <v>1224</v>
      </c>
      <c r="KD2207" s="582" t="s">
        <v>1224</v>
      </c>
      <c r="KE2207" s="582" t="s">
        <v>1224</v>
      </c>
      <c r="KF2207" s="582" t="s">
        <v>1224</v>
      </c>
      <c r="KG2207" s="582" t="s">
        <v>1224</v>
      </c>
      <c r="KH2207" s="582" t="s">
        <v>1224</v>
      </c>
      <c r="KI2207" s="582" t="s">
        <v>1224</v>
      </c>
      <c r="KJ2207" s="582" t="s">
        <v>1224</v>
      </c>
      <c r="KK2207" s="582" t="s">
        <v>1224</v>
      </c>
      <c r="KL2207" s="582" t="s">
        <v>1224</v>
      </c>
      <c r="KM2207" s="582" t="s">
        <v>1224</v>
      </c>
      <c r="KN2207" s="582" t="s">
        <v>1224</v>
      </c>
      <c r="KO2207" s="582" t="s">
        <v>1224</v>
      </c>
      <c r="KP2207" s="582" t="s">
        <v>1224</v>
      </c>
      <c r="KQ2207" s="582" t="s">
        <v>1224</v>
      </c>
      <c r="KR2207" s="582" t="s">
        <v>1224</v>
      </c>
      <c r="KS2207" s="582" t="s">
        <v>1224</v>
      </c>
      <c r="KT2207" s="582" t="s">
        <v>1224</v>
      </c>
      <c r="KU2207" s="582" t="s">
        <v>1224</v>
      </c>
      <c r="KV2207" s="582" t="s">
        <v>1224</v>
      </c>
      <c r="KW2207" s="582" t="s">
        <v>1224</v>
      </c>
      <c r="KX2207" s="582" t="s">
        <v>1224</v>
      </c>
      <c r="KY2207" s="582" t="s">
        <v>1224</v>
      </c>
      <c r="KZ2207" s="582" t="s">
        <v>1224</v>
      </c>
      <c r="LA2207" s="582" t="s">
        <v>1224</v>
      </c>
      <c r="LB2207" s="582" t="s">
        <v>1224</v>
      </c>
      <c r="LC2207" s="582" t="s">
        <v>1224</v>
      </c>
      <c r="LD2207" s="582" t="s">
        <v>1224</v>
      </c>
      <c r="LE2207" s="582" t="s">
        <v>1224</v>
      </c>
      <c r="LF2207" s="582" t="s">
        <v>1224</v>
      </c>
      <c r="LG2207" s="582" t="s">
        <v>1224</v>
      </c>
      <c r="LH2207" s="582" t="s">
        <v>1224</v>
      </c>
      <c r="LI2207" s="582" t="s">
        <v>1224</v>
      </c>
      <c r="LJ2207" s="582" t="s">
        <v>1224</v>
      </c>
      <c r="LK2207" s="582" t="s">
        <v>1224</v>
      </c>
      <c r="LL2207" s="582" t="s">
        <v>1224</v>
      </c>
      <c r="LM2207" s="582" t="s">
        <v>1224</v>
      </c>
      <c r="LN2207" s="582" t="s">
        <v>1224</v>
      </c>
      <c r="LO2207" s="582" t="s">
        <v>1224</v>
      </c>
      <c r="LP2207" s="582" t="s">
        <v>1224</v>
      </c>
      <c r="LQ2207" s="582" t="s">
        <v>1224</v>
      </c>
      <c r="LR2207" s="582" t="s">
        <v>1224</v>
      </c>
      <c r="LS2207" s="582" t="s">
        <v>1224</v>
      </c>
      <c r="LT2207" s="582" t="s">
        <v>1224</v>
      </c>
      <c r="LU2207" s="582" t="s">
        <v>1224</v>
      </c>
      <c r="LV2207" s="582" t="s">
        <v>1224</v>
      </c>
      <c r="LW2207" s="582" t="s">
        <v>1224</v>
      </c>
      <c r="LX2207" s="582" t="s">
        <v>1224</v>
      </c>
      <c r="LY2207" s="582" t="s">
        <v>1224</v>
      </c>
      <c r="LZ2207" s="582" t="s">
        <v>1224</v>
      </c>
      <c r="MA2207" s="582" t="s">
        <v>1224</v>
      </c>
      <c r="MB2207" s="582" t="s">
        <v>1224</v>
      </c>
      <c r="MC2207" s="582" t="s">
        <v>1224</v>
      </c>
      <c r="MD2207" s="582" t="s">
        <v>1224</v>
      </c>
      <c r="ME2207" s="582" t="s">
        <v>1224</v>
      </c>
      <c r="MF2207" s="582" t="s">
        <v>1224</v>
      </c>
      <c r="MG2207" s="582" t="s">
        <v>1224</v>
      </c>
      <c r="MH2207" s="582" t="s">
        <v>1224</v>
      </c>
      <c r="MI2207" s="582" t="s">
        <v>1224</v>
      </c>
      <c r="MJ2207" s="582" t="s">
        <v>1224</v>
      </c>
      <c r="MK2207" s="582" t="s">
        <v>1224</v>
      </c>
      <c r="ML2207" s="582" t="s">
        <v>1224</v>
      </c>
      <c r="MM2207" s="582" t="s">
        <v>1224</v>
      </c>
      <c r="MN2207" s="582" t="s">
        <v>1224</v>
      </c>
      <c r="MO2207" s="582" t="s">
        <v>1224</v>
      </c>
      <c r="MP2207" s="582" t="s">
        <v>1224</v>
      </c>
      <c r="MQ2207" s="582" t="s">
        <v>1224</v>
      </c>
      <c r="MR2207" s="582" t="s">
        <v>1224</v>
      </c>
      <c r="MS2207" s="582" t="s">
        <v>1224</v>
      </c>
      <c r="MT2207" s="582" t="s">
        <v>1224</v>
      </c>
      <c r="MU2207" s="582" t="s">
        <v>1224</v>
      </c>
      <c r="MV2207" s="582" t="s">
        <v>1224</v>
      </c>
      <c r="MW2207" s="582" t="s">
        <v>1224</v>
      </c>
      <c r="MX2207" s="582" t="s">
        <v>1224</v>
      </c>
      <c r="MY2207" s="582" t="s">
        <v>1224</v>
      </c>
      <c r="MZ2207" s="582" t="s">
        <v>1224</v>
      </c>
      <c r="NA2207" s="582" t="s">
        <v>1224</v>
      </c>
      <c r="NB2207" s="582" t="s">
        <v>1224</v>
      </c>
      <c r="NC2207" s="582" t="s">
        <v>1224</v>
      </c>
      <c r="ND2207" s="582" t="s">
        <v>1224</v>
      </c>
      <c r="NE2207" s="582" t="s">
        <v>1224</v>
      </c>
      <c r="NF2207" s="582" t="s">
        <v>1224</v>
      </c>
      <c r="NG2207" s="582" t="s">
        <v>1224</v>
      </c>
      <c r="NH2207" s="582" t="s">
        <v>1224</v>
      </c>
      <c r="NI2207" s="582" t="s">
        <v>1224</v>
      </c>
      <c r="NJ2207" s="582" t="s">
        <v>1224</v>
      </c>
      <c r="NK2207" s="582" t="s">
        <v>1224</v>
      </c>
      <c r="NL2207" s="582" t="s">
        <v>1224</v>
      </c>
      <c r="NM2207" s="582" t="s">
        <v>1224</v>
      </c>
      <c r="NN2207" s="582" t="s">
        <v>1224</v>
      </c>
      <c r="NO2207" s="582" t="s">
        <v>1224</v>
      </c>
      <c r="NP2207" s="582" t="s">
        <v>1224</v>
      </c>
      <c r="NQ2207" s="582" t="s">
        <v>1224</v>
      </c>
      <c r="NR2207" s="582" t="s">
        <v>1224</v>
      </c>
      <c r="NS2207" s="582" t="s">
        <v>1224</v>
      </c>
      <c r="NT2207" s="582" t="s">
        <v>1224</v>
      </c>
      <c r="NU2207" s="582" t="s">
        <v>1224</v>
      </c>
      <c r="NV2207" s="582" t="s">
        <v>1224</v>
      </c>
      <c r="NW2207" s="582" t="s">
        <v>1224</v>
      </c>
      <c r="NX2207" s="582" t="s">
        <v>1224</v>
      </c>
      <c r="NY2207" s="582" t="s">
        <v>1224</v>
      </c>
      <c r="NZ2207" s="582" t="s">
        <v>1224</v>
      </c>
      <c r="OA2207" s="582" t="s">
        <v>1224</v>
      </c>
      <c r="OB2207" s="582" t="s">
        <v>1224</v>
      </c>
      <c r="OC2207" s="582" t="s">
        <v>1224</v>
      </c>
      <c r="OD2207" s="582" t="s">
        <v>1224</v>
      </c>
      <c r="OE2207" s="582" t="s">
        <v>1224</v>
      </c>
      <c r="OF2207" s="582" t="s">
        <v>1224</v>
      </c>
      <c r="OG2207" s="582" t="s">
        <v>1224</v>
      </c>
      <c r="OH2207" s="582" t="s">
        <v>1224</v>
      </c>
      <c r="OI2207" s="582" t="s">
        <v>1224</v>
      </c>
      <c r="OJ2207" s="582" t="s">
        <v>1224</v>
      </c>
      <c r="OK2207" s="582" t="s">
        <v>1224</v>
      </c>
      <c r="OL2207" s="582" t="s">
        <v>1224</v>
      </c>
      <c r="OM2207" s="582" t="s">
        <v>1224</v>
      </c>
      <c r="ON2207" s="582" t="s">
        <v>1224</v>
      </c>
      <c r="OO2207" s="582" t="s">
        <v>1224</v>
      </c>
      <c r="OP2207" s="582" t="s">
        <v>1224</v>
      </c>
      <c r="OQ2207" s="582" t="s">
        <v>1224</v>
      </c>
      <c r="OR2207" s="582" t="s">
        <v>1224</v>
      </c>
      <c r="OS2207" s="582" t="s">
        <v>1224</v>
      </c>
      <c r="OT2207" s="582" t="s">
        <v>1224</v>
      </c>
      <c r="OU2207" s="582" t="s">
        <v>1224</v>
      </c>
      <c r="OV2207" s="582" t="s">
        <v>1224</v>
      </c>
      <c r="OW2207" s="582" t="s">
        <v>1224</v>
      </c>
      <c r="OX2207" s="582" t="s">
        <v>1224</v>
      </c>
      <c r="OY2207" s="582" t="s">
        <v>1224</v>
      </c>
      <c r="OZ2207" s="582" t="s">
        <v>1224</v>
      </c>
      <c r="PA2207" s="582" t="s">
        <v>1224</v>
      </c>
      <c r="PB2207" s="582" t="s">
        <v>1224</v>
      </c>
      <c r="PC2207" s="582" t="s">
        <v>1224</v>
      </c>
      <c r="PD2207" s="582" t="s">
        <v>1224</v>
      </c>
      <c r="PE2207" s="582" t="s">
        <v>1224</v>
      </c>
      <c r="PF2207" s="582" t="s">
        <v>1224</v>
      </c>
      <c r="PG2207" s="582" t="s">
        <v>1224</v>
      </c>
      <c r="PH2207" s="582" t="s">
        <v>1224</v>
      </c>
      <c r="PI2207" s="582" t="s">
        <v>1224</v>
      </c>
      <c r="PJ2207" s="582" t="s">
        <v>1224</v>
      </c>
      <c r="PK2207" s="582" t="s">
        <v>1224</v>
      </c>
      <c r="PL2207" s="582" t="s">
        <v>1224</v>
      </c>
      <c r="PM2207" s="582" t="s">
        <v>1224</v>
      </c>
      <c r="PN2207" s="582" t="s">
        <v>1224</v>
      </c>
      <c r="PO2207" s="582" t="s">
        <v>1224</v>
      </c>
      <c r="PP2207" s="582" t="s">
        <v>1224</v>
      </c>
      <c r="PQ2207" s="582" t="s">
        <v>1224</v>
      </c>
      <c r="PR2207" s="582" t="s">
        <v>1224</v>
      </c>
      <c r="PS2207" s="582" t="s">
        <v>1224</v>
      </c>
      <c r="PT2207" s="582" t="s">
        <v>1224</v>
      </c>
      <c r="PU2207" s="582" t="s">
        <v>1224</v>
      </c>
      <c r="PV2207" s="582" t="s">
        <v>1224</v>
      </c>
      <c r="PW2207" s="582" t="s">
        <v>1224</v>
      </c>
      <c r="PX2207" s="582" t="s">
        <v>1224</v>
      </c>
      <c r="PY2207" s="582" t="s">
        <v>1224</v>
      </c>
      <c r="PZ2207" s="582" t="s">
        <v>1224</v>
      </c>
      <c r="QA2207" s="582" t="s">
        <v>1224</v>
      </c>
      <c r="QB2207" s="582" t="s">
        <v>1224</v>
      </c>
      <c r="QC2207" s="582" t="s">
        <v>1224</v>
      </c>
      <c r="QD2207" s="582" t="s">
        <v>1224</v>
      </c>
      <c r="QE2207" s="582" t="s">
        <v>1224</v>
      </c>
      <c r="QF2207" s="582" t="s">
        <v>1224</v>
      </c>
      <c r="QG2207" s="582" t="s">
        <v>1224</v>
      </c>
      <c r="QH2207" s="582" t="s">
        <v>1224</v>
      </c>
      <c r="QI2207" s="582" t="s">
        <v>1224</v>
      </c>
      <c r="QJ2207" s="582" t="s">
        <v>1224</v>
      </c>
      <c r="QK2207" s="582" t="s">
        <v>1224</v>
      </c>
      <c r="QL2207" s="582" t="s">
        <v>1224</v>
      </c>
      <c r="QM2207" s="582" t="s">
        <v>1224</v>
      </c>
      <c r="QN2207" s="582" t="s">
        <v>1224</v>
      </c>
      <c r="QO2207" s="582" t="s">
        <v>1224</v>
      </c>
      <c r="QP2207" s="582" t="s">
        <v>1224</v>
      </c>
      <c r="QQ2207" s="582" t="s">
        <v>1224</v>
      </c>
      <c r="QR2207" s="582" t="s">
        <v>1224</v>
      </c>
      <c r="QS2207" s="582" t="s">
        <v>1224</v>
      </c>
      <c r="QT2207" s="582" t="s">
        <v>1224</v>
      </c>
      <c r="QU2207" s="582" t="s">
        <v>1224</v>
      </c>
      <c r="QV2207" s="582" t="s">
        <v>1224</v>
      </c>
      <c r="QW2207" s="582" t="s">
        <v>1224</v>
      </c>
      <c r="QX2207" s="582" t="s">
        <v>1224</v>
      </c>
      <c r="QY2207" s="582" t="s">
        <v>1224</v>
      </c>
      <c r="QZ2207" s="582" t="s">
        <v>1224</v>
      </c>
      <c r="RA2207" s="582" t="s">
        <v>1224</v>
      </c>
      <c r="RB2207" s="582" t="s">
        <v>1224</v>
      </c>
      <c r="RC2207" s="582" t="s">
        <v>1224</v>
      </c>
      <c r="RD2207" s="582" t="s">
        <v>1224</v>
      </c>
      <c r="RE2207" s="582" t="s">
        <v>1224</v>
      </c>
      <c r="RF2207" s="582" t="s">
        <v>1224</v>
      </c>
      <c r="RG2207" s="582" t="s">
        <v>1224</v>
      </c>
      <c r="RH2207" s="582" t="s">
        <v>1224</v>
      </c>
      <c r="RI2207" s="582" t="s">
        <v>1224</v>
      </c>
      <c r="RJ2207" s="582" t="s">
        <v>1224</v>
      </c>
      <c r="RK2207" s="582" t="s">
        <v>1224</v>
      </c>
      <c r="RL2207" s="582" t="s">
        <v>1224</v>
      </c>
      <c r="RM2207" s="582" t="s">
        <v>1224</v>
      </c>
      <c r="RN2207" s="582" t="s">
        <v>1224</v>
      </c>
      <c r="RO2207" s="582" t="s">
        <v>1224</v>
      </c>
      <c r="RP2207" s="582" t="s">
        <v>1224</v>
      </c>
      <c r="RQ2207" s="582" t="s">
        <v>1224</v>
      </c>
      <c r="RR2207" s="582" t="s">
        <v>1224</v>
      </c>
      <c r="RS2207" s="582" t="s">
        <v>1224</v>
      </c>
      <c r="RT2207" s="582" t="s">
        <v>1224</v>
      </c>
      <c r="RU2207" s="582" t="s">
        <v>1224</v>
      </c>
      <c r="RV2207" s="582" t="s">
        <v>1224</v>
      </c>
      <c r="RW2207" s="582" t="s">
        <v>1224</v>
      </c>
      <c r="RX2207" s="582" t="s">
        <v>1224</v>
      </c>
      <c r="RY2207" s="582" t="s">
        <v>1224</v>
      </c>
      <c r="RZ2207" s="582" t="s">
        <v>1224</v>
      </c>
      <c r="SA2207" s="582" t="s">
        <v>1224</v>
      </c>
      <c r="SB2207" s="582" t="s">
        <v>1224</v>
      </c>
      <c r="SC2207" s="582" t="s">
        <v>1224</v>
      </c>
      <c r="SD2207" s="582" t="s">
        <v>1224</v>
      </c>
      <c r="SE2207" s="582" t="s">
        <v>1224</v>
      </c>
      <c r="SF2207" s="582" t="s">
        <v>1224</v>
      </c>
      <c r="SG2207" s="582" t="s">
        <v>1224</v>
      </c>
      <c r="SH2207" s="582" t="s">
        <v>1224</v>
      </c>
      <c r="SI2207" s="582" t="s">
        <v>1224</v>
      </c>
      <c r="SJ2207" s="582" t="s">
        <v>1224</v>
      </c>
      <c r="SK2207" s="582" t="s">
        <v>1224</v>
      </c>
      <c r="SL2207" s="582" t="s">
        <v>1224</v>
      </c>
      <c r="SM2207" s="582" t="s">
        <v>1224</v>
      </c>
      <c r="SN2207" s="582" t="s">
        <v>1224</v>
      </c>
      <c r="SO2207" s="582" t="s">
        <v>1224</v>
      </c>
      <c r="SP2207" s="582" t="s">
        <v>1224</v>
      </c>
      <c r="SQ2207" s="582" t="s">
        <v>1224</v>
      </c>
      <c r="SR2207" s="582" t="s">
        <v>1224</v>
      </c>
      <c r="SS2207" s="582" t="s">
        <v>1224</v>
      </c>
      <c r="ST2207" s="582" t="s">
        <v>1224</v>
      </c>
      <c r="SU2207" s="582" t="s">
        <v>1224</v>
      </c>
      <c r="SV2207" s="582" t="s">
        <v>1224</v>
      </c>
      <c r="SW2207" s="582" t="s">
        <v>1224</v>
      </c>
      <c r="SX2207" s="582" t="s">
        <v>1224</v>
      </c>
      <c r="SY2207" s="582" t="s">
        <v>1224</v>
      </c>
      <c r="SZ2207" s="582" t="s">
        <v>1224</v>
      </c>
      <c r="TA2207" s="582" t="s">
        <v>1224</v>
      </c>
      <c r="TB2207" s="582" t="s">
        <v>1224</v>
      </c>
      <c r="TC2207" s="582" t="s">
        <v>1224</v>
      </c>
      <c r="TD2207" s="582" t="s">
        <v>1224</v>
      </c>
      <c r="TE2207" s="582" t="s">
        <v>1224</v>
      </c>
      <c r="TF2207" s="582" t="s">
        <v>1224</v>
      </c>
      <c r="TG2207" s="582" t="s">
        <v>1224</v>
      </c>
      <c r="TH2207" s="582" t="s">
        <v>1224</v>
      </c>
      <c r="TI2207" s="582" t="s">
        <v>1224</v>
      </c>
      <c r="TJ2207" s="582" t="s">
        <v>1224</v>
      </c>
      <c r="TK2207" s="582" t="s">
        <v>1224</v>
      </c>
      <c r="TL2207" s="582" t="s">
        <v>1224</v>
      </c>
      <c r="TM2207" s="582" t="s">
        <v>1224</v>
      </c>
      <c r="TN2207" s="582" t="s">
        <v>1224</v>
      </c>
      <c r="TO2207" s="582" t="s">
        <v>1224</v>
      </c>
      <c r="TP2207" s="582" t="s">
        <v>1224</v>
      </c>
      <c r="TQ2207" s="582" t="s">
        <v>1224</v>
      </c>
      <c r="TR2207" s="582" t="s">
        <v>1224</v>
      </c>
      <c r="TS2207" s="582" t="s">
        <v>1224</v>
      </c>
      <c r="TT2207" s="582" t="s">
        <v>1224</v>
      </c>
      <c r="TU2207" s="582" t="s">
        <v>1224</v>
      </c>
      <c r="TV2207" s="582" t="s">
        <v>1224</v>
      </c>
      <c r="TW2207" s="582" t="s">
        <v>1224</v>
      </c>
      <c r="TX2207" s="582" t="s">
        <v>1224</v>
      </c>
      <c r="TY2207" s="582" t="s">
        <v>1224</v>
      </c>
      <c r="TZ2207" s="582" t="s">
        <v>1224</v>
      </c>
      <c r="UA2207" s="582" t="s">
        <v>1224</v>
      </c>
      <c r="UB2207" s="582" t="s">
        <v>1224</v>
      </c>
      <c r="UC2207" s="582" t="s">
        <v>1224</v>
      </c>
      <c r="UD2207" s="582" t="s">
        <v>1224</v>
      </c>
      <c r="UE2207" s="582" t="s">
        <v>1224</v>
      </c>
      <c r="UF2207" s="582" t="s">
        <v>1224</v>
      </c>
      <c r="UG2207" s="582" t="s">
        <v>1224</v>
      </c>
      <c r="UH2207" s="582" t="s">
        <v>1224</v>
      </c>
      <c r="UI2207" s="582" t="s">
        <v>1224</v>
      </c>
      <c r="UJ2207" s="582" t="s">
        <v>1224</v>
      </c>
      <c r="UK2207" s="582" t="s">
        <v>1224</v>
      </c>
      <c r="UL2207" s="582" t="s">
        <v>1224</v>
      </c>
      <c r="UM2207" s="582" t="s">
        <v>1224</v>
      </c>
      <c r="UN2207" s="582" t="s">
        <v>1224</v>
      </c>
      <c r="UO2207" s="582" t="s">
        <v>1224</v>
      </c>
      <c r="UP2207" s="582" t="s">
        <v>1224</v>
      </c>
      <c r="UQ2207" s="582" t="s">
        <v>1224</v>
      </c>
      <c r="UR2207" s="582" t="s">
        <v>1224</v>
      </c>
      <c r="US2207" s="582" t="s">
        <v>1224</v>
      </c>
      <c r="UT2207" s="582" t="s">
        <v>1224</v>
      </c>
      <c r="UU2207" s="582" t="s">
        <v>1224</v>
      </c>
      <c r="UV2207" s="582" t="s">
        <v>1224</v>
      </c>
      <c r="UW2207" s="582" t="s">
        <v>1224</v>
      </c>
      <c r="UX2207" s="582" t="s">
        <v>1224</v>
      </c>
      <c r="UY2207" s="582" t="s">
        <v>1224</v>
      </c>
      <c r="UZ2207" s="582" t="s">
        <v>1224</v>
      </c>
      <c r="VA2207" s="582" t="s">
        <v>1224</v>
      </c>
      <c r="VB2207" s="582" t="s">
        <v>1224</v>
      </c>
      <c r="VC2207" s="582" t="s">
        <v>1224</v>
      </c>
      <c r="VD2207" s="582" t="s">
        <v>1224</v>
      </c>
      <c r="VE2207" s="582" t="s">
        <v>1224</v>
      </c>
      <c r="VF2207" s="582" t="s">
        <v>1224</v>
      </c>
      <c r="VG2207" s="582" t="s">
        <v>1224</v>
      </c>
      <c r="VH2207" s="582" t="s">
        <v>1224</v>
      </c>
      <c r="VI2207" s="582" t="s">
        <v>1224</v>
      </c>
      <c r="VJ2207" s="582" t="s">
        <v>1224</v>
      </c>
      <c r="VK2207" s="582" t="s">
        <v>1224</v>
      </c>
      <c r="VL2207" s="582" t="s">
        <v>1224</v>
      </c>
      <c r="VM2207" s="582" t="s">
        <v>1224</v>
      </c>
      <c r="VN2207" s="582" t="s">
        <v>1224</v>
      </c>
      <c r="VO2207" s="582" t="s">
        <v>1224</v>
      </c>
      <c r="VP2207" s="582" t="s">
        <v>1224</v>
      </c>
      <c r="VQ2207" s="582" t="s">
        <v>1224</v>
      </c>
      <c r="VR2207" s="582" t="s">
        <v>1224</v>
      </c>
      <c r="VS2207" s="582" t="s">
        <v>1224</v>
      </c>
      <c r="VT2207" s="582" t="s">
        <v>1224</v>
      </c>
      <c r="VU2207" s="582" t="s">
        <v>1224</v>
      </c>
      <c r="VV2207" s="582" t="s">
        <v>1224</v>
      </c>
      <c r="VW2207" s="582" t="s">
        <v>1224</v>
      </c>
      <c r="VX2207" s="582" t="s">
        <v>1224</v>
      </c>
      <c r="VY2207" s="582" t="s">
        <v>1224</v>
      </c>
      <c r="VZ2207" s="582" t="s">
        <v>1224</v>
      </c>
      <c r="WA2207" s="582" t="s">
        <v>1224</v>
      </c>
      <c r="WB2207" s="582" t="s">
        <v>1224</v>
      </c>
      <c r="WC2207" s="582" t="s">
        <v>1224</v>
      </c>
      <c r="WD2207" s="582" t="s">
        <v>1224</v>
      </c>
      <c r="WE2207" s="582" t="s">
        <v>1224</v>
      </c>
      <c r="WF2207" s="582" t="s">
        <v>1224</v>
      </c>
      <c r="WG2207" s="582" t="s">
        <v>1224</v>
      </c>
      <c r="WH2207" s="582" t="s">
        <v>1224</v>
      </c>
      <c r="WI2207" s="582" t="s">
        <v>1224</v>
      </c>
      <c r="WJ2207" s="582" t="s">
        <v>1224</v>
      </c>
      <c r="WK2207" s="582" t="s">
        <v>1224</v>
      </c>
      <c r="WL2207" s="582" t="s">
        <v>1224</v>
      </c>
      <c r="WM2207" s="582" t="s">
        <v>1224</v>
      </c>
      <c r="WN2207" s="582" t="s">
        <v>1224</v>
      </c>
      <c r="WO2207" s="582" t="s">
        <v>1224</v>
      </c>
      <c r="WP2207" s="582" t="s">
        <v>1224</v>
      </c>
      <c r="WQ2207" s="582" t="s">
        <v>1224</v>
      </c>
      <c r="WR2207" s="582" t="s">
        <v>1224</v>
      </c>
      <c r="WS2207" s="582" t="s">
        <v>1224</v>
      </c>
      <c r="WT2207" s="582" t="s">
        <v>1224</v>
      </c>
      <c r="WU2207" s="582" t="s">
        <v>1224</v>
      </c>
      <c r="WV2207" s="582" t="s">
        <v>1224</v>
      </c>
      <c r="WW2207" s="582" t="s">
        <v>1224</v>
      </c>
      <c r="WX2207" s="582" t="s">
        <v>1224</v>
      </c>
      <c r="WY2207" s="582" t="s">
        <v>1224</v>
      </c>
      <c r="WZ2207" s="582" t="s">
        <v>1224</v>
      </c>
      <c r="XA2207" s="582" t="s">
        <v>1224</v>
      </c>
      <c r="XB2207" s="582" t="s">
        <v>1224</v>
      </c>
      <c r="XC2207" s="582" t="s">
        <v>1224</v>
      </c>
      <c r="XD2207" s="582" t="s">
        <v>1224</v>
      </c>
      <c r="XE2207" s="582" t="s">
        <v>1224</v>
      </c>
      <c r="XF2207" s="582" t="s">
        <v>1224</v>
      </c>
      <c r="XG2207" s="582" t="s">
        <v>1224</v>
      </c>
      <c r="XH2207" s="582" t="s">
        <v>1224</v>
      </c>
      <c r="XI2207" s="582" t="s">
        <v>1224</v>
      </c>
      <c r="XJ2207" s="582" t="s">
        <v>1224</v>
      </c>
      <c r="XK2207" s="582" t="s">
        <v>1224</v>
      </c>
      <c r="XL2207" s="582" t="s">
        <v>1224</v>
      </c>
      <c r="XM2207" s="582" t="s">
        <v>1224</v>
      </c>
      <c r="XN2207" s="582" t="s">
        <v>1224</v>
      </c>
      <c r="XO2207" s="582" t="s">
        <v>1224</v>
      </c>
      <c r="XP2207" s="582" t="s">
        <v>1224</v>
      </c>
      <c r="XQ2207" s="582" t="s">
        <v>1224</v>
      </c>
      <c r="XR2207" s="582" t="s">
        <v>1224</v>
      </c>
      <c r="XS2207" s="582" t="s">
        <v>1224</v>
      </c>
      <c r="XT2207" s="582" t="s">
        <v>1224</v>
      </c>
      <c r="XU2207" s="582" t="s">
        <v>1224</v>
      </c>
      <c r="XV2207" s="582" t="s">
        <v>1224</v>
      </c>
      <c r="XW2207" s="582" t="s">
        <v>1224</v>
      </c>
      <c r="XX2207" s="582" t="s">
        <v>1224</v>
      </c>
      <c r="XY2207" s="582" t="s">
        <v>1224</v>
      </c>
      <c r="XZ2207" s="582" t="s">
        <v>1224</v>
      </c>
      <c r="YA2207" s="582" t="s">
        <v>1224</v>
      </c>
      <c r="YB2207" s="582" t="s">
        <v>1224</v>
      </c>
      <c r="YC2207" s="582" t="s">
        <v>1224</v>
      </c>
      <c r="YD2207" s="582" t="s">
        <v>1224</v>
      </c>
      <c r="YE2207" s="582" t="s">
        <v>1224</v>
      </c>
      <c r="YF2207" s="582" t="s">
        <v>1224</v>
      </c>
      <c r="YG2207" s="582" t="s">
        <v>1224</v>
      </c>
      <c r="YH2207" s="582" t="s">
        <v>1224</v>
      </c>
      <c r="YI2207" s="582" t="s">
        <v>1224</v>
      </c>
      <c r="YJ2207" s="582" t="s">
        <v>1224</v>
      </c>
      <c r="YK2207" s="582" t="s">
        <v>1224</v>
      </c>
      <c r="YL2207" s="582" t="s">
        <v>1224</v>
      </c>
      <c r="YM2207" s="582" t="s">
        <v>1224</v>
      </c>
      <c r="YN2207" s="582" t="s">
        <v>1224</v>
      </c>
      <c r="YO2207" s="582" t="s">
        <v>1224</v>
      </c>
      <c r="YP2207" s="582" t="s">
        <v>1224</v>
      </c>
      <c r="YQ2207" s="582" t="s">
        <v>1224</v>
      </c>
      <c r="YR2207" s="582" t="s">
        <v>1224</v>
      </c>
      <c r="YS2207" s="582" t="s">
        <v>1224</v>
      </c>
      <c r="YT2207" s="582" t="s">
        <v>1224</v>
      </c>
      <c r="YU2207" s="582" t="s">
        <v>1224</v>
      </c>
      <c r="YV2207" s="582" t="s">
        <v>1224</v>
      </c>
      <c r="YW2207" s="582" t="s">
        <v>1224</v>
      </c>
      <c r="YX2207" s="582" t="s">
        <v>1224</v>
      </c>
      <c r="YY2207" s="582" t="s">
        <v>1224</v>
      </c>
      <c r="YZ2207" s="582" t="s">
        <v>1224</v>
      </c>
      <c r="ZA2207" s="582" t="s">
        <v>1224</v>
      </c>
      <c r="ZB2207" s="582" t="s">
        <v>1224</v>
      </c>
      <c r="ZC2207" s="582" t="s">
        <v>1224</v>
      </c>
      <c r="ZD2207" s="582" t="s">
        <v>1224</v>
      </c>
      <c r="ZE2207" s="582" t="s">
        <v>1224</v>
      </c>
      <c r="ZF2207" s="582" t="s">
        <v>1224</v>
      </c>
      <c r="ZG2207" s="582" t="s">
        <v>1224</v>
      </c>
      <c r="ZH2207" s="582" t="s">
        <v>1224</v>
      </c>
      <c r="ZI2207" s="582" t="s">
        <v>1224</v>
      </c>
      <c r="ZJ2207" s="582" t="s">
        <v>1224</v>
      </c>
      <c r="ZK2207" s="582" t="s">
        <v>1224</v>
      </c>
      <c r="ZL2207" s="582" t="s">
        <v>1224</v>
      </c>
      <c r="ZM2207" s="582" t="s">
        <v>1224</v>
      </c>
      <c r="ZN2207" s="582" t="s">
        <v>1224</v>
      </c>
      <c r="ZO2207" s="582" t="s">
        <v>1224</v>
      </c>
      <c r="ZP2207" s="582" t="s">
        <v>1224</v>
      </c>
      <c r="ZQ2207" s="582" t="s">
        <v>1224</v>
      </c>
      <c r="ZR2207" s="582" t="s">
        <v>1224</v>
      </c>
      <c r="ZS2207" s="582" t="s">
        <v>1224</v>
      </c>
      <c r="ZT2207" s="582" t="s">
        <v>1224</v>
      </c>
      <c r="ZU2207" s="582" t="s">
        <v>1224</v>
      </c>
      <c r="ZV2207" s="582" t="s">
        <v>1224</v>
      </c>
      <c r="ZW2207" s="582" t="s">
        <v>1224</v>
      </c>
      <c r="ZX2207" s="582" t="s">
        <v>1224</v>
      </c>
      <c r="ZY2207" s="582" t="s">
        <v>1224</v>
      </c>
      <c r="ZZ2207" s="582" t="s">
        <v>1224</v>
      </c>
      <c r="AAA2207" s="582" t="s">
        <v>1224</v>
      </c>
      <c r="AAB2207" s="582" t="s">
        <v>1224</v>
      </c>
      <c r="AAC2207" s="582" t="s">
        <v>1224</v>
      </c>
      <c r="AAD2207" s="582" t="s">
        <v>1224</v>
      </c>
      <c r="AAE2207" s="582" t="s">
        <v>1224</v>
      </c>
      <c r="AAF2207" s="582" t="s">
        <v>1224</v>
      </c>
      <c r="AAG2207" s="582" t="s">
        <v>1224</v>
      </c>
      <c r="AAH2207" s="582" t="s">
        <v>1224</v>
      </c>
      <c r="AAI2207" s="582" t="s">
        <v>1224</v>
      </c>
      <c r="AAJ2207" s="582" t="s">
        <v>1224</v>
      </c>
      <c r="AAK2207" s="582" t="s">
        <v>1224</v>
      </c>
      <c r="AAL2207" s="582" t="s">
        <v>1224</v>
      </c>
      <c r="AAM2207" s="582" t="s">
        <v>1224</v>
      </c>
      <c r="AAN2207" s="582" t="s">
        <v>1224</v>
      </c>
      <c r="AAO2207" s="582" t="s">
        <v>1224</v>
      </c>
      <c r="AAP2207" s="582" t="s">
        <v>1224</v>
      </c>
      <c r="AAQ2207" s="582" t="s">
        <v>1224</v>
      </c>
      <c r="AAR2207" s="582" t="s">
        <v>1224</v>
      </c>
      <c r="AAS2207" s="582" t="s">
        <v>1224</v>
      </c>
      <c r="AAT2207" s="582" t="s">
        <v>1224</v>
      </c>
      <c r="AAU2207" s="582" t="s">
        <v>1224</v>
      </c>
      <c r="AAV2207" s="582" t="s">
        <v>1224</v>
      </c>
      <c r="AAW2207" s="582" t="s">
        <v>1224</v>
      </c>
      <c r="AAX2207" s="582" t="s">
        <v>1224</v>
      </c>
      <c r="AAY2207" s="582" t="s">
        <v>1224</v>
      </c>
      <c r="AAZ2207" s="582" t="s">
        <v>1224</v>
      </c>
      <c r="ABA2207" s="582" t="s">
        <v>1224</v>
      </c>
      <c r="ABB2207" s="582" t="s">
        <v>1224</v>
      </c>
      <c r="ABC2207" s="582" t="s">
        <v>1224</v>
      </c>
      <c r="ABD2207" s="582" t="s">
        <v>1224</v>
      </c>
      <c r="ABE2207" s="582" t="s">
        <v>1224</v>
      </c>
      <c r="ABF2207" s="582" t="s">
        <v>1224</v>
      </c>
      <c r="ABG2207" s="582" t="s">
        <v>1224</v>
      </c>
      <c r="ABH2207" s="582" t="s">
        <v>1224</v>
      </c>
      <c r="ABI2207" s="582" t="s">
        <v>1224</v>
      </c>
      <c r="ABJ2207" s="582" t="s">
        <v>1224</v>
      </c>
      <c r="ABK2207" s="582" t="s">
        <v>1224</v>
      </c>
      <c r="ABL2207" s="582" t="s">
        <v>1224</v>
      </c>
      <c r="ABM2207" s="582" t="s">
        <v>1224</v>
      </c>
      <c r="ABN2207" s="582" t="s">
        <v>1224</v>
      </c>
      <c r="ABO2207" s="582" t="s">
        <v>1224</v>
      </c>
      <c r="ABP2207" s="582" t="s">
        <v>1224</v>
      </c>
      <c r="ABQ2207" s="582" t="s">
        <v>1224</v>
      </c>
      <c r="ABR2207" s="582" t="s">
        <v>1224</v>
      </c>
      <c r="ABS2207" s="582" t="s">
        <v>1224</v>
      </c>
      <c r="ABT2207" s="582" t="s">
        <v>1224</v>
      </c>
      <c r="ABU2207" s="582" t="s">
        <v>1224</v>
      </c>
      <c r="ABV2207" s="582" t="s">
        <v>1224</v>
      </c>
      <c r="ABW2207" s="582" t="s">
        <v>1224</v>
      </c>
      <c r="ABX2207" s="582" t="s">
        <v>1224</v>
      </c>
      <c r="ABY2207" s="582" t="s">
        <v>1224</v>
      </c>
      <c r="ABZ2207" s="582" t="s">
        <v>1224</v>
      </c>
      <c r="ACA2207" s="582" t="s">
        <v>1224</v>
      </c>
      <c r="ACB2207" s="582" t="s">
        <v>1224</v>
      </c>
      <c r="ACC2207" s="582" t="s">
        <v>1224</v>
      </c>
      <c r="ACD2207" s="582" t="s">
        <v>1224</v>
      </c>
      <c r="ACE2207" s="582" t="s">
        <v>1224</v>
      </c>
      <c r="ACF2207" s="582" t="s">
        <v>1224</v>
      </c>
      <c r="ACG2207" s="582" t="s">
        <v>1224</v>
      </c>
      <c r="ACH2207" s="582" t="s">
        <v>1224</v>
      </c>
      <c r="ACI2207" s="582" t="s">
        <v>1224</v>
      </c>
      <c r="ACJ2207" s="582" t="s">
        <v>1224</v>
      </c>
      <c r="ACK2207" s="582" t="s">
        <v>1224</v>
      </c>
      <c r="ACL2207" s="582" t="s">
        <v>1224</v>
      </c>
      <c r="ACM2207" s="582" t="s">
        <v>1224</v>
      </c>
      <c r="ACN2207" s="582" t="s">
        <v>1224</v>
      </c>
      <c r="ACO2207" s="582" t="s">
        <v>1224</v>
      </c>
      <c r="ACP2207" s="582" t="s">
        <v>1224</v>
      </c>
      <c r="ACQ2207" s="582" t="s">
        <v>1224</v>
      </c>
      <c r="ACR2207" s="582" t="s">
        <v>1224</v>
      </c>
      <c r="ACS2207" s="582" t="s">
        <v>1224</v>
      </c>
      <c r="ACT2207" s="582" t="s">
        <v>1224</v>
      </c>
      <c r="ACU2207" s="582" t="s">
        <v>1224</v>
      </c>
      <c r="ACV2207" s="582" t="s">
        <v>1224</v>
      </c>
      <c r="ACW2207" s="582" t="s">
        <v>1224</v>
      </c>
      <c r="ACX2207" s="582" t="s">
        <v>1224</v>
      </c>
      <c r="ACY2207" s="582" t="s">
        <v>1224</v>
      </c>
      <c r="ACZ2207" s="582" t="s">
        <v>1224</v>
      </c>
      <c r="ADA2207" s="582" t="s">
        <v>1224</v>
      </c>
      <c r="ADB2207" s="582" t="s">
        <v>1224</v>
      </c>
      <c r="ADC2207" s="582" t="s">
        <v>1224</v>
      </c>
      <c r="ADD2207" s="582" t="s">
        <v>1224</v>
      </c>
      <c r="ADE2207" s="582" t="s">
        <v>1224</v>
      </c>
      <c r="ADF2207" s="582" t="s">
        <v>1224</v>
      </c>
      <c r="ADG2207" s="582" t="s">
        <v>1224</v>
      </c>
      <c r="ADH2207" s="582" t="s">
        <v>1224</v>
      </c>
      <c r="ADI2207" s="582" t="s">
        <v>1224</v>
      </c>
      <c r="ADJ2207" s="582" t="s">
        <v>1224</v>
      </c>
      <c r="ADK2207" s="582" t="s">
        <v>1224</v>
      </c>
      <c r="ADL2207" s="582" t="s">
        <v>1224</v>
      </c>
      <c r="ADM2207" s="582" t="s">
        <v>1224</v>
      </c>
      <c r="ADN2207" s="582" t="s">
        <v>1224</v>
      </c>
      <c r="ADO2207" s="582" t="s">
        <v>1224</v>
      </c>
      <c r="ADP2207" s="582" t="s">
        <v>1224</v>
      </c>
      <c r="ADQ2207" s="582" t="s">
        <v>1224</v>
      </c>
      <c r="ADR2207" s="582" t="s">
        <v>1224</v>
      </c>
      <c r="ADS2207" s="582" t="s">
        <v>1224</v>
      </c>
      <c r="ADT2207" s="582" t="s">
        <v>1224</v>
      </c>
      <c r="ADU2207" s="582" t="s">
        <v>1224</v>
      </c>
      <c r="ADV2207" s="582" t="s">
        <v>1224</v>
      </c>
      <c r="ADW2207" s="582" t="s">
        <v>1224</v>
      </c>
      <c r="ADX2207" s="582" t="s">
        <v>1224</v>
      </c>
      <c r="ADY2207" s="582" t="s">
        <v>1224</v>
      </c>
      <c r="ADZ2207" s="582" t="s">
        <v>1224</v>
      </c>
      <c r="AEA2207" s="582" t="s">
        <v>1224</v>
      </c>
      <c r="AEB2207" s="582" t="s">
        <v>1224</v>
      </c>
      <c r="AEC2207" s="582" t="s">
        <v>1224</v>
      </c>
      <c r="AED2207" s="582" t="s">
        <v>1224</v>
      </c>
      <c r="AEE2207" s="582" t="s">
        <v>1224</v>
      </c>
      <c r="AEF2207" s="582" t="s">
        <v>1224</v>
      </c>
      <c r="AEG2207" s="582" t="s">
        <v>1224</v>
      </c>
      <c r="AEH2207" s="582" t="s">
        <v>1224</v>
      </c>
      <c r="AEI2207" s="582" t="s">
        <v>1224</v>
      </c>
      <c r="AEJ2207" s="582" t="s">
        <v>1224</v>
      </c>
      <c r="AEK2207" s="582" t="s">
        <v>1224</v>
      </c>
      <c r="AEL2207" s="582" t="s">
        <v>1224</v>
      </c>
      <c r="AEM2207" s="582" t="s">
        <v>1224</v>
      </c>
      <c r="AEN2207" s="582" t="s">
        <v>1224</v>
      </c>
      <c r="AEO2207" s="582" t="s">
        <v>1224</v>
      </c>
      <c r="AEP2207" s="582" t="s">
        <v>1224</v>
      </c>
      <c r="AEQ2207" s="582" t="s">
        <v>1224</v>
      </c>
      <c r="AER2207" s="582" t="s">
        <v>1224</v>
      </c>
      <c r="AES2207" s="582" t="s">
        <v>1224</v>
      </c>
      <c r="AET2207" s="582" t="s">
        <v>1224</v>
      </c>
      <c r="AEU2207" s="582" t="s">
        <v>1224</v>
      </c>
      <c r="AEV2207" s="582" t="s">
        <v>1224</v>
      </c>
      <c r="AEW2207" s="582" t="s">
        <v>1224</v>
      </c>
      <c r="AEX2207" s="582" t="s">
        <v>1224</v>
      </c>
      <c r="AEY2207" s="582" t="s">
        <v>1224</v>
      </c>
      <c r="AEZ2207" s="582" t="s">
        <v>1224</v>
      </c>
      <c r="AFA2207" s="582" t="s">
        <v>1224</v>
      </c>
      <c r="AFB2207" s="582" t="s">
        <v>1224</v>
      </c>
      <c r="AFC2207" s="582" t="s">
        <v>1224</v>
      </c>
      <c r="AFD2207" s="582" t="s">
        <v>1224</v>
      </c>
      <c r="AFE2207" s="582" t="s">
        <v>1224</v>
      </c>
      <c r="AFF2207" s="582" t="s">
        <v>1224</v>
      </c>
      <c r="AFG2207" s="582" t="s">
        <v>1224</v>
      </c>
      <c r="AFH2207" s="582" t="s">
        <v>1224</v>
      </c>
      <c r="AFI2207" s="582" t="s">
        <v>1224</v>
      </c>
      <c r="AFJ2207" s="582" t="s">
        <v>1224</v>
      </c>
      <c r="AFK2207" s="582" t="s">
        <v>1224</v>
      </c>
      <c r="AFL2207" s="582" t="s">
        <v>1224</v>
      </c>
      <c r="AFM2207" s="582" t="s">
        <v>1224</v>
      </c>
      <c r="AFN2207" s="582" t="s">
        <v>1224</v>
      </c>
      <c r="AFO2207" s="582" t="s">
        <v>1224</v>
      </c>
      <c r="AFP2207" s="582" t="s">
        <v>1224</v>
      </c>
      <c r="AFQ2207" s="582" t="s">
        <v>1224</v>
      </c>
      <c r="AFR2207" s="582" t="s">
        <v>1224</v>
      </c>
      <c r="AFS2207" s="582" t="s">
        <v>1224</v>
      </c>
      <c r="AFT2207" s="582" t="s">
        <v>1224</v>
      </c>
      <c r="AFU2207" s="582" t="s">
        <v>1224</v>
      </c>
      <c r="AFV2207" s="582" t="s">
        <v>1224</v>
      </c>
      <c r="AFW2207" s="582" t="s">
        <v>1224</v>
      </c>
      <c r="AFX2207" s="582" t="s">
        <v>1224</v>
      </c>
      <c r="AFY2207" s="582" t="s">
        <v>1224</v>
      </c>
      <c r="AFZ2207" s="582" t="s">
        <v>1224</v>
      </c>
      <c r="AGA2207" s="582" t="s">
        <v>1224</v>
      </c>
      <c r="AGB2207" s="582" t="s">
        <v>1224</v>
      </c>
      <c r="AGC2207" s="582" t="s">
        <v>1224</v>
      </c>
      <c r="AGD2207" s="582" t="s">
        <v>1224</v>
      </c>
      <c r="AGE2207" s="582" t="s">
        <v>1224</v>
      </c>
      <c r="AGF2207" s="582" t="s">
        <v>1224</v>
      </c>
      <c r="AGG2207" s="582" t="s">
        <v>1224</v>
      </c>
      <c r="AGH2207" s="582" t="s">
        <v>1224</v>
      </c>
      <c r="AGI2207" s="582" t="s">
        <v>1224</v>
      </c>
      <c r="AGJ2207" s="582" t="s">
        <v>1224</v>
      </c>
      <c r="AGK2207" s="582" t="s">
        <v>1224</v>
      </c>
      <c r="AGL2207" s="582" t="s">
        <v>1224</v>
      </c>
      <c r="AGM2207" s="582" t="s">
        <v>1224</v>
      </c>
      <c r="AGN2207" s="582" t="s">
        <v>1224</v>
      </c>
      <c r="AGO2207" s="582" t="s">
        <v>1224</v>
      </c>
      <c r="AGP2207" s="582" t="s">
        <v>1224</v>
      </c>
      <c r="AGQ2207" s="582" t="s">
        <v>1224</v>
      </c>
      <c r="AGR2207" s="582" t="s">
        <v>1224</v>
      </c>
      <c r="AGS2207" s="582" t="s">
        <v>1224</v>
      </c>
      <c r="AGT2207" s="582" t="s">
        <v>1224</v>
      </c>
      <c r="AGU2207" s="582" t="s">
        <v>1224</v>
      </c>
      <c r="AGV2207" s="582" t="s">
        <v>1224</v>
      </c>
      <c r="AGW2207" s="582" t="s">
        <v>1224</v>
      </c>
      <c r="AGX2207" s="582" t="s">
        <v>1224</v>
      </c>
      <c r="AGY2207" s="582" t="s">
        <v>1224</v>
      </c>
      <c r="AGZ2207" s="582" t="s">
        <v>1224</v>
      </c>
      <c r="AHA2207" s="582" t="s">
        <v>1224</v>
      </c>
      <c r="AHB2207" s="582" t="s">
        <v>1224</v>
      </c>
      <c r="AHC2207" s="582" t="s">
        <v>1224</v>
      </c>
      <c r="AHD2207" s="582" t="s">
        <v>1224</v>
      </c>
      <c r="AHE2207" s="582" t="s">
        <v>1224</v>
      </c>
      <c r="AHF2207" s="582" t="s">
        <v>1224</v>
      </c>
      <c r="AHG2207" s="582" t="s">
        <v>1224</v>
      </c>
      <c r="AHH2207" s="582" t="s">
        <v>1224</v>
      </c>
      <c r="AHI2207" s="582" t="s">
        <v>1224</v>
      </c>
      <c r="AHJ2207" s="582" t="s">
        <v>1224</v>
      </c>
      <c r="AHK2207" s="582" t="s">
        <v>1224</v>
      </c>
      <c r="AHL2207" s="582" t="s">
        <v>1224</v>
      </c>
      <c r="AHM2207" s="582" t="s">
        <v>1224</v>
      </c>
      <c r="AHN2207" s="582" t="s">
        <v>1224</v>
      </c>
      <c r="AHO2207" s="582" t="s">
        <v>1224</v>
      </c>
      <c r="AHP2207" s="582" t="s">
        <v>1224</v>
      </c>
      <c r="AHQ2207" s="582" t="s">
        <v>1224</v>
      </c>
      <c r="AHR2207" s="582" t="s">
        <v>1224</v>
      </c>
      <c r="AHS2207" s="582" t="s">
        <v>1224</v>
      </c>
      <c r="AHT2207" s="582" t="s">
        <v>1224</v>
      </c>
      <c r="AHU2207" s="582" t="s">
        <v>1224</v>
      </c>
      <c r="AHV2207" s="582" t="s">
        <v>1224</v>
      </c>
      <c r="AHW2207" s="582" t="s">
        <v>1224</v>
      </c>
      <c r="AHX2207" s="582" t="s">
        <v>1224</v>
      </c>
      <c r="AHY2207" s="582" t="s">
        <v>1224</v>
      </c>
      <c r="AHZ2207" s="582" t="s">
        <v>1224</v>
      </c>
      <c r="AIA2207" s="582" t="s">
        <v>1224</v>
      </c>
      <c r="AIB2207" s="582" t="s">
        <v>1224</v>
      </c>
      <c r="AIC2207" s="582" t="s">
        <v>1224</v>
      </c>
      <c r="AID2207" s="582" t="s">
        <v>1224</v>
      </c>
      <c r="AIE2207" s="582" t="s">
        <v>1224</v>
      </c>
      <c r="AIF2207" s="582" t="s">
        <v>1224</v>
      </c>
      <c r="AIG2207" s="582" t="s">
        <v>1224</v>
      </c>
      <c r="AIH2207" s="582" t="s">
        <v>1224</v>
      </c>
      <c r="AII2207" s="582" t="s">
        <v>1224</v>
      </c>
      <c r="AIJ2207" s="582" t="s">
        <v>1224</v>
      </c>
      <c r="AIK2207" s="582" t="s">
        <v>1224</v>
      </c>
      <c r="AIL2207" s="582" t="s">
        <v>1224</v>
      </c>
      <c r="AIM2207" s="582" t="s">
        <v>1224</v>
      </c>
      <c r="AIN2207" s="582" t="s">
        <v>1224</v>
      </c>
      <c r="AIO2207" s="582" t="s">
        <v>1224</v>
      </c>
      <c r="AIP2207" s="582" t="s">
        <v>1224</v>
      </c>
      <c r="AIQ2207" s="582" t="s">
        <v>1224</v>
      </c>
      <c r="AIR2207" s="582" t="s">
        <v>1224</v>
      </c>
      <c r="AIS2207" s="582" t="s">
        <v>1224</v>
      </c>
      <c r="AIT2207" s="582" t="s">
        <v>1224</v>
      </c>
      <c r="AIU2207" s="582" t="s">
        <v>1224</v>
      </c>
      <c r="AIV2207" s="582" t="s">
        <v>1224</v>
      </c>
      <c r="AIW2207" s="582" t="s">
        <v>1224</v>
      </c>
      <c r="AIX2207" s="582" t="s">
        <v>1224</v>
      </c>
      <c r="AIY2207" s="582" t="s">
        <v>1224</v>
      </c>
      <c r="AIZ2207" s="582" t="s">
        <v>1224</v>
      </c>
      <c r="AJA2207" s="582" t="s">
        <v>1224</v>
      </c>
      <c r="AJB2207" s="582" t="s">
        <v>1224</v>
      </c>
      <c r="AJC2207" s="582" t="s">
        <v>1224</v>
      </c>
      <c r="AJD2207" s="582" t="s">
        <v>1224</v>
      </c>
      <c r="AJE2207" s="582" t="s">
        <v>1224</v>
      </c>
      <c r="AJF2207" s="582" t="s">
        <v>1224</v>
      </c>
      <c r="AJG2207" s="582" t="s">
        <v>1224</v>
      </c>
      <c r="AJH2207" s="582" t="s">
        <v>1224</v>
      </c>
      <c r="AJI2207" s="582" t="s">
        <v>1224</v>
      </c>
      <c r="AJJ2207" s="582" t="s">
        <v>1224</v>
      </c>
      <c r="AJK2207" s="582" t="s">
        <v>1224</v>
      </c>
      <c r="AJL2207" s="582" t="s">
        <v>1224</v>
      </c>
      <c r="AJM2207" s="582" t="s">
        <v>1224</v>
      </c>
      <c r="AJN2207" s="582" t="s">
        <v>1224</v>
      </c>
      <c r="AJO2207" s="582" t="s">
        <v>1224</v>
      </c>
      <c r="AJP2207" s="582" t="s">
        <v>1224</v>
      </c>
      <c r="AJQ2207" s="582" t="s">
        <v>1224</v>
      </c>
      <c r="AJR2207" s="582" t="s">
        <v>1224</v>
      </c>
      <c r="AJS2207" s="582" t="s">
        <v>1224</v>
      </c>
      <c r="AJT2207" s="582" t="s">
        <v>1224</v>
      </c>
      <c r="AJU2207" s="582" t="s">
        <v>1224</v>
      </c>
      <c r="AJV2207" s="582" t="s">
        <v>1224</v>
      </c>
      <c r="AJW2207" s="582" t="s">
        <v>1224</v>
      </c>
      <c r="AJX2207" s="582" t="s">
        <v>1224</v>
      </c>
      <c r="AJY2207" s="582" t="s">
        <v>1224</v>
      </c>
      <c r="AJZ2207" s="582" t="s">
        <v>1224</v>
      </c>
      <c r="AKA2207" s="582" t="s">
        <v>1224</v>
      </c>
      <c r="AKB2207" s="582" t="s">
        <v>1224</v>
      </c>
      <c r="AKC2207" s="582" t="s">
        <v>1224</v>
      </c>
      <c r="AKD2207" s="582" t="s">
        <v>1224</v>
      </c>
      <c r="AKE2207" s="582" t="s">
        <v>1224</v>
      </c>
      <c r="AKF2207" s="582" t="s">
        <v>1224</v>
      </c>
      <c r="AKG2207" s="582" t="s">
        <v>1224</v>
      </c>
      <c r="AKH2207" s="582" t="s">
        <v>1224</v>
      </c>
      <c r="AKI2207" s="582" t="s">
        <v>1224</v>
      </c>
      <c r="AKJ2207" s="582" t="s">
        <v>1224</v>
      </c>
      <c r="AKK2207" s="582" t="s">
        <v>1224</v>
      </c>
      <c r="AKL2207" s="582" t="s">
        <v>1224</v>
      </c>
      <c r="AKM2207" s="582" t="s">
        <v>1224</v>
      </c>
      <c r="AKN2207" s="582" t="s">
        <v>1224</v>
      </c>
      <c r="AKO2207" s="582" t="s">
        <v>1224</v>
      </c>
      <c r="AKP2207" s="582" t="s">
        <v>1224</v>
      </c>
      <c r="AKQ2207" s="582" t="s">
        <v>1224</v>
      </c>
      <c r="AKR2207" s="582" t="s">
        <v>1224</v>
      </c>
      <c r="AKS2207" s="582" t="s">
        <v>1224</v>
      </c>
      <c r="AKT2207" s="582" t="s">
        <v>1224</v>
      </c>
      <c r="AKU2207" s="582" t="s">
        <v>1224</v>
      </c>
      <c r="AKV2207" s="582" t="s">
        <v>1224</v>
      </c>
      <c r="AKW2207" s="582" t="s">
        <v>1224</v>
      </c>
      <c r="AKX2207" s="582" t="s">
        <v>1224</v>
      </c>
      <c r="AKY2207" s="582" t="s">
        <v>1224</v>
      </c>
      <c r="AKZ2207" s="582" t="s">
        <v>1224</v>
      </c>
      <c r="ALA2207" s="582" t="s">
        <v>1224</v>
      </c>
      <c r="ALB2207" s="582" t="s">
        <v>1224</v>
      </c>
      <c r="ALC2207" s="582" t="s">
        <v>1224</v>
      </c>
      <c r="ALD2207" s="582" t="s">
        <v>1224</v>
      </c>
      <c r="ALE2207" s="582" t="s">
        <v>1224</v>
      </c>
      <c r="ALF2207" s="582" t="s">
        <v>1224</v>
      </c>
      <c r="ALG2207" s="582" t="s">
        <v>1224</v>
      </c>
      <c r="ALH2207" s="582" t="s">
        <v>1224</v>
      </c>
      <c r="ALI2207" s="582" t="s">
        <v>1224</v>
      </c>
      <c r="ALJ2207" s="582" t="s">
        <v>1224</v>
      </c>
      <c r="ALK2207" s="582" t="s">
        <v>1224</v>
      </c>
      <c r="ALL2207" s="582" t="s">
        <v>1224</v>
      </c>
      <c r="ALM2207" s="582" t="s">
        <v>1224</v>
      </c>
      <c r="ALN2207" s="582" t="s">
        <v>1224</v>
      </c>
      <c r="ALO2207" s="582" t="s">
        <v>1224</v>
      </c>
      <c r="ALP2207" s="582" t="s">
        <v>1224</v>
      </c>
      <c r="ALQ2207" s="582" t="s">
        <v>1224</v>
      </c>
      <c r="ALR2207" s="582" t="s">
        <v>1224</v>
      </c>
      <c r="ALS2207" s="582" t="s">
        <v>1224</v>
      </c>
      <c r="ALT2207" s="582" t="s">
        <v>1224</v>
      </c>
      <c r="ALU2207" s="582" t="s">
        <v>1224</v>
      </c>
      <c r="ALV2207" s="582" t="s">
        <v>1224</v>
      </c>
      <c r="ALW2207" s="582" t="s">
        <v>1224</v>
      </c>
      <c r="ALX2207" s="582" t="s">
        <v>1224</v>
      </c>
      <c r="ALY2207" s="582" t="s">
        <v>1224</v>
      </c>
      <c r="ALZ2207" s="582" t="s">
        <v>1224</v>
      </c>
      <c r="AMA2207" s="582" t="s">
        <v>1224</v>
      </c>
      <c r="AMB2207" s="582" t="s">
        <v>1224</v>
      </c>
      <c r="AMC2207" s="582" t="s">
        <v>1224</v>
      </c>
      <c r="AMD2207" s="582" t="s">
        <v>1224</v>
      </c>
      <c r="AME2207" s="582" t="s">
        <v>1224</v>
      </c>
      <c r="AMF2207" s="582" t="s">
        <v>1224</v>
      </c>
      <c r="AMG2207" s="582" t="s">
        <v>1224</v>
      </c>
      <c r="AMH2207" s="582" t="s">
        <v>1224</v>
      </c>
      <c r="AMI2207" s="582" t="s">
        <v>1224</v>
      </c>
      <c r="AMJ2207" s="582" t="s">
        <v>1224</v>
      </c>
      <c r="AMK2207" s="582" t="s">
        <v>1224</v>
      </c>
      <c r="AML2207" s="582" t="s">
        <v>1224</v>
      </c>
      <c r="AMM2207" s="582" t="s">
        <v>1224</v>
      </c>
      <c r="AMN2207" s="582" t="s">
        <v>1224</v>
      </c>
      <c r="AMO2207" s="582" t="s">
        <v>1224</v>
      </c>
      <c r="AMP2207" s="582" t="s">
        <v>1224</v>
      </c>
      <c r="AMQ2207" s="582" t="s">
        <v>1224</v>
      </c>
      <c r="AMR2207" s="582" t="s">
        <v>1224</v>
      </c>
      <c r="AMS2207" s="582" t="s">
        <v>1224</v>
      </c>
      <c r="AMT2207" s="582" t="s">
        <v>1224</v>
      </c>
      <c r="AMU2207" s="582" t="s">
        <v>1224</v>
      </c>
      <c r="AMV2207" s="582" t="s">
        <v>1224</v>
      </c>
      <c r="AMW2207" s="582" t="s">
        <v>1224</v>
      </c>
      <c r="AMX2207" s="582" t="s">
        <v>1224</v>
      </c>
      <c r="AMY2207" s="582" t="s">
        <v>1224</v>
      </c>
      <c r="AMZ2207" s="582" t="s">
        <v>1224</v>
      </c>
      <c r="ANA2207" s="582" t="s">
        <v>1224</v>
      </c>
      <c r="ANB2207" s="582" t="s">
        <v>1224</v>
      </c>
      <c r="ANC2207" s="582" t="s">
        <v>1224</v>
      </c>
      <c r="AND2207" s="582" t="s">
        <v>1224</v>
      </c>
      <c r="ANE2207" s="582" t="s">
        <v>1224</v>
      </c>
      <c r="ANF2207" s="582" t="s">
        <v>1224</v>
      </c>
      <c r="ANG2207" s="582" t="s">
        <v>1224</v>
      </c>
      <c r="ANH2207" s="582" t="s">
        <v>1224</v>
      </c>
      <c r="ANI2207" s="582" t="s">
        <v>1224</v>
      </c>
      <c r="ANJ2207" s="582" t="s">
        <v>1224</v>
      </c>
      <c r="ANK2207" s="582" t="s">
        <v>1224</v>
      </c>
      <c r="ANL2207" s="582" t="s">
        <v>1224</v>
      </c>
      <c r="ANM2207" s="582" t="s">
        <v>1224</v>
      </c>
      <c r="ANN2207" s="582" t="s">
        <v>1224</v>
      </c>
      <c r="ANO2207" s="582" t="s">
        <v>1224</v>
      </c>
      <c r="ANP2207" s="582" t="s">
        <v>1224</v>
      </c>
      <c r="ANQ2207" s="582" t="s">
        <v>1224</v>
      </c>
      <c r="ANR2207" s="582" t="s">
        <v>1224</v>
      </c>
      <c r="ANS2207" s="582" t="s">
        <v>1224</v>
      </c>
      <c r="ANT2207" s="582" t="s">
        <v>1224</v>
      </c>
      <c r="ANU2207" s="582" t="s">
        <v>1224</v>
      </c>
      <c r="ANV2207" s="582" t="s">
        <v>1224</v>
      </c>
      <c r="ANW2207" s="582" t="s">
        <v>1224</v>
      </c>
      <c r="ANX2207" s="582" t="s">
        <v>1224</v>
      </c>
      <c r="ANY2207" s="582" t="s">
        <v>1224</v>
      </c>
      <c r="ANZ2207" s="582" t="s">
        <v>1224</v>
      </c>
      <c r="AOA2207" s="582" t="s">
        <v>1224</v>
      </c>
      <c r="AOB2207" s="582" t="s">
        <v>1224</v>
      </c>
      <c r="AOC2207" s="582" t="s">
        <v>1224</v>
      </c>
      <c r="AOD2207" s="582" t="s">
        <v>1224</v>
      </c>
      <c r="AOE2207" s="582" t="s">
        <v>1224</v>
      </c>
      <c r="AOF2207" s="582" t="s">
        <v>1224</v>
      </c>
      <c r="AOG2207" s="582" t="s">
        <v>1224</v>
      </c>
      <c r="AOH2207" s="582" t="s">
        <v>1224</v>
      </c>
      <c r="AOI2207" s="582" t="s">
        <v>1224</v>
      </c>
      <c r="AOJ2207" s="582" t="s">
        <v>1224</v>
      </c>
      <c r="AOK2207" s="582" t="s">
        <v>1224</v>
      </c>
      <c r="AOL2207" s="582" t="s">
        <v>1224</v>
      </c>
      <c r="AOM2207" s="582" t="s">
        <v>1224</v>
      </c>
      <c r="AON2207" s="582" t="s">
        <v>1224</v>
      </c>
      <c r="AOO2207" s="582" t="s">
        <v>1224</v>
      </c>
      <c r="AOP2207" s="582" t="s">
        <v>1224</v>
      </c>
      <c r="AOQ2207" s="582" t="s">
        <v>1224</v>
      </c>
      <c r="AOR2207" s="582" t="s">
        <v>1224</v>
      </c>
      <c r="AOS2207" s="582" t="s">
        <v>1224</v>
      </c>
      <c r="AOT2207" s="582" t="s">
        <v>1224</v>
      </c>
      <c r="AOU2207" s="582" t="s">
        <v>1224</v>
      </c>
      <c r="AOV2207" s="582" t="s">
        <v>1224</v>
      </c>
      <c r="AOW2207" s="582" t="s">
        <v>1224</v>
      </c>
      <c r="AOX2207" s="582" t="s">
        <v>1224</v>
      </c>
      <c r="AOY2207" s="582" t="s">
        <v>1224</v>
      </c>
      <c r="AOZ2207" s="582" t="s">
        <v>1224</v>
      </c>
      <c r="APA2207" s="582" t="s">
        <v>1224</v>
      </c>
      <c r="APB2207" s="582" t="s">
        <v>1224</v>
      </c>
      <c r="APC2207" s="582" t="s">
        <v>1224</v>
      </c>
      <c r="APD2207" s="582" t="s">
        <v>1224</v>
      </c>
      <c r="APE2207" s="582" t="s">
        <v>1224</v>
      </c>
      <c r="APF2207" s="582" t="s">
        <v>1224</v>
      </c>
      <c r="APG2207" s="582" t="s">
        <v>1224</v>
      </c>
      <c r="APH2207" s="582" t="s">
        <v>1224</v>
      </c>
      <c r="API2207" s="582" t="s">
        <v>1224</v>
      </c>
      <c r="APJ2207" s="582" t="s">
        <v>1224</v>
      </c>
      <c r="APK2207" s="582" t="s">
        <v>1224</v>
      </c>
      <c r="APL2207" s="582" t="s">
        <v>1224</v>
      </c>
      <c r="APM2207" s="582" t="s">
        <v>1224</v>
      </c>
      <c r="APN2207" s="582" t="s">
        <v>1224</v>
      </c>
      <c r="APO2207" s="582" t="s">
        <v>1224</v>
      </c>
      <c r="APP2207" s="582" t="s">
        <v>1224</v>
      </c>
      <c r="APQ2207" s="582" t="s">
        <v>1224</v>
      </c>
      <c r="APR2207" s="582" t="s">
        <v>1224</v>
      </c>
      <c r="APS2207" s="582" t="s">
        <v>1224</v>
      </c>
      <c r="APT2207" s="582" t="s">
        <v>1224</v>
      </c>
      <c r="APU2207" s="582" t="s">
        <v>1224</v>
      </c>
      <c r="APV2207" s="582" t="s">
        <v>1224</v>
      </c>
      <c r="APW2207" s="582" t="s">
        <v>1224</v>
      </c>
      <c r="APX2207" s="582" t="s">
        <v>1224</v>
      </c>
      <c r="APY2207" s="582" t="s">
        <v>1224</v>
      </c>
      <c r="APZ2207" s="582" t="s">
        <v>1224</v>
      </c>
      <c r="AQA2207" s="582" t="s">
        <v>1224</v>
      </c>
      <c r="AQB2207" s="582" t="s">
        <v>1224</v>
      </c>
      <c r="AQC2207" s="582" t="s">
        <v>1224</v>
      </c>
      <c r="AQD2207" s="582" t="s">
        <v>1224</v>
      </c>
      <c r="AQE2207" s="582" t="s">
        <v>1224</v>
      </c>
      <c r="AQF2207" s="582" t="s">
        <v>1224</v>
      </c>
      <c r="AQG2207" s="582" t="s">
        <v>1224</v>
      </c>
      <c r="AQH2207" s="582" t="s">
        <v>1224</v>
      </c>
      <c r="AQI2207" s="582" t="s">
        <v>1224</v>
      </c>
      <c r="AQJ2207" s="582" t="s">
        <v>1224</v>
      </c>
      <c r="AQK2207" s="582" t="s">
        <v>1224</v>
      </c>
      <c r="AQL2207" s="582" t="s">
        <v>1224</v>
      </c>
      <c r="AQM2207" s="582" t="s">
        <v>1224</v>
      </c>
      <c r="AQN2207" s="582" t="s">
        <v>1224</v>
      </c>
      <c r="AQO2207" s="582" t="s">
        <v>1224</v>
      </c>
      <c r="AQP2207" s="582" t="s">
        <v>1224</v>
      </c>
      <c r="AQQ2207" s="582" t="s">
        <v>1224</v>
      </c>
      <c r="AQR2207" s="582" t="s">
        <v>1224</v>
      </c>
      <c r="AQS2207" s="582" t="s">
        <v>1224</v>
      </c>
      <c r="AQT2207" s="582" t="s">
        <v>1224</v>
      </c>
      <c r="AQU2207" s="582" t="s">
        <v>1224</v>
      </c>
      <c r="AQV2207" s="582" t="s">
        <v>1224</v>
      </c>
      <c r="AQW2207" s="582" t="s">
        <v>1224</v>
      </c>
      <c r="AQX2207" s="582" t="s">
        <v>1224</v>
      </c>
      <c r="AQY2207" s="582" t="s">
        <v>1224</v>
      </c>
      <c r="AQZ2207" s="582" t="s">
        <v>1224</v>
      </c>
      <c r="ARA2207" s="582" t="s">
        <v>1224</v>
      </c>
      <c r="ARB2207" s="582" t="s">
        <v>1224</v>
      </c>
      <c r="ARC2207" s="582" t="s">
        <v>1224</v>
      </c>
      <c r="ARD2207" s="582" t="s">
        <v>1224</v>
      </c>
      <c r="ARE2207" s="582" t="s">
        <v>1224</v>
      </c>
      <c r="ARF2207" s="582" t="s">
        <v>1224</v>
      </c>
      <c r="ARG2207" s="582" t="s">
        <v>1224</v>
      </c>
      <c r="ARH2207" s="582" t="s">
        <v>1224</v>
      </c>
      <c r="ARI2207" s="582" t="s">
        <v>1224</v>
      </c>
      <c r="ARJ2207" s="582" t="s">
        <v>1224</v>
      </c>
      <c r="ARK2207" s="582" t="s">
        <v>1224</v>
      </c>
      <c r="ARL2207" s="582" t="s">
        <v>1224</v>
      </c>
      <c r="ARM2207" s="582" t="s">
        <v>1224</v>
      </c>
      <c r="ARN2207" s="582" t="s">
        <v>1224</v>
      </c>
      <c r="ARO2207" s="582" t="s">
        <v>1224</v>
      </c>
      <c r="ARP2207" s="582" t="s">
        <v>1224</v>
      </c>
      <c r="ARQ2207" s="582" t="s">
        <v>1224</v>
      </c>
      <c r="ARR2207" s="582" t="s">
        <v>1224</v>
      </c>
      <c r="ARS2207" s="582" t="s">
        <v>1224</v>
      </c>
      <c r="ART2207" s="582" t="s">
        <v>1224</v>
      </c>
      <c r="ARU2207" s="582" t="s">
        <v>1224</v>
      </c>
      <c r="ARV2207" s="582" t="s">
        <v>1224</v>
      </c>
      <c r="ARW2207" s="582" t="s">
        <v>1224</v>
      </c>
      <c r="ARX2207" s="582" t="s">
        <v>1224</v>
      </c>
      <c r="ARY2207" s="582" t="s">
        <v>1224</v>
      </c>
      <c r="ARZ2207" s="582" t="s">
        <v>1224</v>
      </c>
      <c r="ASA2207" s="582" t="s">
        <v>1224</v>
      </c>
      <c r="ASB2207" s="582" t="s">
        <v>1224</v>
      </c>
      <c r="ASC2207" s="582" t="s">
        <v>1224</v>
      </c>
      <c r="ASD2207" s="582" t="s">
        <v>1224</v>
      </c>
      <c r="ASE2207" s="582" t="s">
        <v>1224</v>
      </c>
      <c r="ASF2207" s="582" t="s">
        <v>1224</v>
      </c>
      <c r="ASG2207" s="582" t="s">
        <v>1224</v>
      </c>
      <c r="ASH2207" s="582" t="s">
        <v>1224</v>
      </c>
      <c r="ASI2207" s="582" t="s">
        <v>1224</v>
      </c>
      <c r="ASJ2207" s="582" t="s">
        <v>1224</v>
      </c>
      <c r="ASK2207" s="582" t="s">
        <v>1224</v>
      </c>
      <c r="ASL2207" s="582" t="s">
        <v>1224</v>
      </c>
      <c r="ASM2207" s="582" t="s">
        <v>1224</v>
      </c>
      <c r="ASN2207" s="582" t="s">
        <v>1224</v>
      </c>
      <c r="ASO2207" s="582" t="s">
        <v>1224</v>
      </c>
      <c r="ASP2207" s="582" t="s">
        <v>1224</v>
      </c>
      <c r="ASQ2207" s="582" t="s">
        <v>1224</v>
      </c>
      <c r="ASR2207" s="582" t="s">
        <v>1224</v>
      </c>
      <c r="ASS2207" s="582" t="s">
        <v>1224</v>
      </c>
      <c r="AST2207" s="582" t="s">
        <v>1224</v>
      </c>
      <c r="ASU2207" s="582" t="s">
        <v>1224</v>
      </c>
      <c r="ASV2207" s="582" t="s">
        <v>1224</v>
      </c>
      <c r="ASW2207" s="582" t="s">
        <v>1224</v>
      </c>
      <c r="ASX2207" s="582" t="s">
        <v>1224</v>
      </c>
      <c r="ASY2207" s="582" t="s">
        <v>1224</v>
      </c>
      <c r="ASZ2207" s="582" t="s">
        <v>1224</v>
      </c>
      <c r="ATA2207" s="582" t="s">
        <v>1224</v>
      </c>
      <c r="ATB2207" s="582" t="s">
        <v>1224</v>
      </c>
      <c r="ATC2207" s="582" t="s">
        <v>1224</v>
      </c>
      <c r="ATD2207" s="582" t="s">
        <v>1224</v>
      </c>
      <c r="ATE2207" s="582" t="s">
        <v>1224</v>
      </c>
      <c r="ATF2207" s="582" t="s">
        <v>1224</v>
      </c>
      <c r="ATG2207" s="582" t="s">
        <v>1224</v>
      </c>
      <c r="ATH2207" s="582" t="s">
        <v>1224</v>
      </c>
      <c r="ATI2207" s="582" t="s">
        <v>1224</v>
      </c>
      <c r="ATJ2207" s="582" t="s">
        <v>1224</v>
      </c>
      <c r="ATK2207" s="582" t="s">
        <v>1224</v>
      </c>
      <c r="ATL2207" s="582" t="s">
        <v>1224</v>
      </c>
      <c r="ATM2207" s="582" t="s">
        <v>1224</v>
      </c>
      <c r="ATN2207" s="582" t="s">
        <v>1224</v>
      </c>
      <c r="ATO2207" s="582" t="s">
        <v>1224</v>
      </c>
      <c r="ATP2207" s="582" t="s">
        <v>1224</v>
      </c>
      <c r="ATQ2207" s="582" t="s">
        <v>1224</v>
      </c>
      <c r="ATR2207" s="582" t="s">
        <v>1224</v>
      </c>
      <c r="ATS2207" s="582" t="s">
        <v>1224</v>
      </c>
      <c r="ATT2207" s="582" t="s">
        <v>1224</v>
      </c>
      <c r="ATU2207" s="582" t="s">
        <v>1224</v>
      </c>
      <c r="ATV2207" s="582" t="s">
        <v>1224</v>
      </c>
      <c r="ATW2207" s="582" t="s">
        <v>1224</v>
      </c>
      <c r="ATX2207" s="582" t="s">
        <v>1224</v>
      </c>
      <c r="ATY2207" s="582" t="s">
        <v>1224</v>
      </c>
      <c r="ATZ2207" s="582" t="s">
        <v>1224</v>
      </c>
      <c r="AUA2207" s="582" t="s">
        <v>1224</v>
      </c>
      <c r="AUB2207" s="582" t="s">
        <v>1224</v>
      </c>
      <c r="AUC2207" s="582" t="s">
        <v>1224</v>
      </c>
      <c r="AUD2207" s="582" t="s">
        <v>1224</v>
      </c>
      <c r="AUE2207" s="582" t="s">
        <v>1224</v>
      </c>
      <c r="AUF2207" s="582" t="s">
        <v>1224</v>
      </c>
      <c r="AUG2207" s="582" t="s">
        <v>1224</v>
      </c>
      <c r="AUH2207" s="582" t="s">
        <v>1224</v>
      </c>
      <c r="AUI2207" s="582" t="s">
        <v>1224</v>
      </c>
      <c r="AUJ2207" s="582" t="s">
        <v>1224</v>
      </c>
      <c r="AUK2207" s="582" t="s">
        <v>1224</v>
      </c>
      <c r="AUL2207" s="582" t="s">
        <v>1224</v>
      </c>
      <c r="AUM2207" s="582" t="s">
        <v>1224</v>
      </c>
      <c r="AUN2207" s="582" t="s">
        <v>1224</v>
      </c>
      <c r="AUO2207" s="582" t="s">
        <v>1224</v>
      </c>
      <c r="AUP2207" s="582" t="s">
        <v>1224</v>
      </c>
      <c r="AUQ2207" s="582" t="s">
        <v>1224</v>
      </c>
      <c r="AUR2207" s="582" t="s">
        <v>1224</v>
      </c>
      <c r="AUS2207" s="582" t="s">
        <v>1224</v>
      </c>
      <c r="AUT2207" s="582" t="s">
        <v>1224</v>
      </c>
      <c r="AUU2207" s="582" t="s">
        <v>1224</v>
      </c>
      <c r="AUV2207" s="582" t="s">
        <v>1224</v>
      </c>
      <c r="AUW2207" s="582" t="s">
        <v>1224</v>
      </c>
      <c r="AUX2207" s="582" t="s">
        <v>1224</v>
      </c>
      <c r="AUY2207" s="582" t="s">
        <v>1224</v>
      </c>
      <c r="AUZ2207" s="582" t="s">
        <v>1224</v>
      </c>
      <c r="AVA2207" s="582" t="s">
        <v>1224</v>
      </c>
      <c r="AVB2207" s="582" t="s">
        <v>1224</v>
      </c>
      <c r="AVC2207" s="582" t="s">
        <v>1224</v>
      </c>
      <c r="AVD2207" s="582" t="s">
        <v>1224</v>
      </c>
      <c r="AVE2207" s="582" t="s">
        <v>1224</v>
      </c>
      <c r="AVF2207" s="582" t="s">
        <v>1224</v>
      </c>
      <c r="AVG2207" s="582" t="s">
        <v>1224</v>
      </c>
      <c r="AVH2207" s="582" t="s">
        <v>1224</v>
      </c>
      <c r="AVI2207" s="582" t="s">
        <v>1224</v>
      </c>
      <c r="AVJ2207" s="582" t="s">
        <v>1224</v>
      </c>
      <c r="AVK2207" s="582" t="s">
        <v>1224</v>
      </c>
      <c r="AVL2207" s="582" t="s">
        <v>1224</v>
      </c>
      <c r="AVM2207" s="582" t="s">
        <v>1224</v>
      </c>
      <c r="AVN2207" s="582" t="s">
        <v>1224</v>
      </c>
      <c r="AVO2207" s="582" t="s">
        <v>1224</v>
      </c>
      <c r="AVP2207" s="582" t="s">
        <v>1224</v>
      </c>
      <c r="AVQ2207" s="582" t="s">
        <v>1224</v>
      </c>
      <c r="AVR2207" s="582" t="s">
        <v>1224</v>
      </c>
      <c r="AVS2207" s="582" t="s">
        <v>1224</v>
      </c>
      <c r="AVT2207" s="582" t="s">
        <v>1224</v>
      </c>
      <c r="AVU2207" s="582" t="s">
        <v>1224</v>
      </c>
      <c r="AVV2207" s="582" t="s">
        <v>1224</v>
      </c>
      <c r="AVW2207" s="582" t="s">
        <v>1224</v>
      </c>
      <c r="AVX2207" s="582" t="s">
        <v>1224</v>
      </c>
      <c r="AVY2207" s="582" t="s">
        <v>1224</v>
      </c>
      <c r="AVZ2207" s="582" t="s">
        <v>1224</v>
      </c>
      <c r="AWA2207" s="582" t="s">
        <v>1224</v>
      </c>
      <c r="AWB2207" s="582" t="s">
        <v>1224</v>
      </c>
      <c r="AWC2207" s="582" t="s">
        <v>1224</v>
      </c>
      <c r="AWD2207" s="582" t="s">
        <v>1224</v>
      </c>
      <c r="AWE2207" s="582" t="s">
        <v>1224</v>
      </c>
      <c r="AWF2207" s="582" t="s">
        <v>1224</v>
      </c>
      <c r="AWG2207" s="582" t="s">
        <v>1224</v>
      </c>
      <c r="AWH2207" s="582" t="s">
        <v>1224</v>
      </c>
      <c r="AWI2207" s="582" t="s">
        <v>1224</v>
      </c>
      <c r="AWJ2207" s="582" t="s">
        <v>1224</v>
      </c>
      <c r="AWK2207" s="582" t="s">
        <v>1224</v>
      </c>
      <c r="AWL2207" s="582" t="s">
        <v>1224</v>
      </c>
      <c r="AWM2207" s="582" t="s">
        <v>1224</v>
      </c>
      <c r="AWN2207" s="582" t="s">
        <v>1224</v>
      </c>
      <c r="AWO2207" s="582" t="s">
        <v>1224</v>
      </c>
      <c r="AWP2207" s="582" t="s">
        <v>1224</v>
      </c>
      <c r="AWQ2207" s="582" t="s">
        <v>1224</v>
      </c>
      <c r="AWR2207" s="582" t="s">
        <v>1224</v>
      </c>
      <c r="AWS2207" s="582" t="s">
        <v>1224</v>
      </c>
      <c r="AWT2207" s="582" t="s">
        <v>1224</v>
      </c>
      <c r="AWU2207" s="582" t="s">
        <v>1224</v>
      </c>
      <c r="AWV2207" s="582" t="s">
        <v>1224</v>
      </c>
      <c r="AWW2207" s="582" t="s">
        <v>1224</v>
      </c>
      <c r="AWX2207" s="582" t="s">
        <v>1224</v>
      </c>
      <c r="AWY2207" s="582" t="s">
        <v>1224</v>
      </c>
      <c r="AWZ2207" s="582" t="s">
        <v>1224</v>
      </c>
      <c r="AXA2207" s="582" t="s">
        <v>1224</v>
      </c>
      <c r="AXB2207" s="582" t="s">
        <v>1224</v>
      </c>
      <c r="AXC2207" s="582" t="s">
        <v>1224</v>
      </c>
      <c r="AXD2207" s="582" t="s">
        <v>1224</v>
      </c>
      <c r="AXE2207" s="582" t="s">
        <v>1224</v>
      </c>
      <c r="AXF2207" s="582" t="s">
        <v>1224</v>
      </c>
      <c r="AXG2207" s="582" t="s">
        <v>1224</v>
      </c>
      <c r="AXH2207" s="582" t="s">
        <v>1224</v>
      </c>
      <c r="AXI2207" s="582" t="s">
        <v>1224</v>
      </c>
      <c r="AXJ2207" s="582" t="s">
        <v>1224</v>
      </c>
      <c r="AXK2207" s="582" t="s">
        <v>1224</v>
      </c>
      <c r="AXL2207" s="582" t="s">
        <v>1224</v>
      </c>
      <c r="AXM2207" s="582" t="s">
        <v>1224</v>
      </c>
      <c r="AXN2207" s="582" t="s">
        <v>1224</v>
      </c>
      <c r="AXO2207" s="582" t="s">
        <v>1224</v>
      </c>
      <c r="AXP2207" s="582" t="s">
        <v>1224</v>
      </c>
      <c r="AXQ2207" s="582" t="s">
        <v>1224</v>
      </c>
      <c r="AXR2207" s="582" t="s">
        <v>1224</v>
      </c>
      <c r="AXS2207" s="582" t="s">
        <v>1224</v>
      </c>
      <c r="AXT2207" s="582" t="s">
        <v>1224</v>
      </c>
      <c r="AXU2207" s="582" t="s">
        <v>1224</v>
      </c>
      <c r="AXV2207" s="582" t="s">
        <v>1224</v>
      </c>
      <c r="AXW2207" s="582" t="s">
        <v>1224</v>
      </c>
      <c r="AXX2207" s="582" t="s">
        <v>1224</v>
      </c>
      <c r="AXY2207" s="582" t="s">
        <v>1224</v>
      </c>
      <c r="AXZ2207" s="582" t="s">
        <v>1224</v>
      </c>
      <c r="AYA2207" s="582" t="s">
        <v>1224</v>
      </c>
      <c r="AYB2207" s="582" t="s">
        <v>1224</v>
      </c>
      <c r="AYC2207" s="582" t="s">
        <v>1224</v>
      </c>
      <c r="AYD2207" s="582" t="s">
        <v>1224</v>
      </c>
      <c r="AYE2207" s="582" t="s">
        <v>1224</v>
      </c>
      <c r="AYF2207" s="582" t="s">
        <v>1224</v>
      </c>
      <c r="AYG2207" s="582" t="s">
        <v>1224</v>
      </c>
      <c r="AYH2207" s="582" t="s">
        <v>1224</v>
      </c>
      <c r="AYI2207" s="582" t="s">
        <v>1224</v>
      </c>
      <c r="AYJ2207" s="582" t="s">
        <v>1224</v>
      </c>
      <c r="AYK2207" s="582" t="s">
        <v>1224</v>
      </c>
      <c r="AYL2207" s="582" t="s">
        <v>1224</v>
      </c>
      <c r="AYM2207" s="582" t="s">
        <v>1224</v>
      </c>
      <c r="AYN2207" s="582" t="s">
        <v>1224</v>
      </c>
      <c r="AYO2207" s="582" t="s">
        <v>1224</v>
      </c>
      <c r="AYP2207" s="582" t="s">
        <v>1224</v>
      </c>
      <c r="AYQ2207" s="582" t="s">
        <v>1224</v>
      </c>
      <c r="AYR2207" s="582" t="s">
        <v>1224</v>
      </c>
      <c r="AYS2207" s="582" t="s">
        <v>1224</v>
      </c>
      <c r="AYT2207" s="582" t="s">
        <v>1224</v>
      </c>
      <c r="AYU2207" s="582" t="s">
        <v>1224</v>
      </c>
      <c r="AYV2207" s="582" t="s">
        <v>1224</v>
      </c>
      <c r="AYW2207" s="582" t="s">
        <v>1224</v>
      </c>
      <c r="AYX2207" s="582" t="s">
        <v>1224</v>
      </c>
      <c r="AYY2207" s="582" t="s">
        <v>1224</v>
      </c>
      <c r="AYZ2207" s="582" t="s">
        <v>1224</v>
      </c>
      <c r="AZA2207" s="582" t="s">
        <v>1224</v>
      </c>
      <c r="AZB2207" s="582" t="s">
        <v>1224</v>
      </c>
      <c r="AZC2207" s="582" t="s">
        <v>1224</v>
      </c>
      <c r="AZD2207" s="582" t="s">
        <v>1224</v>
      </c>
      <c r="AZE2207" s="582" t="s">
        <v>1224</v>
      </c>
      <c r="AZF2207" s="582" t="s">
        <v>1224</v>
      </c>
      <c r="AZG2207" s="582" t="s">
        <v>1224</v>
      </c>
      <c r="AZH2207" s="582" t="s">
        <v>1224</v>
      </c>
      <c r="AZI2207" s="582" t="s">
        <v>1224</v>
      </c>
      <c r="AZJ2207" s="582" t="s">
        <v>1224</v>
      </c>
      <c r="AZK2207" s="582" t="s">
        <v>1224</v>
      </c>
      <c r="AZL2207" s="582" t="s">
        <v>1224</v>
      </c>
      <c r="AZM2207" s="582" t="s">
        <v>1224</v>
      </c>
      <c r="AZN2207" s="582" t="s">
        <v>1224</v>
      </c>
      <c r="AZO2207" s="582" t="s">
        <v>1224</v>
      </c>
      <c r="AZP2207" s="582" t="s">
        <v>1224</v>
      </c>
      <c r="AZQ2207" s="582" t="s">
        <v>1224</v>
      </c>
      <c r="AZR2207" s="582" t="s">
        <v>1224</v>
      </c>
      <c r="AZS2207" s="582" t="s">
        <v>1224</v>
      </c>
      <c r="AZT2207" s="582" t="s">
        <v>1224</v>
      </c>
      <c r="AZU2207" s="582" t="s">
        <v>1224</v>
      </c>
      <c r="AZV2207" s="582" t="s">
        <v>1224</v>
      </c>
      <c r="AZW2207" s="582" t="s">
        <v>1224</v>
      </c>
      <c r="AZX2207" s="582" t="s">
        <v>1224</v>
      </c>
      <c r="AZY2207" s="582" t="s">
        <v>1224</v>
      </c>
      <c r="AZZ2207" s="582" t="s">
        <v>1224</v>
      </c>
      <c r="BAA2207" s="582" t="s">
        <v>1224</v>
      </c>
      <c r="BAB2207" s="582" t="s">
        <v>1224</v>
      </c>
      <c r="BAC2207" s="582" t="s">
        <v>1224</v>
      </c>
      <c r="BAD2207" s="582" t="s">
        <v>1224</v>
      </c>
      <c r="BAE2207" s="582" t="s">
        <v>1224</v>
      </c>
      <c r="BAF2207" s="582" t="s">
        <v>1224</v>
      </c>
      <c r="BAG2207" s="582" t="s">
        <v>1224</v>
      </c>
      <c r="BAH2207" s="582" t="s">
        <v>1224</v>
      </c>
      <c r="BAI2207" s="582" t="s">
        <v>1224</v>
      </c>
      <c r="BAJ2207" s="582" t="s">
        <v>1224</v>
      </c>
      <c r="BAK2207" s="582" t="s">
        <v>1224</v>
      </c>
      <c r="BAL2207" s="582" t="s">
        <v>1224</v>
      </c>
      <c r="BAM2207" s="582" t="s">
        <v>1224</v>
      </c>
      <c r="BAN2207" s="582" t="s">
        <v>1224</v>
      </c>
      <c r="BAO2207" s="582" t="s">
        <v>1224</v>
      </c>
      <c r="BAP2207" s="582" t="s">
        <v>1224</v>
      </c>
      <c r="BAQ2207" s="582" t="s">
        <v>1224</v>
      </c>
      <c r="BAR2207" s="582" t="s">
        <v>1224</v>
      </c>
      <c r="BAS2207" s="582" t="s">
        <v>1224</v>
      </c>
      <c r="BAT2207" s="582" t="s">
        <v>1224</v>
      </c>
      <c r="BAU2207" s="582" t="s">
        <v>1224</v>
      </c>
      <c r="BAV2207" s="582" t="s">
        <v>1224</v>
      </c>
      <c r="BAW2207" s="582" t="s">
        <v>1224</v>
      </c>
      <c r="BAX2207" s="582" t="s">
        <v>1224</v>
      </c>
      <c r="BAY2207" s="582" t="s">
        <v>1224</v>
      </c>
      <c r="BAZ2207" s="582" t="s">
        <v>1224</v>
      </c>
      <c r="BBA2207" s="582" t="s">
        <v>1224</v>
      </c>
      <c r="BBB2207" s="582" t="s">
        <v>1224</v>
      </c>
      <c r="BBC2207" s="582" t="s">
        <v>1224</v>
      </c>
      <c r="BBD2207" s="582" t="s">
        <v>1224</v>
      </c>
      <c r="BBE2207" s="582" t="s">
        <v>1224</v>
      </c>
      <c r="BBF2207" s="582" t="s">
        <v>1224</v>
      </c>
      <c r="BBG2207" s="582" t="s">
        <v>1224</v>
      </c>
      <c r="BBH2207" s="582" t="s">
        <v>1224</v>
      </c>
      <c r="BBI2207" s="582" t="s">
        <v>1224</v>
      </c>
      <c r="BBJ2207" s="582" t="s">
        <v>1224</v>
      </c>
      <c r="BBK2207" s="582" t="s">
        <v>1224</v>
      </c>
      <c r="BBL2207" s="582" t="s">
        <v>1224</v>
      </c>
      <c r="BBM2207" s="582" t="s">
        <v>1224</v>
      </c>
      <c r="BBN2207" s="582" t="s">
        <v>1224</v>
      </c>
      <c r="BBO2207" s="582" t="s">
        <v>1224</v>
      </c>
      <c r="BBP2207" s="582" t="s">
        <v>1224</v>
      </c>
      <c r="BBQ2207" s="582" t="s">
        <v>1224</v>
      </c>
      <c r="BBR2207" s="582" t="s">
        <v>1224</v>
      </c>
      <c r="BBS2207" s="582" t="s">
        <v>1224</v>
      </c>
      <c r="BBT2207" s="582" t="s">
        <v>1224</v>
      </c>
      <c r="BBU2207" s="582" t="s">
        <v>1224</v>
      </c>
      <c r="BBV2207" s="582" t="s">
        <v>1224</v>
      </c>
      <c r="BBW2207" s="582" t="s">
        <v>1224</v>
      </c>
      <c r="BBX2207" s="582" t="s">
        <v>1224</v>
      </c>
      <c r="BBY2207" s="582" t="s">
        <v>1224</v>
      </c>
      <c r="BBZ2207" s="582" t="s">
        <v>1224</v>
      </c>
      <c r="BCA2207" s="582" t="s">
        <v>1224</v>
      </c>
      <c r="BCB2207" s="582" t="s">
        <v>1224</v>
      </c>
      <c r="BCC2207" s="582" t="s">
        <v>1224</v>
      </c>
      <c r="BCD2207" s="582" t="s">
        <v>1224</v>
      </c>
      <c r="BCE2207" s="582" t="s">
        <v>1224</v>
      </c>
      <c r="BCF2207" s="582" t="s">
        <v>1224</v>
      </c>
      <c r="BCG2207" s="582" t="s">
        <v>1224</v>
      </c>
      <c r="BCH2207" s="582" t="s">
        <v>1224</v>
      </c>
      <c r="BCI2207" s="582" t="s">
        <v>1224</v>
      </c>
      <c r="BCJ2207" s="582" t="s">
        <v>1224</v>
      </c>
      <c r="BCK2207" s="582" t="s">
        <v>1224</v>
      </c>
      <c r="BCL2207" s="582" t="s">
        <v>1224</v>
      </c>
      <c r="BCM2207" s="582" t="s">
        <v>1224</v>
      </c>
      <c r="BCN2207" s="582" t="s">
        <v>1224</v>
      </c>
      <c r="BCO2207" s="582" t="s">
        <v>1224</v>
      </c>
      <c r="BCP2207" s="582" t="s">
        <v>1224</v>
      </c>
      <c r="BCQ2207" s="582" t="s">
        <v>1224</v>
      </c>
      <c r="BCR2207" s="582" t="s">
        <v>1224</v>
      </c>
      <c r="BCS2207" s="582" t="s">
        <v>1224</v>
      </c>
      <c r="BCT2207" s="582" t="s">
        <v>1224</v>
      </c>
      <c r="BCU2207" s="582" t="s">
        <v>1224</v>
      </c>
      <c r="BCV2207" s="582" t="s">
        <v>1224</v>
      </c>
      <c r="BCW2207" s="582" t="s">
        <v>1224</v>
      </c>
      <c r="BCX2207" s="582" t="s">
        <v>1224</v>
      </c>
      <c r="BCY2207" s="582" t="s">
        <v>1224</v>
      </c>
      <c r="BCZ2207" s="582" t="s">
        <v>1224</v>
      </c>
      <c r="BDA2207" s="582" t="s">
        <v>1224</v>
      </c>
      <c r="BDB2207" s="582" t="s">
        <v>1224</v>
      </c>
      <c r="BDC2207" s="582" t="s">
        <v>1224</v>
      </c>
      <c r="BDD2207" s="582" t="s">
        <v>1224</v>
      </c>
      <c r="BDE2207" s="582" t="s">
        <v>1224</v>
      </c>
      <c r="BDF2207" s="582" t="s">
        <v>1224</v>
      </c>
      <c r="BDG2207" s="582" t="s">
        <v>1224</v>
      </c>
      <c r="BDH2207" s="582" t="s">
        <v>1224</v>
      </c>
      <c r="BDI2207" s="582" t="s">
        <v>1224</v>
      </c>
      <c r="BDJ2207" s="582" t="s">
        <v>1224</v>
      </c>
      <c r="BDK2207" s="582" t="s">
        <v>1224</v>
      </c>
      <c r="BDL2207" s="582" t="s">
        <v>1224</v>
      </c>
      <c r="BDM2207" s="582" t="s">
        <v>1224</v>
      </c>
      <c r="BDN2207" s="582" t="s">
        <v>1224</v>
      </c>
      <c r="BDO2207" s="582" t="s">
        <v>1224</v>
      </c>
      <c r="BDP2207" s="582" t="s">
        <v>1224</v>
      </c>
      <c r="BDQ2207" s="582" t="s">
        <v>1224</v>
      </c>
      <c r="BDR2207" s="582" t="s">
        <v>1224</v>
      </c>
      <c r="BDS2207" s="582" t="s">
        <v>1224</v>
      </c>
      <c r="BDT2207" s="582" t="s">
        <v>1224</v>
      </c>
      <c r="BDU2207" s="582" t="s">
        <v>1224</v>
      </c>
      <c r="BDV2207" s="582" t="s">
        <v>1224</v>
      </c>
      <c r="BDW2207" s="582" t="s">
        <v>1224</v>
      </c>
      <c r="BDX2207" s="582" t="s">
        <v>1224</v>
      </c>
      <c r="BDY2207" s="582" t="s">
        <v>1224</v>
      </c>
      <c r="BDZ2207" s="582" t="s">
        <v>1224</v>
      </c>
      <c r="BEA2207" s="582" t="s">
        <v>1224</v>
      </c>
      <c r="BEB2207" s="582" t="s">
        <v>1224</v>
      </c>
      <c r="BEC2207" s="582" t="s">
        <v>1224</v>
      </c>
      <c r="BED2207" s="582" t="s">
        <v>1224</v>
      </c>
      <c r="BEE2207" s="582" t="s">
        <v>1224</v>
      </c>
      <c r="BEF2207" s="582" t="s">
        <v>1224</v>
      </c>
      <c r="BEG2207" s="582" t="s">
        <v>1224</v>
      </c>
      <c r="BEH2207" s="582" t="s">
        <v>1224</v>
      </c>
      <c r="BEI2207" s="582" t="s">
        <v>1224</v>
      </c>
      <c r="BEJ2207" s="582" t="s">
        <v>1224</v>
      </c>
      <c r="BEK2207" s="582" t="s">
        <v>1224</v>
      </c>
      <c r="BEL2207" s="582" t="s">
        <v>1224</v>
      </c>
      <c r="BEM2207" s="582" t="s">
        <v>1224</v>
      </c>
      <c r="BEN2207" s="582" t="s">
        <v>1224</v>
      </c>
      <c r="BEO2207" s="582" t="s">
        <v>1224</v>
      </c>
      <c r="BEP2207" s="582" t="s">
        <v>1224</v>
      </c>
      <c r="BEQ2207" s="582" t="s">
        <v>1224</v>
      </c>
      <c r="BER2207" s="582" t="s">
        <v>1224</v>
      </c>
      <c r="BES2207" s="582" t="s">
        <v>1224</v>
      </c>
      <c r="BET2207" s="582" t="s">
        <v>1224</v>
      </c>
      <c r="BEU2207" s="582" t="s">
        <v>1224</v>
      </c>
      <c r="BEV2207" s="582" t="s">
        <v>1224</v>
      </c>
      <c r="BEW2207" s="582" t="s">
        <v>1224</v>
      </c>
      <c r="BEX2207" s="582" t="s">
        <v>1224</v>
      </c>
      <c r="BEY2207" s="582" t="s">
        <v>1224</v>
      </c>
      <c r="BEZ2207" s="582" t="s">
        <v>1224</v>
      </c>
      <c r="BFA2207" s="582" t="s">
        <v>1224</v>
      </c>
      <c r="BFB2207" s="582" t="s">
        <v>1224</v>
      </c>
      <c r="BFC2207" s="582" t="s">
        <v>1224</v>
      </c>
      <c r="BFD2207" s="582" t="s">
        <v>1224</v>
      </c>
      <c r="BFE2207" s="582" t="s">
        <v>1224</v>
      </c>
      <c r="BFF2207" s="582" t="s">
        <v>1224</v>
      </c>
      <c r="BFG2207" s="582" t="s">
        <v>1224</v>
      </c>
      <c r="BFH2207" s="582" t="s">
        <v>1224</v>
      </c>
      <c r="BFI2207" s="582" t="s">
        <v>1224</v>
      </c>
      <c r="BFJ2207" s="582" t="s">
        <v>1224</v>
      </c>
      <c r="BFK2207" s="582" t="s">
        <v>1224</v>
      </c>
      <c r="BFL2207" s="582" t="s">
        <v>1224</v>
      </c>
      <c r="BFM2207" s="582" t="s">
        <v>1224</v>
      </c>
      <c r="BFN2207" s="582" t="s">
        <v>1224</v>
      </c>
      <c r="BFO2207" s="582" t="s">
        <v>1224</v>
      </c>
      <c r="BFP2207" s="582" t="s">
        <v>1224</v>
      </c>
      <c r="BFQ2207" s="582" t="s">
        <v>1224</v>
      </c>
      <c r="BFR2207" s="582" t="s">
        <v>1224</v>
      </c>
      <c r="BFS2207" s="582" t="s">
        <v>1224</v>
      </c>
      <c r="BFT2207" s="582" t="s">
        <v>1224</v>
      </c>
      <c r="BFU2207" s="582" t="s">
        <v>1224</v>
      </c>
      <c r="BFV2207" s="582" t="s">
        <v>1224</v>
      </c>
      <c r="BFW2207" s="582" t="s">
        <v>1224</v>
      </c>
      <c r="BFX2207" s="582" t="s">
        <v>1224</v>
      </c>
      <c r="BFY2207" s="582" t="s">
        <v>1224</v>
      </c>
      <c r="BFZ2207" s="582" t="s">
        <v>1224</v>
      </c>
      <c r="BGA2207" s="582" t="s">
        <v>1224</v>
      </c>
      <c r="BGB2207" s="582" t="s">
        <v>1224</v>
      </c>
      <c r="BGC2207" s="582" t="s">
        <v>1224</v>
      </c>
      <c r="BGD2207" s="582" t="s">
        <v>1224</v>
      </c>
      <c r="BGE2207" s="582" t="s">
        <v>1224</v>
      </c>
      <c r="BGF2207" s="582" t="s">
        <v>1224</v>
      </c>
      <c r="BGG2207" s="582" t="s">
        <v>1224</v>
      </c>
      <c r="BGH2207" s="582" t="s">
        <v>1224</v>
      </c>
      <c r="BGI2207" s="582" t="s">
        <v>1224</v>
      </c>
      <c r="BGJ2207" s="582" t="s">
        <v>1224</v>
      </c>
      <c r="BGK2207" s="582" t="s">
        <v>1224</v>
      </c>
      <c r="BGL2207" s="582" t="s">
        <v>1224</v>
      </c>
      <c r="BGM2207" s="582" t="s">
        <v>1224</v>
      </c>
      <c r="BGN2207" s="582" t="s">
        <v>1224</v>
      </c>
      <c r="BGO2207" s="582" t="s">
        <v>1224</v>
      </c>
      <c r="BGP2207" s="582" t="s">
        <v>1224</v>
      </c>
      <c r="BGQ2207" s="582" t="s">
        <v>1224</v>
      </c>
      <c r="BGR2207" s="582" t="s">
        <v>1224</v>
      </c>
      <c r="BGS2207" s="582" t="s">
        <v>1224</v>
      </c>
      <c r="BGT2207" s="582" t="s">
        <v>1224</v>
      </c>
      <c r="BGU2207" s="582" t="s">
        <v>1224</v>
      </c>
      <c r="BGV2207" s="582" t="s">
        <v>1224</v>
      </c>
      <c r="BGW2207" s="582" t="s">
        <v>1224</v>
      </c>
      <c r="BGX2207" s="582" t="s">
        <v>1224</v>
      </c>
      <c r="BGY2207" s="582" t="s">
        <v>1224</v>
      </c>
      <c r="BGZ2207" s="582" t="s">
        <v>1224</v>
      </c>
      <c r="BHA2207" s="582" t="s">
        <v>1224</v>
      </c>
      <c r="BHB2207" s="582" t="s">
        <v>1224</v>
      </c>
      <c r="BHC2207" s="582" t="s">
        <v>1224</v>
      </c>
      <c r="BHD2207" s="582" t="s">
        <v>1224</v>
      </c>
      <c r="BHE2207" s="582" t="s">
        <v>1224</v>
      </c>
      <c r="BHF2207" s="582" t="s">
        <v>1224</v>
      </c>
      <c r="BHG2207" s="582" t="s">
        <v>1224</v>
      </c>
      <c r="BHH2207" s="582" t="s">
        <v>1224</v>
      </c>
      <c r="BHI2207" s="582" t="s">
        <v>1224</v>
      </c>
      <c r="BHJ2207" s="582" t="s">
        <v>1224</v>
      </c>
      <c r="BHK2207" s="582" t="s">
        <v>1224</v>
      </c>
      <c r="BHL2207" s="582" t="s">
        <v>1224</v>
      </c>
      <c r="BHM2207" s="582" t="s">
        <v>1224</v>
      </c>
      <c r="BHN2207" s="582" t="s">
        <v>1224</v>
      </c>
      <c r="BHO2207" s="582" t="s">
        <v>1224</v>
      </c>
      <c r="BHP2207" s="582" t="s">
        <v>1224</v>
      </c>
      <c r="BHQ2207" s="582" t="s">
        <v>1224</v>
      </c>
      <c r="BHR2207" s="582" t="s">
        <v>1224</v>
      </c>
      <c r="BHS2207" s="582" t="s">
        <v>1224</v>
      </c>
      <c r="BHT2207" s="582" t="s">
        <v>1224</v>
      </c>
      <c r="BHU2207" s="582" t="s">
        <v>1224</v>
      </c>
      <c r="BHV2207" s="582" t="s">
        <v>1224</v>
      </c>
      <c r="BHW2207" s="582" t="s">
        <v>1224</v>
      </c>
      <c r="BHX2207" s="582" t="s">
        <v>1224</v>
      </c>
      <c r="BHY2207" s="582" t="s">
        <v>1224</v>
      </c>
      <c r="BHZ2207" s="582" t="s">
        <v>1224</v>
      </c>
      <c r="BIA2207" s="582" t="s">
        <v>1224</v>
      </c>
      <c r="BIB2207" s="582" t="s">
        <v>1224</v>
      </c>
      <c r="BIC2207" s="582" t="s">
        <v>1224</v>
      </c>
      <c r="BID2207" s="582" t="s">
        <v>1224</v>
      </c>
      <c r="BIE2207" s="582" t="s">
        <v>1224</v>
      </c>
      <c r="BIF2207" s="582" t="s">
        <v>1224</v>
      </c>
      <c r="BIG2207" s="582" t="s">
        <v>1224</v>
      </c>
      <c r="BIH2207" s="582" t="s">
        <v>1224</v>
      </c>
      <c r="BII2207" s="582" t="s">
        <v>1224</v>
      </c>
      <c r="BIJ2207" s="582" t="s">
        <v>1224</v>
      </c>
      <c r="BIK2207" s="582" t="s">
        <v>1224</v>
      </c>
      <c r="BIL2207" s="582" t="s">
        <v>1224</v>
      </c>
      <c r="BIM2207" s="582" t="s">
        <v>1224</v>
      </c>
      <c r="BIN2207" s="582" t="s">
        <v>1224</v>
      </c>
      <c r="BIO2207" s="582" t="s">
        <v>1224</v>
      </c>
      <c r="BIP2207" s="582" t="s">
        <v>1224</v>
      </c>
      <c r="BIQ2207" s="582" t="s">
        <v>1224</v>
      </c>
      <c r="BIR2207" s="582" t="s">
        <v>1224</v>
      </c>
      <c r="BIS2207" s="582" t="s">
        <v>1224</v>
      </c>
      <c r="BIT2207" s="582" t="s">
        <v>1224</v>
      </c>
      <c r="BIU2207" s="582" t="s">
        <v>1224</v>
      </c>
      <c r="BIV2207" s="582" t="s">
        <v>1224</v>
      </c>
      <c r="BIW2207" s="582" t="s">
        <v>1224</v>
      </c>
      <c r="BIX2207" s="582" t="s">
        <v>1224</v>
      </c>
      <c r="BIY2207" s="582" t="s">
        <v>1224</v>
      </c>
      <c r="BIZ2207" s="582" t="s">
        <v>1224</v>
      </c>
      <c r="BJA2207" s="582" t="s">
        <v>1224</v>
      </c>
      <c r="BJB2207" s="582" t="s">
        <v>1224</v>
      </c>
      <c r="BJC2207" s="582" t="s">
        <v>1224</v>
      </c>
      <c r="BJD2207" s="582" t="s">
        <v>1224</v>
      </c>
      <c r="BJE2207" s="582" t="s">
        <v>1224</v>
      </c>
      <c r="BJF2207" s="582" t="s">
        <v>1224</v>
      </c>
      <c r="BJG2207" s="582" t="s">
        <v>1224</v>
      </c>
      <c r="BJH2207" s="582" t="s">
        <v>1224</v>
      </c>
      <c r="BJI2207" s="582" t="s">
        <v>1224</v>
      </c>
      <c r="BJJ2207" s="582" t="s">
        <v>1224</v>
      </c>
      <c r="BJK2207" s="582" t="s">
        <v>1224</v>
      </c>
      <c r="BJL2207" s="582" t="s">
        <v>1224</v>
      </c>
      <c r="BJM2207" s="582" t="s">
        <v>1224</v>
      </c>
      <c r="BJN2207" s="582" t="s">
        <v>1224</v>
      </c>
      <c r="BJO2207" s="582" t="s">
        <v>1224</v>
      </c>
      <c r="BJP2207" s="582" t="s">
        <v>1224</v>
      </c>
      <c r="BJQ2207" s="582" t="s">
        <v>1224</v>
      </c>
      <c r="BJR2207" s="582" t="s">
        <v>1224</v>
      </c>
      <c r="BJS2207" s="582" t="s">
        <v>1224</v>
      </c>
      <c r="BJT2207" s="582" t="s">
        <v>1224</v>
      </c>
      <c r="BJU2207" s="582" t="s">
        <v>1224</v>
      </c>
      <c r="BJV2207" s="582" t="s">
        <v>1224</v>
      </c>
      <c r="BJW2207" s="582" t="s">
        <v>1224</v>
      </c>
      <c r="BJX2207" s="582" t="s">
        <v>1224</v>
      </c>
      <c r="BJY2207" s="582" t="s">
        <v>1224</v>
      </c>
      <c r="BJZ2207" s="582" t="s">
        <v>1224</v>
      </c>
      <c r="BKA2207" s="582" t="s">
        <v>1224</v>
      </c>
      <c r="BKB2207" s="582" t="s">
        <v>1224</v>
      </c>
      <c r="BKC2207" s="582" t="s">
        <v>1224</v>
      </c>
      <c r="BKD2207" s="582" t="s">
        <v>1224</v>
      </c>
      <c r="BKE2207" s="582" t="s">
        <v>1224</v>
      </c>
      <c r="BKF2207" s="582" t="s">
        <v>1224</v>
      </c>
      <c r="BKG2207" s="582" t="s">
        <v>1224</v>
      </c>
      <c r="BKH2207" s="582" t="s">
        <v>1224</v>
      </c>
      <c r="BKI2207" s="582" t="s">
        <v>1224</v>
      </c>
      <c r="BKJ2207" s="582" t="s">
        <v>1224</v>
      </c>
      <c r="BKK2207" s="582" t="s">
        <v>1224</v>
      </c>
      <c r="BKL2207" s="582" t="s">
        <v>1224</v>
      </c>
      <c r="BKM2207" s="582" t="s">
        <v>1224</v>
      </c>
      <c r="BKN2207" s="582" t="s">
        <v>1224</v>
      </c>
      <c r="BKO2207" s="582" t="s">
        <v>1224</v>
      </c>
      <c r="BKP2207" s="582" t="s">
        <v>1224</v>
      </c>
      <c r="BKQ2207" s="582" t="s">
        <v>1224</v>
      </c>
      <c r="BKR2207" s="582" t="s">
        <v>1224</v>
      </c>
      <c r="BKS2207" s="582" t="s">
        <v>1224</v>
      </c>
      <c r="BKT2207" s="582" t="s">
        <v>1224</v>
      </c>
      <c r="BKU2207" s="582" t="s">
        <v>1224</v>
      </c>
      <c r="BKV2207" s="582" t="s">
        <v>1224</v>
      </c>
      <c r="BKW2207" s="582" t="s">
        <v>1224</v>
      </c>
      <c r="BKX2207" s="582" t="s">
        <v>1224</v>
      </c>
      <c r="BKY2207" s="582" t="s">
        <v>1224</v>
      </c>
      <c r="BKZ2207" s="582" t="s">
        <v>1224</v>
      </c>
      <c r="BLA2207" s="582" t="s">
        <v>1224</v>
      </c>
      <c r="BLB2207" s="582" t="s">
        <v>1224</v>
      </c>
      <c r="BLC2207" s="582" t="s">
        <v>1224</v>
      </c>
      <c r="BLD2207" s="582" t="s">
        <v>1224</v>
      </c>
      <c r="BLE2207" s="582" t="s">
        <v>1224</v>
      </c>
      <c r="BLF2207" s="582" t="s">
        <v>1224</v>
      </c>
      <c r="BLG2207" s="582" t="s">
        <v>1224</v>
      </c>
      <c r="BLH2207" s="582" t="s">
        <v>1224</v>
      </c>
      <c r="BLI2207" s="582" t="s">
        <v>1224</v>
      </c>
      <c r="BLJ2207" s="582" t="s">
        <v>1224</v>
      </c>
      <c r="BLK2207" s="582" t="s">
        <v>1224</v>
      </c>
      <c r="BLL2207" s="582" t="s">
        <v>1224</v>
      </c>
      <c r="BLM2207" s="582" t="s">
        <v>1224</v>
      </c>
      <c r="BLN2207" s="582" t="s">
        <v>1224</v>
      </c>
      <c r="BLO2207" s="582" t="s">
        <v>1224</v>
      </c>
      <c r="BLP2207" s="582" t="s">
        <v>1224</v>
      </c>
      <c r="BLQ2207" s="582" t="s">
        <v>1224</v>
      </c>
      <c r="BLR2207" s="582" t="s">
        <v>1224</v>
      </c>
      <c r="BLS2207" s="582" t="s">
        <v>1224</v>
      </c>
      <c r="BLT2207" s="582" t="s">
        <v>1224</v>
      </c>
      <c r="BLU2207" s="582" t="s">
        <v>1224</v>
      </c>
      <c r="BLV2207" s="582" t="s">
        <v>1224</v>
      </c>
      <c r="BLW2207" s="582" t="s">
        <v>1224</v>
      </c>
      <c r="BLX2207" s="582" t="s">
        <v>1224</v>
      </c>
      <c r="BLY2207" s="582" t="s">
        <v>1224</v>
      </c>
      <c r="BLZ2207" s="582" t="s">
        <v>1224</v>
      </c>
      <c r="BMA2207" s="582" t="s">
        <v>1224</v>
      </c>
      <c r="BMB2207" s="582" t="s">
        <v>1224</v>
      </c>
      <c r="BMC2207" s="582" t="s">
        <v>1224</v>
      </c>
      <c r="BMD2207" s="582" t="s">
        <v>1224</v>
      </c>
      <c r="BME2207" s="582" t="s">
        <v>1224</v>
      </c>
      <c r="BMF2207" s="582" t="s">
        <v>1224</v>
      </c>
      <c r="BMG2207" s="582" t="s">
        <v>1224</v>
      </c>
      <c r="BMH2207" s="582" t="s">
        <v>1224</v>
      </c>
      <c r="BMI2207" s="582" t="s">
        <v>1224</v>
      </c>
      <c r="BMJ2207" s="582" t="s">
        <v>1224</v>
      </c>
      <c r="BMK2207" s="582" t="s">
        <v>1224</v>
      </c>
      <c r="BML2207" s="582" t="s">
        <v>1224</v>
      </c>
      <c r="BMM2207" s="582" t="s">
        <v>1224</v>
      </c>
      <c r="BMN2207" s="582" t="s">
        <v>1224</v>
      </c>
      <c r="BMO2207" s="582" t="s">
        <v>1224</v>
      </c>
      <c r="BMP2207" s="582" t="s">
        <v>1224</v>
      </c>
      <c r="BMQ2207" s="582" t="s">
        <v>1224</v>
      </c>
      <c r="BMR2207" s="582" t="s">
        <v>1224</v>
      </c>
      <c r="BMS2207" s="582" t="s">
        <v>1224</v>
      </c>
      <c r="BMT2207" s="582" t="s">
        <v>1224</v>
      </c>
      <c r="BMU2207" s="582" t="s">
        <v>1224</v>
      </c>
      <c r="BMV2207" s="582" t="s">
        <v>1224</v>
      </c>
      <c r="BMW2207" s="582" t="s">
        <v>1224</v>
      </c>
      <c r="BMX2207" s="582" t="s">
        <v>1224</v>
      </c>
      <c r="BMY2207" s="582" t="s">
        <v>1224</v>
      </c>
      <c r="BMZ2207" s="582" t="s">
        <v>1224</v>
      </c>
      <c r="BNA2207" s="582" t="s">
        <v>1224</v>
      </c>
      <c r="BNB2207" s="582" t="s">
        <v>1224</v>
      </c>
      <c r="BNC2207" s="582" t="s">
        <v>1224</v>
      </c>
      <c r="BND2207" s="582" t="s">
        <v>1224</v>
      </c>
      <c r="BNE2207" s="582" t="s">
        <v>1224</v>
      </c>
      <c r="BNF2207" s="582" t="s">
        <v>1224</v>
      </c>
      <c r="BNG2207" s="582" t="s">
        <v>1224</v>
      </c>
      <c r="BNH2207" s="582" t="s">
        <v>1224</v>
      </c>
      <c r="BNI2207" s="582" t="s">
        <v>1224</v>
      </c>
      <c r="BNJ2207" s="582" t="s">
        <v>1224</v>
      </c>
      <c r="BNK2207" s="582" t="s">
        <v>1224</v>
      </c>
      <c r="BNL2207" s="582" t="s">
        <v>1224</v>
      </c>
      <c r="BNM2207" s="582" t="s">
        <v>1224</v>
      </c>
      <c r="BNN2207" s="582" t="s">
        <v>1224</v>
      </c>
      <c r="BNO2207" s="582" t="s">
        <v>1224</v>
      </c>
      <c r="BNP2207" s="582" t="s">
        <v>1224</v>
      </c>
      <c r="BNQ2207" s="582" t="s">
        <v>1224</v>
      </c>
      <c r="BNR2207" s="582" t="s">
        <v>1224</v>
      </c>
      <c r="BNS2207" s="582" t="s">
        <v>1224</v>
      </c>
      <c r="BNT2207" s="582" t="s">
        <v>1224</v>
      </c>
      <c r="BNU2207" s="582" t="s">
        <v>1224</v>
      </c>
      <c r="BNV2207" s="582" t="s">
        <v>1224</v>
      </c>
      <c r="BNW2207" s="582" t="s">
        <v>1224</v>
      </c>
      <c r="BNX2207" s="582" t="s">
        <v>1224</v>
      </c>
      <c r="BNY2207" s="582" t="s">
        <v>1224</v>
      </c>
      <c r="BNZ2207" s="582" t="s">
        <v>1224</v>
      </c>
      <c r="BOA2207" s="582" t="s">
        <v>1224</v>
      </c>
      <c r="BOB2207" s="582" t="s">
        <v>1224</v>
      </c>
      <c r="BOC2207" s="582" t="s">
        <v>1224</v>
      </c>
      <c r="BOD2207" s="582" t="s">
        <v>1224</v>
      </c>
      <c r="BOE2207" s="582" t="s">
        <v>1224</v>
      </c>
      <c r="BOF2207" s="582" t="s">
        <v>1224</v>
      </c>
      <c r="BOG2207" s="582" t="s">
        <v>1224</v>
      </c>
      <c r="BOH2207" s="582" t="s">
        <v>1224</v>
      </c>
      <c r="BOI2207" s="582" t="s">
        <v>1224</v>
      </c>
      <c r="BOJ2207" s="582" t="s">
        <v>1224</v>
      </c>
      <c r="BOK2207" s="582" t="s">
        <v>1224</v>
      </c>
      <c r="BOL2207" s="582" t="s">
        <v>1224</v>
      </c>
      <c r="BOM2207" s="582" t="s">
        <v>1224</v>
      </c>
      <c r="BON2207" s="582" t="s">
        <v>1224</v>
      </c>
      <c r="BOO2207" s="582" t="s">
        <v>1224</v>
      </c>
      <c r="BOP2207" s="582" t="s">
        <v>1224</v>
      </c>
      <c r="BOQ2207" s="582" t="s">
        <v>1224</v>
      </c>
      <c r="BOR2207" s="582" t="s">
        <v>1224</v>
      </c>
      <c r="BOS2207" s="582" t="s">
        <v>1224</v>
      </c>
      <c r="BOT2207" s="582" t="s">
        <v>1224</v>
      </c>
      <c r="BOU2207" s="582" t="s">
        <v>1224</v>
      </c>
      <c r="BOV2207" s="582" t="s">
        <v>1224</v>
      </c>
      <c r="BOW2207" s="582" t="s">
        <v>1224</v>
      </c>
      <c r="BOX2207" s="582" t="s">
        <v>1224</v>
      </c>
      <c r="BOY2207" s="582" t="s">
        <v>1224</v>
      </c>
      <c r="BOZ2207" s="582" t="s">
        <v>1224</v>
      </c>
      <c r="BPA2207" s="582" t="s">
        <v>1224</v>
      </c>
      <c r="BPB2207" s="582" t="s">
        <v>1224</v>
      </c>
      <c r="BPC2207" s="582" t="s">
        <v>1224</v>
      </c>
      <c r="BPD2207" s="582" t="s">
        <v>1224</v>
      </c>
      <c r="BPE2207" s="582" t="s">
        <v>1224</v>
      </c>
      <c r="BPF2207" s="582" t="s">
        <v>1224</v>
      </c>
      <c r="BPG2207" s="582" t="s">
        <v>1224</v>
      </c>
      <c r="BPH2207" s="582" t="s">
        <v>1224</v>
      </c>
      <c r="BPI2207" s="582" t="s">
        <v>1224</v>
      </c>
      <c r="BPJ2207" s="582" t="s">
        <v>1224</v>
      </c>
      <c r="BPK2207" s="582" t="s">
        <v>1224</v>
      </c>
      <c r="BPL2207" s="582" t="s">
        <v>1224</v>
      </c>
      <c r="BPM2207" s="582" t="s">
        <v>1224</v>
      </c>
      <c r="BPN2207" s="582" t="s">
        <v>1224</v>
      </c>
      <c r="BPO2207" s="582" t="s">
        <v>1224</v>
      </c>
      <c r="BPP2207" s="582" t="s">
        <v>1224</v>
      </c>
      <c r="BPQ2207" s="582" t="s">
        <v>1224</v>
      </c>
      <c r="BPR2207" s="582" t="s">
        <v>1224</v>
      </c>
      <c r="BPS2207" s="582" t="s">
        <v>1224</v>
      </c>
      <c r="BPT2207" s="582" t="s">
        <v>1224</v>
      </c>
      <c r="BPU2207" s="582" t="s">
        <v>1224</v>
      </c>
      <c r="BPV2207" s="582" t="s">
        <v>1224</v>
      </c>
      <c r="BPW2207" s="582" t="s">
        <v>1224</v>
      </c>
      <c r="BPX2207" s="582" t="s">
        <v>1224</v>
      </c>
      <c r="BPY2207" s="582" t="s">
        <v>1224</v>
      </c>
      <c r="BPZ2207" s="582" t="s">
        <v>1224</v>
      </c>
      <c r="BQA2207" s="582" t="s">
        <v>1224</v>
      </c>
      <c r="BQB2207" s="582" t="s">
        <v>1224</v>
      </c>
      <c r="BQC2207" s="582" t="s">
        <v>1224</v>
      </c>
      <c r="BQD2207" s="582" t="s">
        <v>1224</v>
      </c>
      <c r="BQE2207" s="582" t="s">
        <v>1224</v>
      </c>
      <c r="BQF2207" s="582" t="s">
        <v>1224</v>
      </c>
      <c r="BQG2207" s="582" t="s">
        <v>1224</v>
      </c>
      <c r="BQH2207" s="582" t="s">
        <v>1224</v>
      </c>
      <c r="BQI2207" s="582" t="s">
        <v>1224</v>
      </c>
      <c r="BQJ2207" s="582" t="s">
        <v>1224</v>
      </c>
      <c r="BQK2207" s="582" t="s">
        <v>1224</v>
      </c>
      <c r="BQL2207" s="582" t="s">
        <v>1224</v>
      </c>
      <c r="BQM2207" s="582" t="s">
        <v>1224</v>
      </c>
      <c r="BQN2207" s="582" t="s">
        <v>1224</v>
      </c>
      <c r="BQO2207" s="582" t="s">
        <v>1224</v>
      </c>
      <c r="BQP2207" s="582" t="s">
        <v>1224</v>
      </c>
      <c r="BQQ2207" s="582" t="s">
        <v>1224</v>
      </c>
      <c r="BQR2207" s="582" t="s">
        <v>1224</v>
      </c>
      <c r="BQS2207" s="582" t="s">
        <v>1224</v>
      </c>
      <c r="BQT2207" s="582" t="s">
        <v>1224</v>
      </c>
      <c r="BQU2207" s="582" t="s">
        <v>1224</v>
      </c>
      <c r="BQV2207" s="582" t="s">
        <v>1224</v>
      </c>
      <c r="BQW2207" s="582" t="s">
        <v>1224</v>
      </c>
      <c r="BQX2207" s="582" t="s">
        <v>1224</v>
      </c>
      <c r="BQY2207" s="582" t="s">
        <v>1224</v>
      </c>
      <c r="BQZ2207" s="582" t="s">
        <v>1224</v>
      </c>
      <c r="BRA2207" s="582" t="s">
        <v>1224</v>
      </c>
      <c r="BRB2207" s="582" t="s">
        <v>1224</v>
      </c>
      <c r="BRC2207" s="582" t="s">
        <v>1224</v>
      </c>
      <c r="BRD2207" s="582" t="s">
        <v>1224</v>
      </c>
      <c r="BRE2207" s="582" t="s">
        <v>1224</v>
      </c>
      <c r="BRF2207" s="582" t="s">
        <v>1224</v>
      </c>
      <c r="BRG2207" s="582" t="s">
        <v>1224</v>
      </c>
      <c r="BRH2207" s="582" t="s">
        <v>1224</v>
      </c>
      <c r="BRI2207" s="582" t="s">
        <v>1224</v>
      </c>
      <c r="BRJ2207" s="582" t="s">
        <v>1224</v>
      </c>
      <c r="BRK2207" s="582" t="s">
        <v>1224</v>
      </c>
      <c r="BRL2207" s="582" t="s">
        <v>1224</v>
      </c>
      <c r="BRM2207" s="582" t="s">
        <v>1224</v>
      </c>
      <c r="BRN2207" s="582" t="s">
        <v>1224</v>
      </c>
      <c r="BRO2207" s="582" t="s">
        <v>1224</v>
      </c>
      <c r="BRP2207" s="582" t="s">
        <v>1224</v>
      </c>
      <c r="BRQ2207" s="582" t="s">
        <v>1224</v>
      </c>
      <c r="BRR2207" s="582" t="s">
        <v>1224</v>
      </c>
      <c r="BRS2207" s="582" t="s">
        <v>1224</v>
      </c>
      <c r="BRT2207" s="582" t="s">
        <v>1224</v>
      </c>
      <c r="BRU2207" s="582" t="s">
        <v>1224</v>
      </c>
      <c r="BRV2207" s="582" t="s">
        <v>1224</v>
      </c>
      <c r="BRW2207" s="582" t="s">
        <v>1224</v>
      </c>
      <c r="BRX2207" s="582" t="s">
        <v>1224</v>
      </c>
      <c r="BRY2207" s="582" t="s">
        <v>1224</v>
      </c>
      <c r="BRZ2207" s="582" t="s">
        <v>1224</v>
      </c>
      <c r="BSA2207" s="582" t="s">
        <v>1224</v>
      </c>
      <c r="BSB2207" s="582" t="s">
        <v>1224</v>
      </c>
      <c r="BSC2207" s="582" t="s">
        <v>1224</v>
      </c>
      <c r="BSD2207" s="582" t="s">
        <v>1224</v>
      </c>
      <c r="BSE2207" s="582" t="s">
        <v>1224</v>
      </c>
      <c r="BSF2207" s="582" t="s">
        <v>1224</v>
      </c>
      <c r="BSG2207" s="582" t="s">
        <v>1224</v>
      </c>
      <c r="BSH2207" s="582" t="s">
        <v>1224</v>
      </c>
      <c r="BSI2207" s="582" t="s">
        <v>1224</v>
      </c>
      <c r="BSJ2207" s="582" t="s">
        <v>1224</v>
      </c>
      <c r="BSK2207" s="582" t="s">
        <v>1224</v>
      </c>
      <c r="BSL2207" s="582" t="s">
        <v>1224</v>
      </c>
      <c r="BSM2207" s="582" t="s">
        <v>1224</v>
      </c>
      <c r="BSN2207" s="582" t="s">
        <v>1224</v>
      </c>
      <c r="BSO2207" s="582" t="s">
        <v>1224</v>
      </c>
      <c r="BSP2207" s="582" t="s">
        <v>1224</v>
      </c>
      <c r="BSQ2207" s="582" t="s">
        <v>1224</v>
      </c>
      <c r="BSR2207" s="582" t="s">
        <v>1224</v>
      </c>
      <c r="BSS2207" s="582" t="s">
        <v>1224</v>
      </c>
      <c r="BST2207" s="582" t="s">
        <v>1224</v>
      </c>
      <c r="BSU2207" s="582" t="s">
        <v>1224</v>
      </c>
      <c r="BSV2207" s="582" t="s">
        <v>1224</v>
      </c>
      <c r="BSW2207" s="582" t="s">
        <v>1224</v>
      </c>
      <c r="BSX2207" s="582" t="s">
        <v>1224</v>
      </c>
      <c r="BSY2207" s="582" t="s">
        <v>1224</v>
      </c>
      <c r="BSZ2207" s="582" t="s">
        <v>1224</v>
      </c>
      <c r="BTA2207" s="582" t="s">
        <v>1224</v>
      </c>
      <c r="BTB2207" s="582" t="s">
        <v>1224</v>
      </c>
      <c r="BTC2207" s="582" t="s">
        <v>1224</v>
      </c>
      <c r="BTD2207" s="582" t="s">
        <v>1224</v>
      </c>
      <c r="BTE2207" s="582" t="s">
        <v>1224</v>
      </c>
      <c r="BTF2207" s="582" t="s">
        <v>1224</v>
      </c>
      <c r="BTG2207" s="582" t="s">
        <v>1224</v>
      </c>
      <c r="BTH2207" s="582" t="s">
        <v>1224</v>
      </c>
      <c r="BTI2207" s="582" t="s">
        <v>1224</v>
      </c>
      <c r="BTJ2207" s="582" t="s">
        <v>1224</v>
      </c>
      <c r="BTK2207" s="582" t="s">
        <v>1224</v>
      </c>
      <c r="BTL2207" s="582" t="s">
        <v>1224</v>
      </c>
      <c r="BTM2207" s="582" t="s">
        <v>1224</v>
      </c>
      <c r="BTN2207" s="582" t="s">
        <v>1224</v>
      </c>
      <c r="BTO2207" s="582" t="s">
        <v>1224</v>
      </c>
      <c r="BTP2207" s="582" t="s">
        <v>1224</v>
      </c>
      <c r="BTQ2207" s="582" t="s">
        <v>1224</v>
      </c>
      <c r="BTR2207" s="582" t="s">
        <v>1224</v>
      </c>
      <c r="BTS2207" s="582" t="s">
        <v>1224</v>
      </c>
      <c r="BTT2207" s="582" t="s">
        <v>1224</v>
      </c>
      <c r="BTU2207" s="582" t="s">
        <v>1224</v>
      </c>
      <c r="BTV2207" s="582" t="s">
        <v>1224</v>
      </c>
      <c r="BTW2207" s="582" t="s">
        <v>1224</v>
      </c>
      <c r="BTX2207" s="582" t="s">
        <v>1224</v>
      </c>
      <c r="BTY2207" s="582" t="s">
        <v>1224</v>
      </c>
      <c r="BTZ2207" s="582" t="s">
        <v>1224</v>
      </c>
      <c r="BUA2207" s="582" t="s">
        <v>1224</v>
      </c>
      <c r="BUB2207" s="582" t="s">
        <v>1224</v>
      </c>
      <c r="BUC2207" s="582" t="s">
        <v>1224</v>
      </c>
      <c r="BUD2207" s="582" t="s">
        <v>1224</v>
      </c>
      <c r="BUE2207" s="582" t="s">
        <v>1224</v>
      </c>
      <c r="BUF2207" s="582" t="s">
        <v>1224</v>
      </c>
      <c r="BUG2207" s="582" t="s">
        <v>1224</v>
      </c>
      <c r="BUH2207" s="582" t="s">
        <v>1224</v>
      </c>
      <c r="BUI2207" s="582" t="s">
        <v>1224</v>
      </c>
      <c r="BUJ2207" s="582" t="s">
        <v>1224</v>
      </c>
      <c r="BUK2207" s="582" t="s">
        <v>1224</v>
      </c>
      <c r="BUL2207" s="582" t="s">
        <v>1224</v>
      </c>
      <c r="BUM2207" s="582" t="s">
        <v>1224</v>
      </c>
      <c r="BUN2207" s="582" t="s">
        <v>1224</v>
      </c>
      <c r="BUO2207" s="582" t="s">
        <v>1224</v>
      </c>
      <c r="BUP2207" s="582" t="s">
        <v>1224</v>
      </c>
      <c r="BUQ2207" s="582" t="s">
        <v>1224</v>
      </c>
      <c r="BUR2207" s="582" t="s">
        <v>1224</v>
      </c>
      <c r="BUS2207" s="582" t="s">
        <v>1224</v>
      </c>
      <c r="BUT2207" s="582" t="s">
        <v>1224</v>
      </c>
      <c r="BUU2207" s="582" t="s">
        <v>1224</v>
      </c>
      <c r="BUV2207" s="582" t="s">
        <v>1224</v>
      </c>
      <c r="BUW2207" s="582" t="s">
        <v>1224</v>
      </c>
      <c r="BUX2207" s="582" t="s">
        <v>1224</v>
      </c>
      <c r="BUY2207" s="582" t="s">
        <v>1224</v>
      </c>
      <c r="BUZ2207" s="582" t="s">
        <v>1224</v>
      </c>
      <c r="BVA2207" s="582" t="s">
        <v>1224</v>
      </c>
      <c r="BVB2207" s="582" t="s">
        <v>1224</v>
      </c>
      <c r="BVC2207" s="582" t="s">
        <v>1224</v>
      </c>
      <c r="BVD2207" s="582" t="s">
        <v>1224</v>
      </c>
      <c r="BVE2207" s="582" t="s">
        <v>1224</v>
      </c>
      <c r="BVF2207" s="582" t="s">
        <v>1224</v>
      </c>
      <c r="BVG2207" s="582" t="s">
        <v>1224</v>
      </c>
      <c r="BVH2207" s="582" t="s">
        <v>1224</v>
      </c>
      <c r="BVI2207" s="582" t="s">
        <v>1224</v>
      </c>
      <c r="BVJ2207" s="582" t="s">
        <v>1224</v>
      </c>
      <c r="BVK2207" s="582" t="s">
        <v>1224</v>
      </c>
      <c r="BVL2207" s="582" t="s">
        <v>1224</v>
      </c>
      <c r="BVM2207" s="582" t="s">
        <v>1224</v>
      </c>
      <c r="BVN2207" s="582" t="s">
        <v>1224</v>
      </c>
      <c r="BVO2207" s="582" t="s">
        <v>1224</v>
      </c>
      <c r="BVP2207" s="582" t="s">
        <v>1224</v>
      </c>
      <c r="BVQ2207" s="582" t="s">
        <v>1224</v>
      </c>
      <c r="BVR2207" s="582" t="s">
        <v>1224</v>
      </c>
      <c r="BVS2207" s="582" t="s">
        <v>1224</v>
      </c>
      <c r="BVT2207" s="582" t="s">
        <v>1224</v>
      </c>
      <c r="BVU2207" s="582" t="s">
        <v>1224</v>
      </c>
      <c r="BVV2207" s="582" t="s">
        <v>1224</v>
      </c>
      <c r="BVW2207" s="582" t="s">
        <v>1224</v>
      </c>
      <c r="BVX2207" s="582" t="s">
        <v>1224</v>
      </c>
      <c r="BVY2207" s="582" t="s">
        <v>1224</v>
      </c>
      <c r="BVZ2207" s="582" t="s">
        <v>1224</v>
      </c>
      <c r="BWA2207" s="582" t="s">
        <v>1224</v>
      </c>
      <c r="BWB2207" s="582" t="s">
        <v>1224</v>
      </c>
      <c r="BWC2207" s="582" t="s">
        <v>1224</v>
      </c>
      <c r="BWD2207" s="582" t="s">
        <v>1224</v>
      </c>
      <c r="BWE2207" s="582" t="s">
        <v>1224</v>
      </c>
      <c r="BWF2207" s="582" t="s">
        <v>1224</v>
      </c>
      <c r="BWG2207" s="582" t="s">
        <v>1224</v>
      </c>
      <c r="BWH2207" s="582" t="s">
        <v>1224</v>
      </c>
      <c r="BWI2207" s="582" t="s">
        <v>1224</v>
      </c>
      <c r="BWJ2207" s="582" t="s">
        <v>1224</v>
      </c>
      <c r="BWK2207" s="582" t="s">
        <v>1224</v>
      </c>
      <c r="BWL2207" s="582" t="s">
        <v>1224</v>
      </c>
      <c r="BWM2207" s="582" t="s">
        <v>1224</v>
      </c>
      <c r="BWN2207" s="582" t="s">
        <v>1224</v>
      </c>
      <c r="BWO2207" s="582" t="s">
        <v>1224</v>
      </c>
      <c r="BWP2207" s="582" t="s">
        <v>1224</v>
      </c>
      <c r="BWQ2207" s="582" t="s">
        <v>1224</v>
      </c>
      <c r="BWR2207" s="582" t="s">
        <v>1224</v>
      </c>
      <c r="BWS2207" s="582" t="s">
        <v>1224</v>
      </c>
      <c r="BWT2207" s="582" t="s">
        <v>1224</v>
      </c>
      <c r="BWU2207" s="582" t="s">
        <v>1224</v>
      </c>
      <c r="BWV2207" s="582" t="s">
        <v>1224</v>
      </c>
      <c r="BWW2207" s="582" t="s">
        <v>1224</v>
      </c>
      <c r="BWX2207" s="582" t="s">
        <v>1224</v>
      </c>
      <c r="BWY2207" s="582" t="s">
        <v>1224</v>
      </c>
      <c r="BWZ2207" s="582" t="s">
        <v>1224</v>
      </c>
      <c r="BXA2207" s="582" t="s">
        <v>1224</v>
      </c>
      <c r="BXB2207" s="582" t="s">
        <v>1224</v>
      </c>
      <c r="BXC2207" s="582" t="s">
        <v>1224</v>
      </c>
      <c r="BXD2207" s="582" t="s">
        <v>1224</v>
      </c>
      <c r="BXE2207" s="582" t="s">
        <v>1224</v>
      </c>
      <c r="BXF2207" s="582" t="s">
        <v>1224</v>
      </c>
      <c r="BXG2207" s="582" t="s">
        <v>1224</v>
      </c>
      <c r="BXH2207" s="582" t="s">
        <v>1224</v>
      </c>
      <c r="BXI2207" s="582" t="s">
        <v>1224</v>
      </c>
      <c r="BXJ2207" s="582" t="s">
        <v>1224</v>
      </c>
      <c r="BXK2207" s="582" t="s">
        <v>1224</v>
      </c>
      <c r="BXL2207" s="582" t="s">
        <v>1224</v>
      </c>
      <c r="BXM2207" s="582" t="s">
        <v>1224</v>
      </c>
      <c r="BXN2207" s="582" t="s">
        <v>1224</v>
      </c>
      <c r="BXO2207" s="582" t="s">
        <v>1224</v>
      </c>
      <c r="BXP2207" s="582" t="s">
        <v>1224</v>
      </c>
      <c r="BXQ2207" s="582" t="s">
        <v>1224</v>
      </c>
      <c r="BXR2207" s="582" t="s">
        <v>1224</v>
      </c>
      <c r="BXS2207" s="582" t="s">
        <v>1224</v>
      </c>
      <c r="BXT2207" s="582" t="s">
        <v>1224</v>
      </c>
      <c r="BXU2207" s="582" t="s">
        <v>1224</v>
      </c>
      <c r="BXV2207" s="582" t="s">
        <v>1224</v>
      </c>
      <c r="BXW2207" s="582" t="s">
        <v>1224</v>
      </c>
      <c r="BXX2207" s="582" t="s">
        <v>1224</v>
      </c>
      <c r="BXY2207" s="582" t="s">
        <v>1224</v>
      </c>
      <c r="BXZ2207" s="582" t="s">
        <v>1224</v>
      </c>
      <c r="BYA2207" s="582" t="s">
        <v>1224</v>
      </c>
      <c r="BYB2207" s="582" t="s">
        <v>1224</v>
      </c>
      <c r="BYC2207" s="582" t="s">
        <v>1224</v>
      </c>
      <c r="BYD2207" s="582" t="s">
        <v>1224</v>
      </c>
      <c r="BYE2207" s="582" t="s">
        <v>1224</v>
      </c>
      <c r="BYF2207" s="582" t="s">
        <v>1224</v>
      </c>
      <c r="BYG2207" s="582" t="s">
        <v>1224</v>
      </c>
      <c r="BYH2207" s="582" t="s">
        <v>1224</v>
      </c>
      <c r="BYI2207" s="582" t="s">
        <v>1224</v>
      </c>
      <c r="BYJ2207" s="582" t="s">
        <v>1224</v>
      </c>
      <c r="BYK2207" s="582" t="s">
        <v>1224</v>
      </c>
      <c r="BYL2207" s="582" t="s">
        <v>1224</v>
      </c>
      <c r="BYM2207" s="582" t="s">
        <v>1224</v>
      </c>
      <c r="BYN2207" s="582" t="s">
        <v>1224</v>
      </c>
      <c r="BYO2207" s="582" t="s">
        <v>1224</v>
      </c>
      <c r="BYP2207" s="582" t="s">
        <v>1224</v>
      </c>
      <c r="BYQ2207" s="582" t="s">
        <v>1224</v>
      </c>
      <c r="BYR2207" s="582" t="s">
        <v>1224</v>
      </c>
      <c r="BYS2207" s="582" t="s">
        <v>1224</v>
      </c>
      <c r="BYT2207" s="582" t="s">
        <v>1224</v>
      </c>
      <c r="BYU2207" s="582" t="s">
        <v>1224</v>
      </c>
      <c r="BYV2207" s="582" t="s">
        <v>1224</v>
      </c>
      <c r="BYW2207" s="582" t="s">
        <v>1224</v>
      </c>
      <c r="BYX2207" s="582" t="s">
        <v>1224</v>
      </c>
      <c r="BYY2207" s="582" t="s">
        <v>1224</v>
      </c>
      <c r="BYZ2207" s="582" t="s">
        <v>1224</v>
      </c>
      <c r="BZA2207" s="582" t="s">
        <v>1224</v>
      </c>
      <c r="BZB2207" s="582" t="s">
        <v>1224</v>
      </c>
      <c r="BZC2207" s="582" t="s">
        <v>1224</v>
      </c>
      <c r="BZD2207" s="582" t="s">
        <v>1224</v>
      </c>
      <c r="BZE2207" s="582" t="s">
        <v>1224</v>
      </c>
      <c r="BZF2207" s="582" t="s">
        <v>1224</v>
      </c>
      <c r="BZG2207" s="582" t="s">
        <v>1224</v>
      </c>
      <c r="BZH2207" s="582" t="s">
        <v>1224</v>
      </c>
      <c r="BZI2207" s="582" t="s">
        <v>1224</v>
      </c>
      <c r="BZJ2207" s="582" t="s">
        <v>1224</v>
      </c>
      <c r="BZK2207" s="582" t="s">
        <v>1224</v>
      </c>
      <c r="BZL2207" s="582" t="s">
        <v>1224</v>
      </c>
      <c r="BZM2207" s="582" t="s">
        <v>1224</v>
      </c>
      <c r="BZN2207" s="582" t="s">
        <v>1224</v>
      </c>
      <c r="BZO2207" s="582" t="s">
        <v>1224</v>
      </c>
      <c r="BZP2207" s="582" t="s">
        <v>1224</v>
      </c>
      <c r="BZQ2207" s="582" t="s">
        <v>1224</v>
      </c>
      <c r="BZR2207" s="582" t="s">
        <v>1224</v>
      </c>
      <c r="BZS2207" s="582" t="s">
        <v>1224</v>
      </c>
      <c r="BZT2207" s="582" t="s">
        <v>1224</v>
      </c>
      <c r="BZU2207" s="582" t="s">
        <v>1224</v>
      </c>
      <c r="BZV2207" s="582" t="s">
        <v>1224</v>
      </c>
      <c r="BZW2207" s="582" t="s">
        <v>1224</v>
      </c>
      <c r="BZX2207" s="582" t="s">
        <v>1224</v>
      </c>
      <c r="BZY2207" s="582" t="s">
        <v>1224</v>
      </c>
      <c r="BZZ2207" s="582" t="s">
        <v>1224</v>
      </c>
      <c r="CAA2207" s="582" t="s">
        <v>1224</v>
      </c>
      <c r="CAB2207" s="582" t="s">
        <v>1224</v>
      </c>
      <c r="CAC2207" s="582" t="s">
        <v>1224</v>
      </c>
      <c r="CAD2207" s="582" t="s">
        <v>1224</v>
      </c>
      <c r="CAE2207" s="582" t="s">
        <v>1224</v>
      </c>
      <c r="CAF2207" s="582" t="s">
        <v>1224</v>
      </c>
      <c r="CAG2207" s="582" t="s">
        <v>1224</v>
      </c>
      <c r="CAH2207" s="582" t="s">
        <v>1224</v>
      </c>
      <c r="CAI2207" s="582" t="s">
        <v>1224</v>
      </c>
      <c r="CAJ2207" s="582" t="s">
        <v>1224</v>
      </c>
      <c r="CAK2207" s="582" t="s">
        <v>1224</v>
      </c>
      <c r="CAL2207" s="582" t="s">
        <v>1224</v>
      </c>
      <c r="CAM2207" s="582" t="s">
        <v>1224</v>
      </c>
      <c r="CAN2207" s="582" t="s">
        <v>1224</v>
      </c>
      <c r="CAO2207" s="582" t="s">
        <v>1224</v>
      </c>
      <c r="CAP2207" s="582" t="s">
        <v>1224</v>
      </c>
      <c r="CAQ2207" s="582" t="s">
        <v>1224</v>
      </c>
      <c r="CAR2207" s="582" t="s">
        <v>1224</v>
      </c>
      <c r="CAS2207" s="582" t="s">
        <v>1224</v>
      </c>
      <c r="CAT2207" s="582" t="s">
        <v>1224</v>
      </c>
      <c r="CAU2207" s="582" t="s">
        <v>1224</v>
      </c>
      <c r="CAV2207" s="582" t="s">
        <v>1224</v>
      </c>
      <c r="CAW2207" s="582" t="s">
        <v>1224</v>
      </c>
      <c r="CAX2207" s="582" t="s">
        <v>1224</v>
      </c>
      <c r="CAY2207" s="582" t="s">
        <v>1224</v>
      </c>
      <c r="CAZ2207" s="582" t="s">
        <v>1224</v>
      </c>
      <c r="CBA2207" s="582" t="s">
        <v>1224</v>
      </c>
      <c r="CBB2207" s="582" t="s">
        <v>1224</v>
      </c>
      <c r="CBC2207" s="582" t="s">
        <v>1224</v>
      </c>
      <c r="CBD2207" s="582" t="s">
        <v>1224</v>
      </c>
      <c r="CBE2207" s="582" t="s">
        <v>1224</v>
      </c>
      <c r="CBF2207" s="582" t="s">
        <v>1224</v>
      </c>
      <c r="CBG2207" s="582" t="s">
        <v>1224</v>
      </c>
      <c r="CBH2207" s="582" t="s">
        <v>1224</v>
      </c>
      <c r="CBI2207" s="582" t="s">
        <v>1224</v>
      </c>
      <c r="CBJ2207" s="582" t="s">
        <v>1224</v>
      </c>
      <c r="CBK2207" s="582" t="s">
        <v>1224</v>
      </c>
      <c r="CBL2207" s="582" t="s">
        <v>1224</v>
      </c>
      <c r="CBM2207" s="582" t="s">
        <v>1224</v>
      </c>
      <c r="CBN2207" s="582" t="s">
        <v>1224</v>
      </c>
      <c r="CBO2207" s="582" t="s">
        <v>1224</v>
      </c>
      <c r="CBP2207" s="582" t="s">
        <v>1224</v>
      </c>
      <c r="CBQ2207" s="582" t="s">
        <v>1224</v>
      </c>
      <c r="CBR2207" s="582" t="s">
        <v>1224</v>
      </c>
      <c r="CBS2207" s="582" t="s">
        <v>1224</v>
      </c>
      <c r="CBT2207" s="582" t="s">
        <v>1224</v>
      </c>
      <c r="CBU2207" s="582" t="s">
        <v>1224</v>
      </c>
      <c r="CBV2207" s="582" t="s">
        <v>1224</v>
      </c>
      <c r="CBW2207" s="582" t="s">
        <v>1224</v>
      </c>
      <c r="CBX2207" s="582" t="s">
        <v>1224</v>
      </c>
      <c r="CBY2207" s="582" t="s">
        <v>1224</v>
      </c>
      <c r="CBZ2207" s="582" t="s">
        <v>1224</v>
      </c>
      <c r="CCA2207" s="582" t="s">
        <v>1224</v>
      </c>
      <c r="CCB2207" s="582" t="s">
        <v>1224</v>
      </c>
      <c r="CCC2207" s="582" t="s">
        <v>1224</v>
      </c>
      <c r="CCD2207" s="582" t="s">
        <v>1224</v>
      </c>
      <c r="CCE2207" s="582" t="s">
        <v>1224</v>
      </c>
      <c r="CCF2207" s="582" t="s">
        <v>1224</v>
      </c>
      <c r="CCG2207" s="582" t="s">
        <v>1224</v>
      </c>
      <c r="CCH2207" s="582" t="s">
        <v>1224</v>
      </c>
      <c r="CCI2207" s="582" t="s">
        <v>1224</v>
      </c>
      <c r="CCJ2207" s="582" t="s">
        <v>1224</v>
      </c>
      <c r="CCK2207" s="582" t="s">
        <v>1224</v>
      </c>
      <c r="CCL2207" s="582" t="s">
        <v>1224</v>
      </c>
      <c r="CCM2207" s="582" t="s">
        <v>1224</v>
      </c>
      <c r="CCN2207" s="582" t="s">
        <v>1224</v>
      </c>
      <c r="CCO2207" s="582" t="s">
        <v>1224</v>
      </c>
      <c r="CCP2207" s="582" t="s">
        <v>1224</v>
      </c>
      <c r="CCQ2207" s="582" t="s">
        <v>1224</v>
      </c>
      <c r="CCR2207" s="582" t="s">
        <v>1224</v>
      </c>
      <c r="CCS2207" s="582" t="s">
        <v>1224</v>
      </c>
      <c r="CCT2207" s="582" t="s">
        <v>1224</v>
      </c>
      <c r="CCU2207" s="582" t="s">
        <v>1224</v>
      </c>
      <c r="CCV2207" s="582" t="s">
        <v>1224</v>
      </c>
      <c r="CCW2207" s="582" t="s">
        <v>1224</v>
      </c>
      <c r="CCX2207" s="582" t="s">
        <v>1224</v>
      </c>
      <c r="CCY2207" s="582" t="s">
        <v>1224</v>
      </c>
      <c r="CCZ2207" s="582" t="s">
        <v>1224</v>
      </c>
      <c r="CDA2207" s="582" t="s">
        <v>1224</v>
      </c>
      <c r="CDB2207" s="582" t="s">
        <v>1224</v>
      </c>
      <c r="CDC2207" s="582" t="s">
        <v>1224</v>
      </c>
      <c r="CDD2207" s="582" t="s">
        <v>1224</v>
      </c>
      <c r="CDE2207" s="582" t="s">
        <v>1224</v>
      </c>
      <c r="CDF2207" s="582" t="s">
        <v>1224</v>
      </c>
      <c r="CDG2207" s="582" t="s">
        <v>1224</v>
      </c>
      <c r="CDH2207" s="582" t="s">
        <v>1224</v>
      </c>
      <c r="CDI2207" s="582" t="s">
        <v>1224</v>
      </c>
      <c r="CDJ2207" s="582" t="s">
        <v>1224</v>
      </c>
      <c r="CDK2207" s="582" t="s">
        <v>1224</v>
      </c>
      <c r="CDL2207" s="582" t="s">
        <v>1224</v>
      </c>
      <c r="CDM2207" s="582" t="s">
        <v>1224</v>
      </c>
      <c r="CDN2207" s="582" t="s">
        <v>1224</v>
      </c>
      <c r="CDO2207" s="582" t="s">
        <v>1224</v>
      </c>
      <c r="CDP2207" s="582" t="s">
        <v>1224</v>
      </c>
      <c r="CDQ2207" s="582" t="s">
        <v>1224</v>
      </c>
      <c r="CDR2207" s="582" t="s">
        <v>1224</v>
      </c>
      <c r="CDS2207" s="582" t="s">
        <v>1224</v>
      </c>
      <c r="CDT2207" s="582" t="s">
        <v>1224</v>
      </c>
      <c r="CDU2207" s="582" t="s">
        <v>1224</v>
      </c>
      <c r="CDV2207" s="582" t="s">
        <v>1224</v>
      </c>
      <c r="CDW2207" s="582" t="s">
        <v>1224</v>
      </c>
      <c r="CDX2207" s="582" t="s">
        <v>1224</v>
      </c>
      <c r="CDY2207" s="582" t="s">
        <v>1224</v>
      </c>
      <c r="CDZ2207" s="582" t="s">
        <v>1224</v>
      </c>
      <c r="CEA2207" s="582" t="s">
        <v>1224</v>
      </c>
      <c r="CEB2207" s="582" t="s">
        <v>1224</v>
      </c>
      <c r="CEC2207" s="582" t="s">
        <v>1224</v>
      </c>
      <c r="CED2207" s="582" t="s">
        <v>1224</v>
      </c>
      <c r="CEE2207" s="582" t="s">
        <v>1224</v>
      </c>
      <c r="CEF2207" s="582" t="s">
        <v>1224</v>
      </c>
      <c r="CEG2207" s="582" t="s">
        <v>1224</v>
      </c>
      <c r="CEH2207" s="582" t="s">
        <v>1224</v>
      </c>
      <c r="CEI2207" s="582" t="s">
        <v>1224</v>
      </c>
      <c r="CEJ2207" s="582" t="s">
        <v>1224</v>
      </c>
      <c r="CEK2207" s="582" t="s">
        <v>1224</v>
      </c>
      <c r="CEL2207" s="582" t="s">
        <v>1224</v>
      </c>
      <c r="CEM2207" s="582" t="s">
        <v>1224</v>
      </c>
      <c r="CEN2207" s="582" t="s">
        <v>1224</v>
      </c>
      <c r="CEO2207" s="582" t="s">
        <v>1224</v>
      </c>
      <c r="CEP2207" s="582" t="s">
        <v>1224</v>
      </c>
      <c r="CEQ2207" s="582" t="s">
        <v>1224</v>
      </c>
      <c r="CER2207" s="582" t="s">
        <v>1224</v>
      </c>
      <c r="CES2207" s="582" t="s">
        <v>1224</v>
      </c>
      <c r="CET2207" s="582" t="s">
        <v>1224</v>
      </c>
      <c r="CEU2207" s="582" t="s">
        <v>1224</v>
      </c>
      <c r="CEV2207" s="582" t="s">
        <v>1224</v>
      </c>
      <c r="CEW2207" s="582" t="s">
        <v>1224</v>
      </c>
      <c r="CEX2207" s="582" t="s">
        <v>1224</v>
      </c>
      <c r="CEY2207" s="582" t="s">
        <v>1224</v>
      </c>
      <c r="CEZ2207" s="582" t="s">
        <v>1224</v>
      </c>
      <c r="CFA2207" s="582" t="s">
        <v>1224</v>
      </c>
      <c r="CFB2207" s="582" t="s">
        <v>1224</v>
      </c>
      <c r="CFC2207" s="582" t="s">
        <v>1224</v>
      </c>
      <c r="CFD2207" s="582" t="s">
        <v>1224</v>
      </c>
      <c r="CFE2207" s="582" t="s">
        <v>1224</v>
      </c>
      <c r="CFF2207" s="582" t="s">
        <v>1224</v>
      </c>
      <c r="CFG2207" s="582" t="s">
        <v>1224</v>
      </c>
      <c r="CFH2207" s="582" t="s">
        <v>1224</v>
      </c>
      <c r="CFI2207" s="582" t="s">
        <v>1224</v>
      </c>
      <c r="CFJ2207" s="582" t="s">
        <v>1224</v>
      </c>
      <c r="CFK2207" s="582" t="s">
        <v>1224</v>
      </c>
      <c r="CFL2207" s="582" t="s">
        <v>1224</v>
      </c>
      <c r="CFM2207" s="582" t="s">
        <v>1224</v>
      </c>
      <c r="CFN2207" s="582" t="s">
        <v>1224</v>
      </c>
      <c r="CFO2207" s="582" t="s">
        <v>1224</v>
      </c>
      <c r="CFP2207" s="582" t="s">
        <v>1224</v>
      </c>
      <c r="CFQ2207" s="582" t="s">
        <v>1224</v>
      </c>
      <c r="CFR2207" s="582" t="s">
        <v>1224</v>
      </c>
      <c r="CFS2207" s="582" t="s">
        <v>1224</v>
      </c>
      <c r="CFT2207" s="582" t="s">
        <v>1224</v>
      </c>
      <c r="CFU2207" s="582" t="s">
        <v>1224</v>
      </c>
      <c r="CFV2207" s="582" t="s">
        <v>1224</v>
      </c>
      <c r="CFW2207" s="582" t="s">
        <v>1224</v>
      </c>
      <c r="CFX2207" s="582" t="s">
        <v>1224</v>
      </c>
      <c r="CFY2207" s="582" t="s">
        <v>1224</v>
      </c>
      <c r="CFZ2207" s="582" t="s">
        <v>1224</v>
      </c>
      <c r="CGA2207" s="582" t="s">
        <v>1224</v>
      </c>
      <c r="CGB2207" s="582" t="s">
        <v>1224</v>
      </c>
      <c r="CGC2207" s="582" t="s">
        <v>1224</v>
      </c>
      <c r="CGD2207" s="582" t="s">
        <v>1224</v>
      </c>
      <c r="CGE2207" s="582" t="s">
        <v>1224</v>
      </c>
      <c r="CGF2207" s="582" t="s">
        <v>1224</v>
      </c>
      <c r="CGG2207" s="582" t="s">
        <v>1224</v>
      </c>
      <c r="CGH2207" s="582" t="s">
        <v>1224</v>
      </c>
      <c r="CGI2207" s="582" t="s">
        <v>1224</v>
      </c>
      <c r="CGJ2207" s="582" t="s">
        <v>1224</v>
      </c>
      <c r="CGK2207" s="582" t="s">
        <v>1224</v>
      </c>
      <c r="CGL2207" s="582" t="s">
        <v>1224</v>
      </c>
      <c r="CGM2207" s="582" t="s">
        <v>1224</v>
      </c>
      <c r="CGN2207" s="582" t="s">
        <v>1224</v>
      </c>
      <c r="CGO2207" s="582" t="s">
        <v>1224</v>
      </c>
      <c r="CGP2207" s="582" t="s">
        <v>1224</v>
      </c>
      <c r="CGQ2207" s="582" t="s">
        <v>1224</v>
      </c>
      <c r="CGR2207" s="582" t="s">
        <v>1224</v>
      </c>
      <c r="CGS2207" s="582" t="s">
        <v>1224</v>
      </c>
      <c r="CGT2207" s="582" t="s">
        <v>1224</v>
      </c>
      <c r="CGU2207" s="582" t="s">
        <v>1224</v>
      </c>
      <c r="CGV2207" s="582" t="s">
        <v>1224</v>
      </c>
      <c r="CGW2207" s="582" t="s">
        <v>1224</v>
      </c>
      <c r="CGX2207" s="582" t="s">
        <v>1224</v>
      </c>
      <c r="CGY2207" s="582" t="s">
        <v>1224</v>
      </c>
      <c r="CGZ2207" s="582" t="s">
        <v>1224</v>
      </c>
      <c r="CHA2207" s="582" t="s">
        <v>1224</v>
      </c>
      <c r="CHB2207" s="582" t="s">
        <v>1224</v>
      </c>
      <c r="CHC2207" s="582" t="s">
        <v>1224</v>
      </c>
      <c r="CHD2207" s="582" t="s">
        <v>1224</v>
      </c>
      <c r="CHE2207" s="582" t="s">
        <v>1224</v>
      </c>
      <c r="CHF2207" s="582" t="s">
        <v>1224</v>
      </c>
      <c r="CHG2207" s="582" t="s">
        <v>1224</v>
      </c>
      <c r="CHH2207" s="582" t="s">
        <v>1224</v>
      </c>
      <c r="CHI2207" s="582" t="s">
        <v>1224</v>
      </c>
      <c r="CHJ2207" s="582" t="s">
        <v>1224</v>
      </c>
      <c r="CHK2207" s="582" t="s">
        <v>1224</v>
      </c>
      <c r="CHL2207" s="582" t="s">
        <v>1224</v>
      </c>
      <c r="CHM2207" s="582" t="s">
        <v>1224</v>
      </c>
      <c r="CHN2207" s="582" t="s">
        <v>1224</v>
      </c>
      <c r="CHO2207" s="582" t="s">
        <v>1224</v>
      </c>
      <c r="CHP2207" s="582" t="s">
        <v>1224</v>
      </c>
      <c r="CHQ2207" s="582" t="s">
        <v>1224</v>
      </c>
      <c r="CHR2207" s="582" t="s">
        <v>1224</v>
      </c>
      <c r="CHS2207" s="582" t="s">
        <v>1224</v>
      </c>
      <c r="CHT2207" s="582" t="s">
        <v>1224</v>
      </c>
      <c r="CHU2207" s="582" t="s">
        <v>1224</v>
      </c>
      <c r="CHV2207" s="582" t="s">
        <v>1224</v>
      </c>
      <c r="CHW2207" s="582" t="s">
        <v>1224</v>
      </c>
      <c r="CHX2207" s="582" t="s">
        <v>1224</v>
      </c>
      <c r="CHY2207" s="582" t="s">
        <v>1224</v>
      </c>
      <c r="CHZ2207" s="582" t="s">
        <v>1224</v>
      </c>
      <c r="CIA2207" s="582" t="s">
        <v>1224</v>
      </c>
      <c r="CIB2207" s="582" t="s">
        <v>1224</v>
      </c>
      <c r="CIC2207" s="582" t="s">
        <v>1224</v>
      </c>
      <c r="CID2207" s="582" t="s">
        <v>1224</v>
      </c>
      <c r="CIE2207" s="582" t="s">
        <v>1224</v>
      </c>
      <c r="CIF2207" s="582" t="s">
        <v>1224</v>
      </c>
      <c r="CIG2207" s="582" t="s">
        <v>1224</v>
      </c>
      <c r="CIH2207" s="582" t="s">
        <v>1224</v>
      </c>
      <c r="CII2207" s="582" t="s">
        <v>1224</v>
      </c>
      <c r="CIJ2207" s="582" t="s">
        <v>1224</v>
      </c>
      <c r="CIK2207" s="582" t="s">
        <v>1224</v>
      </c>
      <c r="CIL2207" s="582" t="s">
        <v>1224</v>
      </c>
      <c r="CIM2207" s="582" t="s">
        <v>1224</v>
      </c>
      <c r="CIN2207" s="582" t="s">
        <v>1224</v>
      </c>
      <c r="CIO2207" s="582" t="s">
        <v>1224</v>
      </c>
      <c r="CIP2207" s="582" t="s">
        <v>1224</v>
      </c>
      <c r="CIQ2207" s="582" t="s">
        <v>1224</v>
      </c>
      <c r="CIR2207" s="582" t="s">
        <v>1224</v>
      </c>
      <c r="CIS2207" s="582" t="s">
        <v>1224</v>
      </c>
      <c r="CIT2207" s="582" t="s">
        <v>1224</v>
      </c>
      <c r="CIU2207" s="582" t="s">
        <v>1224</v>
      </c>
      <c r="CIV2207" s="582" t="s">
        <v>1224</v>
      </c>
      <c r="CIW2207" s="582" t="s">
        <v>1224</v>
      </c>
      <c r="CIX2207" s="582" t="s">
        <v>1224</v>
      </c>
      <c r="CIY2207" s="582" t="s">
        <v>1224</v>
      </c>
      <c r="CIZ2207" s="582" t="s">
        <v>1224</v>
      </c>
      <c r="CJA2207" s="582" t="s">
        <v>1224</v>
      </c>
      <c r="CJB2207" s="582" t="s">
        <v>1224</v>
      </c>
      <c r="CJC2207" s="582" t="s">
        <v>1224</v>
      </c>
      <c r="CJD2207" s="582" t="s">
        <v>1224</v>
      </c>
      <c r="CJE2207" s="582" t="s">
        <v>1224</v>
      </c>
      <c r="CJF2207" s="582" t="s">
        <v>1224</v>
      </c>
      <c r="CJG2207" s="582" t="s">
        <v>1224</v>
      </c>
      <c r="CJH2207" s="582" t="s">
        <v>1224</v>
      </c>
      <c r="CJI2207" s="582" t="s">
        <v>1224</v>
      </c>
      <c r="CJJ2207" s="582" t="s">
        <v>1224</v>
      </c>
      <c r="CJK2207" s="582" t="s">
        <v>1224</v>
      </c>
      <c r="CJL2207" s="582" t="s">
        <v>1224</v>
      </c>
      <c r="CJM2207" s="582" t="s">
        <v>1224</v>
      </c>
      <c r="CJN2207" s="582" t="s">
        <v>1224</v>
      </c>
      <c r="CJO2207" s="582" t="s">
        <v>1224</v>
      </c>
      <c r="CJP2207" s="582" t="s">
        <v>1224</v>
      </c>
      <c r="CJQ2207" s="582" t="s">
        <v>1224</v>
      </c>
      <c r="CJR2207" s="582" t="s">
        <v>1224</v>
      </c>
      <c r="CJS2207" s="582" t="s">
        <v>1224</v>
      </c>
      <c r="CJT2207" s="582" t="s">
        <v>1224</v>
      </c>
      <c r="CJU2207" s="582" t="s">
        <v>1224</v>
      </c>
      <c r="CJV2207" s="582" t="s">
        <v>1224</v>
      </c>
      <c r="CJW2207" s="582" t="s">
        <v>1224</v>
      </c>
      <c r="CJX2207" s="582" t="s">
        <v>1224</v>
      </c>
      <c r="CJY2207" s="582" t="s">
        <v>1224</v>
      </c>
      <c r="CJZ2207" s="582" t="s">
        <v>1224</v>
      </c>
      <c r="CKA2207" s="582" t="s">
        <v>1224</v>
      </c>
      <c r="CKB2207" s="582" t="s">
        <v>1224</v>
      </c>
      <c r="CKC2207" s="582" t="s">
        <v>1224</v>
      </c>
      <c r="CKD2207" s="582" t="s">
        <v>1224</v>
      </c>
      <c r="CKE2207" s="582" t="s">
        <v>1224</v>
      </c>
      <c r="CKF2207" s="582" t="s">
        <v>1224</v>
      </c>
      <c r="CKG2207" s="582" t="s">
        <v>1224</v>
      </c>
      <c r="CKH2207" s="582" t="s">
        <v>1224</v>
      </c>
      <c r="CKI2207" s="582" t="s">
        <v>1224</v>
      </c>
      <c r="CKJ2207" s="582" t="s">
        <v>1224</v>
      </c>
      <c r="CKK2207" s="582" t="s">
        <v>1224</v>
      </c>
      <c r="CKL2207" s="582" t="s">
        <v>1224</v>
      </c>
      <c r="CKM2207" s="582" t="s">
        <v>1224</v>
      </c>
      <c r="CKN2207" s="582" t="s">
        <v>1224</v>
      </c>
      <c r="CKO2207" s="582" t="s">
        <v>1224</v>
      </c>
      <c r="CKP2207" s="582" t="s">
        <v>1224</v>
      </c>
      <c r="CKQ2207" s="582" t="s">
        <v>1224</v>
      </c>
      <c r="CKR2207" s="582" t="s">
        <v>1224</v>
      </c>
      <c r="CKS2207" s="582" t="s">
        <v>1224</v>
      </c>
      <c r="CKT2207" s="582" t="s">
        <v>1224</v>
      </c>
      <c r="CKU2207" s="582" t="s">
        <v>1224</v>
      </c>
      <c r="CKV2207" s="582" t="s">
        <v>1224</v>
      </c>
      <c r="CKW2207" s="582" t="s">
        <v>1224</v>
      </c>
      <c r="CKX2207" s="582" t="s">
        <v>1224</v>
      </c>
      <c r="CKY2207" s="582" t="s">
        <v>1224</v>
      </c>
      <c r="CKZ2207" s="582" t="s">
        <v>1224</v>
      </c>
      <c r="CLA2207" s="582" t="s">
        <v>1224</v>
      </c>
      <c r="CLB2207" s="582" t="s">
        <v>1224</v>
      </c>
      <c r="CLC2207" s="582" t="s">
        <v>1224</v>
      </c>
      <c r="CLD2207" s="582" t="s">
        <v>1224</v>
      </c>
      <c r="CLE2207" s="582" t="s">
        <v>1224</v>
      </c>
      <c r="CLF2207" s="582" t="s">
        <v>1224</v>
      </c>
      <c r="CLG2207" s="582" t="s">
        <v>1224</v>
      </c>
      <c r="CLH2207" s="582" t="s">
        <v>1224</v>
      </c>
      <c r="CLI2207" s="582" t="s">
        <v>1224</v>
      </c>
      <c r="CLJ2207" s="582" t="s">
        <v>1224</v>
      </c>
      <c r="CLK2207" s="582" t="s">
        <v>1224</v>
      </c>
      <c r="CLL2207" s="582" t="s">
        <v>1224</v>
      </c>
      <c r="CLM2207" s="582" t="s">
        <v>1224</v>
      </c>
      <c r="CLN2207" s="582" t="s">
        <v>1224</v>
      </c>
      <c r="CLO2207" s="582" t="s">
        <v>1224</v>
      </c>
      <c r="CLP2207" s="582" t="s">
        <v>1224</v>
      </c>
      <c r="CLQ2207" s="582" t="s">
        <v>1224</v>
      </c>
      <c r="CLR2207" s="582" t="s">
        <v>1224</v>
      </c>
      <c r="CLS2207" s="582" t="s">
        <v>1224</v>
      </c>
      <c r="CLT2207" s="582" t="s">
        <v>1224</v>
      </c>
      <c r="CLU2207" s="582" t="s">
        <v>1224</v>
      </c>
      <c r="CLV2207" s="582" t="s">
        <v>1224</v>
      </c>
      <c r="CLW2207" s="582" t="s">
        <v>1224</v>
      </c>
      <c r="CLX2207" s="582" t="s">
        <v>1224</v>
      </c>
      <c r="CLY2207" s="582" t="s">
        <v>1224</v>
      </c>
      <c r="CLZ2207" s="582" t="s">
        <v>1224</v>
      </c>
      <c r="CMA2207" s="582" t="s">
        <v>1224</v>
      </c>
      <c r="CMB2207" s="582" t="s">
        <v>1224</v>
      </c>
      <c r="CMC2207" s="582" t="s">
        <v>1224</v>
      </c>
      <c r="CMD2207" s="582" t="s">
        <v>1224</v>
      </c>
      <c r="CME2207" s="582" t="s">
        <v>1224</v>
      </c>
      <c r="CMF2207" s="582" t="s">
        <v>1224</v>
      </c>
      <c r="CMG2207" s="582" t="s">
        <v>1224</v>
      </c>
      <c r="CMH2207" s="582" t="s">
        <v>1224</v>
      </c>
      <c r="CMI2207" s="582" t="s">
        <v>1224</v>
      </c>
      <c r="CMJ2207" s="582" t="s">
        <v>1224</v>
      </c>
      <c r="CMK2207" s="582" t="s">
        <v>1224</v>
      </c>
      <c r="CML2207" s="582" t="s">
        <v>1224</v>
      </c>
      <c r="CMM2207" s="582" t="s">
        <v>1224</v>
      </c>
      <c r="CMN2207" s="582" t="s">
        <v>1224</v>
      </c>
      <c r="CMO2207" s="582" t="s">
        <v>1224</v>
      </c>
      <c r="CMP2207" s="582" t="s">
        <v>1224</v>
      </c>
      <c r="CMQ2207" s="582" t="s">
        <v>1224</v>
      </c>
      <c r="CMR2207" s="582" t="s">
        <v>1224</v>
      </c>
      <c r="CMS2207" s="582" t="s">
        <v>1224</v>
      </c>
      <c r="CMT2207" s="582" t="s">
        <v>1224</v>
      </c>
      <c r="CMU2207" s="582" t="s">
        <v>1224</v>
      </c>
      <c r="CMV2207" s="582" t="s">
        <v>1224</v>
      </c>
      <c r="CMW2207" s="582" t="s">
        <v>1224</v>
      </c>
      <c r="CMX2207" s="582" t="s">
        <v>1224</v>
      </c>
      <c r="CMY2207" s="582" t="s">
        <v>1224</v>
      </c>
      <c r="CMZ2207" s="582" t="s">
        <v>1224</v>
      </c>
      <c r="CNA2207" s="582" t="s">
        <v>1224</v>
      </c>
      <c r="CNB2207" s="582" t="s">
        <v>1224</v>
      </c>
      <c r="CNC2207" s="582" t="s">
        <v>1224</v>
      </c>
      <c r="CND2207" s="582" t="s">
        <v>1224</v>
      </c>
      <c r="CNE2207" s="582" t="s">
        <v>1224</v>
      </c>
      <c r="CNF2207" s="582" t="s">
        <v>1224</v>
      </c>
      <c r="CNG2207" s="582" t="s">
        <v>1224</v>
      </c>
      <c r="CNH2207" s="582" t="s">
        <v>1224</v>
      </c>
      <c r="CNI2207" s="582" t="s">
        <v>1224</v>
      </c>
      <c r="CNJ2207" s="582" t="s">
        <v>1224</v>
      </c>
      <c r="CNK2207" s="582" t="s">
        <v>1224</v>
      </c>
      <c r="CNL2207" s="582" t="s">
        <v>1224</v>
      </c>
      <c r="CNM2207" s="582" t="s">
        <v>1224</v>
      </c>
      <c r="CNN2207" s="582" t="s">
        <v>1224</v>
      </c>
      <c r="CNO2207" s="582" t="s">
        <v>1224</v>
      </c>
      <c r="CNP2207" s="582" t="s">
        <v>1224</v>
      </c>
      <c r="CNQ2207" s="582" t="s">
        <v>1224</v>
      </c>
      <c r="CNR2207" s="582" t="s">
        <v>1224</v>
      </c>
      <c r="CNS2207" s="582" t="s">
        <v>1224</v>
      </c>
      <c r="CNT2207" s="582" t="s">
        <v>1224</v>
      </c>
      <c r="CNU2207" s="582" t="s">
        <v>1224</v>
      </c>
      <c r="CNV2207" s="582" t="s">
        <v>1224</v>
      </c>
      <c r="CNW2207" s="582" t="s">
        <v>1224</v>
      </c>
      <c r="CNX2207" s="582" t="s">
        <v>1224</v>
      </c>
      <c r="CNY2207" s="582" t="s">
        <v>1224</v>
      </c>
      <c r="CNZ2207" s="582" t="s">
        <v>1224</v>
      </c>
      <c r="COA2207" s="582" t="s">
        <v>1224</v>
      </c>
      <c r="COB2207" s="582" t="s">
        <v>1224</v>
      </c>
      <c r="COC2207" s="582" t="s">
        <v>1224</v>
      </c>
      <c r="COD2207" s="582" t="s">
        <v>1224</v>
      </c>
      <c r="COE2207" s="582" t="s">
        <v>1224</v>
      </c>
      <c r="COF2207" s="582" t="s">
        <v>1224</v>
      </c>
      <c r="COG2207" s="582" t="s">
        <v>1224</v>
      </c>
      <c r="COH2207" s="582" t="s">
        <v>1224</v>
      </c>
      <c r="COI2207" s="582" t="s">
        <v>1224</v>
      </c>
      <c r="COJ2207" s="582" t="s">
        <v>1224</v>
      </c>
      <c r="COK2207" s="582" t="s">
        <v>1224</v>
      </c>
      <c r="COL2207" s="582" t="s">
        <v>1224</v>
      </c>
      <c r="COM2207" s="582" t="s">
        <v>1224</v>
      </c>
      <c r="CON2207" s="582" t="s">
        <v>1224</v>
      </c>
      <c r="COO2207" s="582" t="s">
        <v>1224</v>
      </c>
      <c r="COP2207" s="582" t="s">
        <v>1224</v>
      </c>
      <c r="COQ2207" s="582" t="s">
        <v>1224</v>
      </c>
      <c r="COR2207" s="582" t="s">
        <v>1224</v>
      </c>
      <c r="COS2207" s="582" t="s">
        <v>1224</v>
      </c>
      <c r="COT2207" s="582" t="s">
        <v>1224</v>
      </c>
      <c r="COU2207" s="582" t="s">
        <v>1224</v>
      </c>
      <c r="COV2207" s="582" t="s">
        <v>1224</v>
      </c>
      <c r="COW2207" s="582" t="s">
        <v>1224</v>
      </c>
      <c r="COX2207" s="582" t="s">
        <v>1224</v>
      </c>
      <c r="COY2207" s="582" t="s">
        <v>1224</v>
      </c>
      <c r="COZ2207" s="582" t="s">
        <v>1224</v>
      </c>
      <c r="CPA2207" s="582" t="s">
        <v>1224</v>
      </c>
      <c r="CPB2207" s="582" t="s">
        <v>1224</v>
      </c>
      <c r="CPC2207" s="582" t="s">
        <v>1224</v>
      </c>
      <c r="CPD2207" s="582" t="s">
        <v>1224</v>
      </c>
      <c r="CPE2207" s="582" t="s">
        <v>1224</v>
      </c>
      <c r="CPF2207" s="582" t="s">
        <v>1224</v>
      </c>
      <c r="CPG2207" s="582" t="s">
        <v>1224</v>
      </c>
      <c r="CPH2207" s="582" t="s">
        <v>1224</v>
      </c>
      <c r="CPI2207" s="582" t="s">
        <v>1224</v>
      </c>
      <c r="CPJ2207" s="582" t="s">
        <v>1224</v>
      </c>
      <c r="CPK2207" s="582" t="s">
        <v>1224</v>
      </c>
      <c r="CPL2207" s="582" t="s">
        <v>1224</v>
      </c>
      <c r="CPM2207" s="582" t="s">
        <v>1224</v>
      </c>
      <c r="CPN2207" s="582" t="s">
        <v>1224</v>
      </c>
      <c r="CPO2207" s="582" t="s">
        <v>1224</v>
      </c>
      <c r="CPP2207" s="582" t="s">
        <v>1224</v>
      </c>
      <c r="CPQ2207" s="582" t="s">
        <v>1224</v>
      </c>
      <c r="CPR2207" s="582" t="s">
        <v>1224</v>
      </c>
      <c r="CPS2207" s="582" t="s">
        <v>1224</v>
      </c>
      <c r="CPT2207" s="582" t="s">
        <v>1224</v>
      </c>
      <c r="CPU2207" s="582" t="s">
        <v>1224</v>
      </c>
      <c r="CPV2207" s="582" t="s">
        <v>1224</v>
      </c>
      <c r="CPW2207" s="582" t="s">
        <v>1224</v>
      </c>
      <c r="CPX2207" s="582" t="s">
        <v>1224</v>
      </c>
      <c r="CPY2207" s="582" t="s">
        <v>1224</v>
      </c>
      <c r="CPZ2207" s="582" t="s">
        <v>1224</v>
      </c>
      <c r="CQA2207" s="582" t="s">
        <v>1224</v>
      </c>
      <c r="CQB2207" s="582" t="s">
        <v>1224</v>
      </c>
      <c r="CQC2207" s="582" t="s">
        <v>1224</v>
      </c>
      <c r="CQD2207" s="582" t="s">
        <v>1224</v>
      </c>
      <c r="CQE2207" s="582" t="s">
        <v>1224</v>
      </c>
      <c r="CQF2207" s="582" t="s">
        <v>1224</v>
      </c>
      <c r="CQG2207" s="582" t="s">
        <v>1224</v>
      </c>
      <c r="CQH2207" s="582" t="s">
        <v>1224</v>
      </c>
      <c r="CQI2207" s="582" t="s">
        <v>1224</v>
      </c>
      <c r="CQJ2207" s="582" t="s">
        <v>1224</v>
      </c>
      <c r="CQK2207" s="582" t="s">
        <v>1224</v>
      </c>
      <c r="CQL2207" s="582" t="s">
        <v>1224</v>
      </c>
      <c r="CQM2207" s="582" t="s">
        <v>1224</v>
      </c>
      <c r="CQN2207" s="582" t="s">
        <v>1224</v>
      </c>
      <c r="CQO2207" s="582" t="s">
        <v>1224</v>
      </c>
      <c r="CQP2207" s="582" t="s">
        <v>1224</v>
      </c>
      <c r="CQQ2207" s="582" t="s">
        <v>1224</v>
      </c>
      <c r="CQR2207" s="582" t="s">
        <v>1224</v>
      </c>
      <c r="CQS2207" s="582" t="s">
        <v>1224</v>
      </c>
      <c r="CQT2207" s="582" t="s">
        <v>1224</v>
      </c>
      <c r="CQU2207" s="582" t="s">
        <v>1224</v>
      </c>
      <c r="CQV2207" s="582" t="s">
        <v>1224</v>
      </c>
      <c r="CQW2207" s="582" t="s">
        <v>1224</v>
      </c>
      <c r="CQX2207" s="582" t="s">
        <v>1224</v>
      </c>
      <c r="CQY2207" s="582" t="s">
        <v>1224</v>
      </c>
      <c r="CQZ2207" s="582" t="s">
        <v>1224</v>
      </c>
      <c r="CRA2207" s="582" t="s">
        <v>1224</v>
      </c>
      <c r="CRB2207" s="582" t="s">
        <v>1224</v>
      </c>
      <c r="CRC2207" s="582" t="s">
        <v>1224</v>
      </c>
      <c r="CRD2207" s="582" t="s">
        <v>1224</v>
      </c>
      <c r="CRE2207" s="582" t="s">
        <v>1224</v>
      </c>
      <c r="CRF2207" s="582" t="s">
        <v>1224</v>
      </c>
      <c r="CRG2207" s="582" t="s">
        <v>1224</v>
      </c>
      <c r="CRH2207" s="582" t="s">
        <v>1224</v>
      </c>
      <c r="CRI2207" s="582" t="s">
        <v>1224</v>
      </c>
      <c r="CRJ2207" s="582" t="s">
        <v>1224</v>
      </c>
      <c r="CRK2207" s="582" t="s">
        <v>1224</v>
      </c>
      <c r="CRL2207" s="582" t="s">
        <v>1224</v>
      </c>
      <c r="CRM2207" s="582" t="s">
        <v>1224</v>
      </c>
      <c r="CRN2207" s="582" t="s">
        <v>1224</v>
      </c>
      <c r="CRO2207" s="582" t="s">
        <v>1224</v>
      </c>
      <c r="CRP2207" s="582" t="s">
        <v>1224</v>
      </c>
      <c r="CRQ2207" s="582" t="s">
        <v>1224</v>
      </c>
      <c r="CRR2207" s="582" t="s">
        <v>1224</v>
      </c>
      <c r="CRS2207" s="582" t="s">
        <v>1224</v>
      </c>
      <c r="CRT2207" s="582" t="s">
        <v>1224</v>
      </c>
      <c r="CRU2207" s="582" t="s">
        <v>1224</v>
      </c>
      <c r="CRV2207" s="582" t="s">
        <v>1224</v>
      </c>
      <c r="CRW2207" s="582" t="s">
        <v>1224</v>
      </c>
      <c r="CRX2207" s="582" t="s">
        <v>1224</v>
      </c>
      <c r="CRY2207" s="582" t="s">
        <v>1224</v>
      </c>
      <c r="CRZ2207" s="582" t="s">
        <v>1224</v>
      </c>
      <c r="CSA2207" s="582" t="s">
        <v>1224</v>
      </c>
      <c r="CSB2207" s="582" t="s">
        <v>1224</v>
      </c>
      <c r="CSC2207" s="582" t="s">
        <v>1224</v>
      </c>
      <c r="CSD2207" s="582" t="s">
        <v>1224</v>
      </c>
      <c r="CSE2207" s="582" t="s">
        <v>1224</v>
      </c>
      <c r="CSF2207" s="582" t="s">
        <v>1224</v>
      </c>
      <c r="CSG2207" s="582" t="s">
        <v>1224</v>
      </c>
      <c r="CSH2207" s="582" t="s">
        <v>1224</v>
      </c>
      <c r="CSI2207" s="582" t="s">
        <v>1224</v>
      </c>
      <c r="CSJ2207" s="582" t="s">
        <v>1224</v>
      </c>
      <c r="CSK2207" s="582" t="s">
        <v>1224</v>
      </c>
      <c r="CSL2207" s="582" t="s">
        <v>1224</v>
      </c>
      <c r="CSM2207" s="582" t="s">
        <v>1224</v>
      </c>
      <c r="CSN2207" s="582" t="s">
        <v>1224</v>
      </c>
      <c r="CSO2207" s="582" t="s">
        <v>1224</v>
      </c>
      <c r="CSP2207" s="582" t="s">
        <v>1224</v>
      </c>
      <c r="CSQ2207" s="582" t="s">
        <v>1224</v>
      </c>
      <c r="CSR2207" s="582" t="s">
        <v>1224</v>
      </c>
      <c r="CSS2207" s="582" t="s">
        <v>1224</v>
      </c>
      <c r="CST2207" s="582" t="s">
        <v>1224</v>
      </c>
      <c r="CSU2207" s="582" t="s">
        <v>1224</v>
      </c>
      <c r="CSV2207" s="582" t="s">
        <v>1224</v>
      </c>
      <c r="CSW2207" s="582" t="s">
        <v>1224</v>
      </c>
      <c r="CSX2207" s="582" t="s">
        <v>1224</v>
      </c>
      <c r="CSY2207" s="582" t="s">
        <v>1224</v>
      </c>
      <c r="CSZ2207" s="582" t="s">
        <v>1224</v>
      </c>
      <c r="CTA2207" s="582" t="s">
        <v>1224</v>
      </c>
      <c r="CTB2207" s="582" t="s">
        <v>1224</v>
      </c>
      <c r="CTC2207" s="582" t="s">
        <v>1224</v>
      </c>
      <c r="CTD2207" s="582" t="s">
        <v>1224</v>
      </c>
      <c r="CTE2207" s="582" t="s">
        <v>1224</v>
      </c>
      <c r="CTF2207" s="582" t="s">
        <v>1224</v>
      </c>
      <c r="CTG2207" s="582" t="s">
        <v>1224</v>
      </c>
      <c r="CTH2207" s="582" t="s">
        <v>1224</v>
      </c>
      <c r="CTI2207" s="582" t="s">
        <v>1224</v>
      </c>
      <c r="CTJ2207" s="582" t="s">
        <v>1224</v>
      </c>
      <c r="CTK2207" s="582" t="s">
        <v>1224</v>
      </c>
      <c r="CTL2207" s="582" t="s">
        <v>1224</v>
      </c>
      <c r="CTM2207" s="582" t="s">
        <v>1224</v>
      </c>
      <c r="CTN2207" s="582" t="s">
        <v>1224</v>
      </c>
      <c r="CTO2207" s="582" t="s">
        <v>1224</v>
      </c>
      <c r="CTP2207" s="582" t="s">
        <v>1224</v>
      </c>
      <c r="CTQ2207" s="582" t="s">
        <v>1224</v>
      </c>
      <c r="CTR2207" s="582" t="s">
        <v>1224</v>
      </c>
      <c r="CTS2207" s="582" t="s">
        <v>1224</v>
      </c>
      <c r="CTT2207" s="582" t="s">
        <v>1224</v>
      </c>
      <c r="CTU2207" s="582" t="s">
        <v>1224</v>
      </c>
      <c r="CTV2207" s="582" t="s">
        <v>1224</v>
      </c>
      <c r="CTW2207" s="582" t="s">
        <v>1224</v>
      </c>
      <c r="CTX2207" s="582" t="s">
        <v>1224</v>
      </c>
      <c r="CTY2207" s="582" t="s">
        <v>1224</v>
      </c>
      <c r="CTZ2207" s="582" t="s">
        <v>1224</v>
      </c>
      <c r="CUA2207" s="582" t="s">
        <v>1224</v>
      </c>
      <c r="CUB2207" s="582" t="s">
        <v>1224</v>
      </c>
      <c r="CUC2207" s="582" t="s">
        <v>1224</v>
      </c>
      <c r="CUD2207" s="582" t="s">
        <v>1224</v>
      </c>
      <c r="CUE2207" s="582" t="s">
        <v>1224</v>
      </c>
      <c r="CUF2207" s="582" t="s">
        <v>1224</v>
      </c>
      <c r="CUG2207" s="582" t="s">
        <v>1224</v>
      </c>
      <c r="CUH2207" s="582" t="s">
        <v>1224</v>
      </c>
      <c r="CUI2207" s="582" t="s">
        <v>1224</v>
      </c>
      <c r="CUJ2207" s="582" t="s">
        <v>1224</v>
      </c>
      <c r="CUK2207" s="582" t="s">
        <v>1224</v>
      </c>
      <c r="CUL2207" s="582" t="s">
        <v>1224</v>
      </c>
      <c r="CUM2207" s="582" t="s">
        <v>1224</v>
      </c>
      <c r="CUN2207" s="582" t="s">
        <v>1224</v>
      </c>
      <c r="CUO2207" s="582" t="s">
        <v>1224</v>
      </c>
      <c r="CUP2207" s="582" t="s">
        <v>1224</v>
      </c>
      <c r="CUQ2207" s="582" t="s">
        <v>1224</v>
      </c>
      <c r="CUR2207" s="582" t="s">
        <v>1224</v>
      </c>
      <c r="CUS2207" s="582" t="s">
        <v>1224</v>
      </c>
      <c r="CUT2207" s="582" t="s">
        <v>1224</v>
      </c>
      <c r="CUU2207" s="582" t="s">
        <v>1224</v>
      </c>
      <c r="CUV2207" s="582" t="s">
        <v>1224</v>
      </c>
      <c r="CUW2207" s="582" t="s">
        <v>1224</v>
      </c>
      <c r="CUX2207" s="582" t="s">
        <v>1224</v>
      </c>
      <c r="CUY2207" s="582" t="s">
        <v>1224</v>
      </c>
      <c r="CUZ2207" s="582" t="s">
        <v>1224</v>
      </c>
      <c r="CVA2207" s="582" t="s">
        <v>1224</v>
      </c>
      <c r="CVB2207" s="582" t="s">
        <v>1224</v>
      </c>
      <c r="CVC2207" s="582" t="s">
        <v>1224</v>
      </c>
      <c r="CVD2207" s="582" t="s">
        <v>1224</v>
      </c>
      <c r="CVE2207" s="582" t="s">
        <v>1224</v>
      </c>
      <c r="CVF2207" s="582" t="s">
        <v>1224</v>
      </c>
      <c r="CVG2207" s="582" t="s">
        <v>1224</v>
      </c>
      <c r="CVH2207" s="582" t="s">
        <v>1224</v>
      </c>
      <c r="CVI2207" s="582" t="s">
        <v>1224</v>
      </c>
      <c r="CVJ2207" s="582" t="s">
        <v>1224</v>
      </c>
      <c r="CVK2207" s="582" t="s">
        <v>1224</v>
      </c>
      <c r="CVL2207" s="582" t="s">
        <v>1224</v>
      </c>
      <c r="CVM2207" s="582" t="s">
        <v>1224</v>
      </c>
      <c r="CVN2207" s="582" t="s">
        <v>1224</v>
      </c>
      <c r="CVO2207" s="582" t="s">
        <v>1224</v>
      </c>
      <c r="CVP2207" s="582" t="s">
        <v>1224</v>
      </c>
      <c r="CVQ2207" s="582" t="s">
        <v>1224</v>
      </c>
      <c r="CVR2207" s="582" t="s">
        <v>1224</v>
      </c>
      <c r="CVS2207" s="582" t="s">
        <v>1224</v>
      </c>
      <c r="CVT2207" s="582" t="s">
        <v>1224</v>
      </c>
      <c r="CVU2207" s="582" t="s">
        <v>1224</v>
      </c>
      <c r="CVV2207" s="582" t="s">
        <v>1224</v>
      </c>
      <c r="CVW2207" s="582" t="s">
        <v>1224</v>
      </c>
      <c r="CVX2207" s="582" t="s">
        <v>1224</v>
      </c>
      <c r="CVY2207" s="582" t="s">
        <v>1224</v>
      </c>
      <c r="CVZ2207" s="582" t="s">
        <v>1224</v>
      </c>
      <c r="CWA2207" s="582" t="s">
        <v>1224</v>
      </c>
      <c r="CWB2207" s="582" t="s">
        <v>1224</v>
      </c>
      <c r="CWC2207" s="582" t="s">
        <v>1224</v>
      </c>
      <c r="CWD2207" s="582" t="s">
        <v>1224</v>
      </c>
      <c r="CWE2207" s="582" t="s">
        <v>1224</v>
      </c>
      <c r="CWF2207" s="582" t="s">
        <v>1224</v>
      </c>
      <c r="CWG2207" s="582" t="s">
        <v>1224</v>
      </c>
      <c r="CWH2207" s="582" t="s">
        <v>1224</v>
      </c>
      <c r="CWI2207" s="582" t="s">
        <v>1224</v>
      </c>
      <c r="CWJ2207" s="582" t="s">
        <v>1224</v>
      </c>
      <c r="CWK2207" s="582" t="s">
        <v>1224</v>
      </c>
      <c r="CWL2207" s="582" t="s">
        <v>1224</v>
      </c>
      <c r="CWM2207" s="582" t="s">
        <v>1224</v>
      </c>
      <c r="CWN2207" s="582" t="s">
        <v>1224</v>
      </c>
      <c r="CWO2207" s="582" t="s">
        <v>1224</v>
      </c>
      <c r="CWP2207" s="582" t="s">
        <v>1224</v>
      </c>
      <c r="CWQ2207" s="582" t="s">
        <v>1224</v>
      </c>
      <c r="CWR2207" s="582" t="s">
        <v>1224</v>
      </c>
      <c r="CWS2207" s="582" t="s">
        <v>1224</v>
      </c>
      <c r="CWT2207" s="582" t="s">
        <v>1224</v>
      </c>
      <c r="CWU2207" s="582" t="s">
        <v>1224</v>
      </c>
      <c r="CWV2207" s="582" t="s">
        <v>1224</v>
      </c>
      <c r="CWW2207" s="582" t="s">
        <v>1224</v>
      </c>
      <c r="CWX2207" s="582" t="s">
        <v>1224</v>
      </c>
      <c r="CWY2207" s="582" t="s">
        <v>1224</v>
      </c>
      <c r="CWZ2207" s="582" t="s">
        <v>1224</v>
      </c>
      <c r="CXA2207" s="582" t="s">
        <v>1224</v>
      </c>
      <c r="CXB2207" s="582" t="s">
        <v>1224</v>
      </c>
      <c r="CXC2207" s="582" t="s">
        <v>1224</v>
      </c>
      <c r="CXD2207" s="582" t="s">
        <v>1224</v>
      </c>
      <c r="CXE2207" s="582" t="s">
        <v>1224</v>
      </c>
      <c r="CXF2207" s="582" t="s">
        <v>1224</v>
      </c>
      <c r="CXG2207" s="582" t="s">
        <v>1224</v>
      </c>
      <c r="CXH2207" s="582" t="s">
        <v>1224</v>
      </c>
      <c r="CXI2207" s="582" t="s">
        <v>1224</v>
      </c>
      <c r="CXJ2207" s="582" t="s">
        <v>1224</v>
      </c>
      <c r="CXK2207" s="582" t="s">
        <v>1224</v>
      </c>
      <c r="CXL2207" s="582" t="s">
        <v>1224</v>
      </c>
      <c r="CXM2207" s="582" t="s">
        <v>1224</v>
      </c>
      <c r="CXN2207" s="582" t="s">
        <v>1224</v>
      </c>
      <c r="CXO2207" s="582" t="s">
        <v>1224</v>
      </c>
      <c r="CXP2207" s="582" t="s">
        <v>1224</v>
      </c>
      <c r="CXQ2207" s="582" t="s">
        <v>1224</v>
      </c>
      <c r="CXR2207" s="582" t="s">
        <v>1224</v>
      </c>
      <c r="CXS2207" s="582" t="s">
        <v>1224</v>
      </c>
      <c r="CXT2207" s="582" t="s">
        <v>1224</v>
      </c>
      <c r="CXU2207" s="582" t="s">
        <v>1224</v>
      </c>
      <c r="CXV2207" s="582" t="s">
        <v>1224</v>
      </c>
      <c r="CXW2207" s="582" t="s">
        <v>1224</v>
      </c>
      <c r="CXX2207" s="582" t="s">
        <v>1224</v>
      </c>
      <c r="CXY2207" s="582" t="s">
        <v>1224</v>
      </c>
      <c r="CXZ2207" s="582" t="s">
        <v>1224</v>
      </c>
      <c r="CYA2207" s="582" t="s">
        <v>1224</v>
      </c>
      <c r="CYB2207" s="582" t="s">
        <v>1224</v>
      </c>
      <c r="CYC2207" s="582" t="s">
        <v>1224</v>
      </c>
      <c r="CYD2207" s="582" t="s">
        <v>1224</v>
      </c>
      <c r="CYE2207" s="582" t="s">
        <v>1224</v>
      </c>
      <c r="CYF2207" s="582" t="s">
        <v>1224</v>
      </c>
      <c r="CYG2207" s="582" t="s">
        <v>1224</v>
      </c>
      <c r="CYH2207" s="582" t="s">
        <v>1224</v>
      </c>
      <c r="CYI2207" s="582" t="s">
        <v>1224</v>
      </c>
      <c r="CYJ2207" s="582" t="s">
        <v>1224</v>
      </c>
      <c r="CYK2207" s="582" t="s">
        <v>1224</v>
      </c>
      <c r="CYL2207" s="582" t="s">
        <v>1224</v>
      </c>
      <c r="CYM2207" s="582" t="s">
        <v>1224</v>
      </c>
      <c r="CYN2207" s="582" t="s">
        <v>1224</v>
      </c>
      <c r="CYO2207" s="582" t="s">
        <v>1224</v>
      </c>
      <c r="CYP2207" s="582" t="s">
        <v>1224</v>
      </c>
      <c r="CYQ2207" s="582" t="s">
        <v>1224</v>
      </c>
      <c r="CYR2207" s="582" t="s">
        <v>1224</v>
      </c>
      <c r="CYS2207" s="582" t="s">
        <v>1224</v>
      </c>
      <c r="CYT2207" s="582" t="s">
        <v>1224</v>
      </c>
      <c r="CYU2207" s="582" t="s">
        <v>1224</v>
      </c>
      <c r="CYV2207" s="582" t="s">
        <v>1224</v>
      </c>
      <c r="CYW2207" s="582" t="s">
        <v>1224</v>
      </c>
      <c r="CYX2207" s="582" t="s">
        <v>1224</v>
      </c>
      <c r="CYY2207" s="582" t="s">
        <v>1224</v>
      </c>
      <c r="CYZ2207" s="582" t="s">
        <v>1224</v>
      </c>
      <c r="CZA2207" s="582" t="s">
        <v>1224</v>
      </c>
      <c r="CZB2207" s="582" t="s">
        <v>1224</v>
      </c>
      <c r="CZC2207" s="582" t="s">
        <v>1224</v>
      </c>
      <c r="CZD2207" s="582" t="s">
        <v>1224</v>
      </c>
      <c r="CZE2207" s="582" t="s">
        <v>1224</v>
      </c>
      <c r="CZF2207" s="582" t="s">
        <v>1224</v>
      </c>
      <c r="CZG2207" s="582" t="s">
        <v>1224</v>
      </c>
      <c r="CZH2207" s="582" t="s">
        <v>1224</v>
      </c>
      <c r="CZI2207" s="582" t="s">
        <v>1224</v>
      </c>
      <c r="CZJ2207" s="582" t="s">
        <v>1224</v>
      </c>
      <c r="CZK2207" s="582" t="s">
        <v>1224</v>
      </c>
      <c r="CZL2207" s="582" t="s">
        <v>1224</v>
      </c>
      <c r="CZM2207" s="582" t="s">
        <v>1224</v>
      </c>
      <c r="CZN2207" s="582" t="s">
        <v>1224</v>
      </c>
      <c r="CZO2207" s="582" t="s">
        <v>1224</v>
      </c>
      <c r="CZP2207" s="582" t="s">
        <v>1224</v>
      </c>
      <c r="CZQ2207" s="582" t="s">
        <v>1224</v>
      </c>
      <c r="CZR2207" s="582" t="s">
        <v>1224</v>
      </c>
      <c r="CZS2207" s="582" t="s">
        <v>1224</v>
      </c>
      <c r="CZT2207" s="582" t="s">
        <v>1224</v>
      </c>
      <c r="CZU2207" s="582" t="s">
        <v>1224</v>
      </c>
      <c r="CZV2207" s="582" t="s">
        <v>1224</v>
      </c>
      <c r="CZW2207" s="582" t="s">
        <v>1224</v>
      </c>
      <c r="CZX2207" s="582" t="s">
        <v>1224</v>
      </c>
      <c r="CZY2207" s="582" t="s">
        <v>1224</v>
      </c>
      <c r="CZZ2207" s="582" t="s">
        <v>1224</v>
      </c>
      <c r="DAA2207" s="582" t="s">
        <v>1224</v>
      </c>
      <c r="DAB2207" s="582" t="s">
        <v>1224</v>
      </c>
      <c r="DAC2207" s="582" t="s">
        <v>1224</v>
      </c>
      <c r="DAD2207" s="582" t="s">
        <v>1224</v>
      </c>
      <c r="DAE2207" s="582" t="s">
        <v>1224</v>
      </c>
      <c r="DAF2207" s="582" t="s">
        <v>1224</v>
      </c>
      <c r="DAG2207" s="582" t="s">
        <v>1224</v>
      </c>
      <c r="DAH2207" s="582" t="s">
        <v>1224</v>
      </c>
      <c r="DAI2207" s="582" t="s">
        <v>1224</v>
      </c>
      <c r="DAJ2207" s="582" t="s">
        <v>1224</v>
      </c>
      <c r="DAK2207" s="582" t="s">
        <v>1224</v>
      </c>
      <c r="DAL2207" s="582" t="s">
        <v>1224</v>
      </c>
      <c r="DAM2207" s="582" t="s">
        <v>1224</v>
      </c>
      <c r="DAN2207" s="582" t="s">
        <v>1224</v>
      </c>
      <c r="DAO2207" s="582" t="s">
        <v>1224</v>
      </c>
      <c r="DAP2207" s="582" t="s">
        <v>1224</v>
      </c>
      <c r="DAQ2207" s="582" t="s">
        <v>1224</v>
      </c>
      <c r="DAR2207" s="582" t="s">
        <v>1224</v>
      </c>
      <c r="DAS2207" s="582" t="s">
        <v>1224</v>
      </c>
      <c r="DAT2207" s="582" t="s">
        <v>1224</v>
      </c>
      <c r="DAU2207" s="582" t="s">
        <v>1224</v>
      </c>
      <c r="DAV2207" s="582" t="s">
        <v>1224</v>
      </c>
      <c r="DAW2207" s="582" t="s">
        <v>1224</v>
      </c>
      <c r="DAX2207" s="582" t="s">
        <v>1224</v>
      </c>
      <c r="DAY2207" s="582" t="s">
        <v>1224</v>
      </c>
      <c r="DAZ2207" s="582" t="s">
        <v>1224</v>
      </c>
      <c r="DBA2207" s="582" t="s">
        <v>1224</v>
      </c>
      <c r="DBB2207" s="582" t="s">
        <v>1224</v>
      </c>
      <c r="DBC2207" s="582" t="s">
        <v>1224</v>
      </c>
      <c r="DBD2207" s="582" t="s">
        <v>1224</v>
      </c>
      <c r="DBE2207" s="582" t="s">
        <v>1224</v>
      </c>
      <c r="DBF2207" s="582" t="s">
        <v>1224</v>
      </c>
      <c r="DBG2207" s="582" t="s">
        <v>1224</v>
      </c>
      <c r="DBH2207" s="582" t="s">
        <v>1224</v>
      </c>
      <c r="DBI2207" s="582" t="s">
        <v>1224</v>
      </c>
      <c r="DBJ2207" s="582" t="s">
        <v>1224</v>
      </c>
      <c r="DBK2207" s="582" t="s">
        <v>1224</v>
      </c>
      <c r="DBL2207" s="582" t="s">
        <v>1224</v>
      </c>
      <c r="DBM2207" s="582" t="s">
        <v>1224</v>
      </c>
      <c r="DBN2207" s="582" t="s">
        <v>1224</v>
      </c>
      <c r="DBO2207" s="582" t="s">
        <v>1224</v>
      </c>
      <c r="DBP2207" s="582" t="s">
        <v>1224</v>
      </c>
      <c r="DBQ2207" s="582" t="s">
        <v>1224</v>
      </c>
      <c r="DBR2207" s="582" t="s">
        <v>1224</v>
      </c>
      <c r="DBS2207" s="582" t="s">
        <v>1224</v>
      </c>
      <c r="DBT2207" s="582" t="s">
        <v>1224</v>
      </c>
      <c r="DBU2207" s="582" t="s">
        <v>1224</v>
      </c>
      <c r="DBV2207" s="582" t="s">
        <v>1224</v>
      </c>
      <c r="DBW2207" s="582" t="s">
        <v>1224</v>
      </c>
      <c r="DBX2207" s="582" t="s">
        <v>1224</v>
      </c>
      <c r="DBY2207" s="582" t="s">
        <v>1224</v>
      </c>
      <c r="DBZ2207" s="582" t="s">
        <v>1224</v>
      </c>
      <c r="DCA2207" s="582" t="s">
        <v>1224</v>
      </c>
      <c r="DCB2207" s="582" t="s">
        <v>1224</v>
      </c>
      <c r="DCC2207" s="582" t="s">
        <v>1224</v>
      </c>
      <c r="DCD2207" s="582" t="s">
        <v>1224</v>
      </c>
      <c r="DCE2207" s="582" t="s">
        <v>1224</v>
      </c>
      <c r="DCF2207" s="582" t="s">
        <v>1224</v>
      </c>
      <c r="DCG2207" s="582" t="s">
        <v>1224</v>
      </c>
      <c r="DCH2207" s="582" t="s">
        <v>1224</v>
      </c>
      <c r="DCI2207" s="582" t="s">
        <v>1224</v>
      </c>
      <c r="DCJ2207" s="582" t="s">
        <v>1224</v>
      </c>
      <c r="DCK2207" s="582" t="s">
        <v>1224</v>
      </c>
      <c r="DCL2207" s="582" t="s">
        <v>1224</v>
      </c>
      <c r="DCM2207" s="582" t="s">
        <v>1224</v>
      </c>
      <c r="DCN2207" s="582" t="s">
        <v>1224</v>
      </c>
      <c r="DCO2207" s="582" t="s">
        <v>1224</v>
      </c>
      <c r="DCP2207" s="582" t="s">
        <v>1224</v>
      </c>
      <c r="DCQ2207" s="582" t="s">
        <v>1224</v>
      </c>
      <c r="DCR2207" s="582" t="s">
        <v>1224</v>
      </c>
      <c r="DCS2207" s="582" t="s">
        <v>1224</v>
      </c>
      <c r="DCT2207" s="582" t="s">
        <v>1224</v>
      </c>
      <c r="DCU2207" s="582" t="s">
        <v>1224</v>
      </c>
      <c r="DCV2207" s="582" t="s">
        <v>1224</v>
      </c>
      <c r="DCW2207" s="582" t="s">
        <v>1224</v>
      </c>
      <c r="DCX2207" s="582" t="s">
        <v>1224</v>
      </c>
      <c r="DCY2207" s="582" t="s">
        <v>1224</v>
      </c>
      <c r="DCZ2207" s="582" t="s">
        <v>1224</v>
      </c>
      <c r="DDA2207" s="582" t="s">
        <v>1224</v>
      </c>
      <c r="DDB2207" s="582" t="s">
        <v>1224</v>
      </c>
      <c r="DDC2207" s="582" t="s">
        <v>1224</v>
      </c>
      <c r="DDD2207" s="582" t="s">
        <v>1224</v>
      </c>
      <c r="DDE2207" s="582" t="s">
        <v>1224</v>
      </c>
      <c r="DDF2207" s="582" t="s">
        <v>1224</v>
      </c>
      <c r="DDG2207" s="582" t="s">
        <v>1224</v>
      </c>
      <c r="DDH2207" s="582" t="s">
        <v>1224</v>
      </c>
      <c r="DDI2207" s="582" t="s">
        <v>1224</v>
      </c>
      <c r="DDJ2207" s="582" t="s">
        <v>1224</v>
      </c>
      <c r="DDK2207" s="582" t="s">
        <v>1224</v>
      </c>
      <c r="DDL2207" s="582" t="s">
        <v>1224</v>
      </c>
      <c r="DDM2207" s="582" t="s">
        <v>1224</v>
      </c>
      <c r="DDN2207" s="582" t="s">
        <v>1224</v>
      </c>
      <c r="DDO2207" s="582" t="s">
        <v>1224</v>
      </c>
      <c r="DDP2207" s="582" t="s">
        <v>1224</v>
      </c>
      <c r="DDQ2207" s="582" t="s">
        <v>1224</v>
      </c>
      <c r="DDR2207" s="582" t="s">
        <v>1224</v>
      </c>
      <c r="DDS2207" s="582" t="s">
        <v>1224</v>
      </c>
      <c r="DDT2207" s="582" t="s">
        <v>1224</v>
      </c>
      <c r="DDU2207" s="582" t="s">
        <v>1224</v>
      </c>
      <c r="DDV2207" s="582" t="s">
        <v>1224</v>
      </c>
      <c r="DDW2207" s="582" t="s">
        <v>1224</v>
      </c>
      <c r="DDX2207" s="582" t="s">
        <v>1224</v>
      </c>
      <c r="DDY2207" s="582" t="s">
        <v>1224</v>
      </c>
      <c r="DDZ2207" s="582" t="s">
        <v>1224</v>
      </c>
      <c r="DEA2207" s="582" t="s">
        <v>1224</v>
      </c>
      <c r="DEB2207" s="582" t="s">
        <v>1224</v>
      </c>
      <c r="DEC2207" s="582" t="s">
        <v>1224</v>
      </c>
      <c r="DED2207" s="582" t="s">
        <v>1224</v>
      </c>
      <c r="DEE2207" s="582" t="s">
        <v>1224</v>
      </c>
      <c r="DEF2207" s="582" t="s">
        <v>1224</v>
      </c>
      <c r="DEG2207" s="582" t="s">
        <v>1224</v>
      </c>
      <c r="DEH2207" s="582" t="s">
        <v>1224</v>
      </c>
      <c r="DEI2207" s="582" t="s">
        <v>1224</v>
      </c>
      <c r="DEJ2207" s="582" t="s">
        <v>1224</v>
      </c>
      <c r="DEK2207" s="582" t="s">
        <v>1224</v>
      </c>
      <c r="DEL2207" s="582" t="s">
        <v>1224</v>
      </c>
      <c r="DEM2207" s="582" t="s">
        <v>1224</v>
      </c>
      <c r="DEN2207" s="582" t="s">
        <v>1224</v>
      </c>
      <c r="DEO2207" s="582" t="s">
        <v>1224</v>
      </c>
      <c r="DEP2207" s="582" t="s">
        <v>1224</v>
      </c>
      <c r="DEQ2207" s="582" t="s">
        <v>1224</v>
      </c>
      <c r="DER2207" s="582" t="s">
        <v>1224</v>
      </c>
      <c r="DES2207" s="582" t="s">
        <v>1224</v>
      </c>
      <c r="DET2207" s="582" t="s">
        <v>1224</v>
      </c>
      <c r="DEU2207" s="582" t="s">
        <v>1224</v>
      </c>
      <c r="DEV2207" s="582" t="s">
        <v>1224</v>
      </c>
      <c r="DEW2207" s="582" t="s">
        <v>1224</v>
      </c>
      <c r="DEX2207" s="582" t="s">
        <v>1224</v>
      </c>
      <c r="DEY2207" s="582" t="s">
        <v>1224</v>
      </c>
      <c r="DEZ2207" s="582" t="s">
        <v>1224</v>
      </c>
      <c r="DFA2207" s="582" t="s">
        <v>1224</v>
      </c>
      <c r="DFB2207" s="582" t="s">
        <v>1224</v>
      </c>
      <c r="DFC2207" s="582" t="s">
        <v>1224</v>
      </c>
      <c r="DFD2207" s="582" t="s">
        <v>1224</v>
      </c>
      <c r="DFE2207" s="582" t="s">
        <v>1224</v>
      </c>
      <c r="DFF2207" s="582" t="s">
        <v>1224</v>
      </c>
      <c r="DFG2207" s="582" t="s">
        <v>1224</v>
      </c>
      <c r="DFH2207" s="582" t="s">
        <v>1224</v>
      </c>
      <c r="DFI2207" s="582" t="s">
        <v>1224</v>
      </c>
      <c r="DFJ2207" s="582" t="s">
        <v>1224</v>
      </c>
      <c r="DFK2207" s="582" t="s">
        <v>1224</v>
      </c>
      <c r="DFL2207" s="582" t="s">
        <v>1224</v>
      </c>
      <c r="DFM2207" s="582" t="s">
        <v>1224</v>
      </c>
      <c r="DFN2207" s="582" t="s">
        <v>1224</v>
      </c>
      <c r="DFO2207" s="582" t="s">
        <v>1224</v>
      </c>
      <c r="DFP2207" s="582" t="s">
        <v>1224</v>
      </c>
      <c r="DFQ2207" s="582" t="s">
        <v>1224</v>
      </c>
      <c r="DFR2207" s="582" t="s">
        <v>1224</v>
      </c>
      <c r="DFS2207" s="582" t="s">
        <v>1224</v>
      </c>
      <c r="DFT2207" s="582" t="s">
        <v>1224</v>
      </c>
      <c r="DFU2207" s="582" t="s">
        <v>1224</v>
      </c>
      <c r="DFV2207" s="582" t="s">
        <v>1224</v>
      </c>
      <c r="DFW2207" s="582" t="s">
        <v>1224</v>
      </c>
      <c r="DFX2207" s="582" t="s">
        <v>1224</v>
      </c>
      <c r="DFY2207" s="582" t="s">
        <v>1224</v>
      </c>
      <c r="DFZ2207" s="582" t="s">
        <v>1224</v>
      </c>
      <c r="DGA2207" s="582" t="s">
        <v>1224</v>
      </c>
      <c r="DGB2207" s="582" t="s">
        <v>1224</v>
      </c>
      <c r="DGC2207" s="582" t="s">
        <v>1224</v>
      </c>
      <c r="DGD2207" s="582" t="s">
        <v>1224</v>
      </c>
      <c r="DGE2207" s="582" t="s">
        <v>1224</v>
      </c>
      <c r="DGF2207" s="582" t="s">
        <v>1224</v>
      </c>
      <c r="DGG2207" s="582" t="s">
        <v>1224</v>
      </c>
      <c r="DGH2207" s="582" t="s">
        <v>1224</v>
      </c>
      <c r="DGI2207" s="582" t="s">
        <v>1224</v>
      </c>
      <c r="DGJ2207" s="582" t="s">
        <v>1224</v>
      </c>
      <c r="DGK2207" s="582" t="s">
        <v>1224</v>
      </c>
      <c r="DGL2207" s="582" t="s">
        <v>1224</v>
      </c>
      <c r="DGM2207" s="582" t="s">
        <v>1224</v>
      </c>
      <c r="DGN2207" s="582" t="s">
        <v>1224</v>
      </c>
      <c r="DGO2207" s="582" t="s">
        <v>1224</v>
      </c>
      <c r="DGP2207" s="582" t="s">
        <v>1224</v>
      </c>
      <c r="DGQ2207" s="582" t="s">
        <v>1224</v>
      </c>
      <c r="DGR2207" s="582" t="s">
        <v>1224</v>
      </c>
      <c r="DGS2207" s="582" t="s">
        <v>1224</v>
      </c>
      <c r="DGT2207" s="582" t="s">
        <v>1224</v>
      </c>
      <c r="DGU2207" s="582" t="s">
        <v>1224</v>
      </c>
      <c r="DGV2207" s="582" t="s">
        <v>1224</v>
      </c>
      <c r="DGW2207" s="582" t="s">
        <v>1224</v>
      </c>
      <c r="DGX2207" s="582" t="s">
        <v>1224</v>
      </c>
      <c r="DGY2207" s="582" t="s">
        <v>1224</v>
      </c>
      <c r="DGZ2207" s="582" t="s">
        <v>1224</v>
      </c>
      <c r="DHA2207" s="582" t="s">
        <v>1224</v>
      </c>
      <c r="DHB2207" s="582" t="s">
        <v>1224</v>
      </c>
      <c r="DHC2207" s="582" t="s">
        <v>1224</v>
      </c>
      <c r="DHD2207" s="582" t="s">
        <v>1224</v>
      </c>
      <c r="DHE2207" s="582" t="s">
        <v>1224</v>
      </c>
      <c r="DHF2207" s="582" t="s">
        <v>1224</v>
      </c>
      <c r="DHG2207" s="582" t="s">
        <v>1224</v>
      </c>
      <c r="DHH2207" s="582" t="s">
        <v>1224</v>
      </c>
      <c r="DHI2207" s="582" t="s">
        <v>1224</v>
      </c>
      <c r="DHJ2207" s="582" t="s">
        <v>1224</v>
      </c>
      <c r="DHK2207" s="582" t="s">
        <v>1224</v>
      </c>
      <c r="DHL2207" s="582" t="s">
        <v>1224</v>
      </c>
      <c r="DHM2207" s="582" t="s">
        <v>1224</v>
      </c>
      <c r="DHN2207" s="582" t="s">
        <v>1224</v>
      </c>
      <c r="DHO2207" s="582" t="s">
        <v>1224</v>
      </c>
      <c r="DHP2207" s="582" t="s">
        <v>1224</v>
      </c>
      <c r="DHQ2207" s="582" t="s">
        <v>1224</v>
      </c>
      <c r="DHR2207" s="582" t="s">
        <v>1224</v>
      </c>
      <c r="DHS2207" s="582" t="s">
        <v>1224</v>
      </c>
      <c r="DHT2207" s="582" t="s">
        <v>1224</v>
      </c>
      <c r="DHU2207" s="582" t="s">
        <v>1224</v>
      </c>
      <c r="DHV2207" s="582" t="s">
        <v>1224</v>
      </c>
      <c r="DHW2207" s="582" t="s">
        <v>1224</v>
      </c>
      <c r="DHX2207" s="582" t="s">
        <v>1224</v>
      </c>
      <c r="DHY2207" s="582" t="s">
        <v>1224</v>
      </c>
      <c r="DHZ2207" s="582" t="s">
        <v>1224</v>
      </c>
      <c r="DIA2207" s="582" t="s">
        <v>1224</v>
      </c>
      <c r="DIB2207" s="582" t="s">
        <v>1224</v>
      </c>
      <c r="DIC2207" s="582" t="s">
        <v>1224</v>
      </c>
      <c r="DID2207" s="582" t="s">
        <v>1224</v>
      </c>
      <c r="DIE2207" s="582" t="s">
        <v>1224</v>
      </c>
      <c r="DIF2207" s="582" t="s">
        <v>1224</v>
      </c>
      <c r="DIG2207" s="582" t="s">
        <v>1224</v>
      </c>
      <c r="DIH2207" s="582" t="s">
        <v>1224</v>
      </c>
      <c r="DII2207" s="582" t="s">
        <v>1224</v>
      </c>
      <c r="DIJ2207" s="582" t="s">
        <v>1224</v>
      </c>
      <c r="DIK2207" s="582" t="s">
        <v>1224</v>
      </c>
      <c r="DIL2207" s="582" t="s">
        <v>1224</v>
      </c>
      <c r="DIM2207" s="582" t="s">
        <v>1224</v>
      </c>
      <c r="DIN2207" s="582" t="s">
        <v>1224</v>
      </c>
      <c r="DIO2207" s="582" t="s">
        <v>1224</v>
      </c>
      <c r="DIP2207" s="582" t="s">
        <v>1224</v>
      </c>
      <c r="DIQ2207" s="582" t="s">
        <v>1224</v>
      </c>
      <c r="DIR2207" s="582" t="s">
        <v>1224</v>
      </c>
      <c r="DIS2207" s="582" t="s">
        <v>1224</v>
      </c>
      <c r="DIT2207" s="582" t="s">
        <v>1224</v>
      </c>
      <c r="DIU2207" s="582" t="s">
        <v>1224</v>
      </c>
      <c r="DIV2207" s="582" t="s">
        <v>1224</v>
      </c>
      <c r="DIW2207" s="582" t="s">
        <v>1224</v>
      </c>
      <c r="DIX2207" s="582" t="s">
        <v>1224</v>
      </c>
      <c r="DIY2207" s="582" t="s">
        <v>1224</v>
      </c>
      <c r="DIZ2207" s="582" t="s">
        <v>1224</v>
      </c>
      <c r="DJA2207" s="582" t="s">
        <v>1224</v>
      </c>
      <c r="DJB2207" s="582" t="s">
        <v>1224</v>
      </c>
      <c r="DJC2207" s="582" t="s">
        <v>1224</v>
      </c>
      <c r="DJD2207" s="582" t="s">
        <v>1224</v>
      </c>
      <c r="DJE2207" s="582" t="s">
        <v>1224</v>
      </c>
      <c r="DJF2207" s="582" t="s">
        <v>1224</v>
      </c>
      <c r="DJG2207" s="582" t="s">
        <v>1224</v>
      </c>
      <c r="DJH2207" s="582" t="s">
        <v>1224</v>
      </c>
      <c r="DJI2207" s="582" t="s">
        <v>1224</v>
      </c>
      <c r="DJJ2207" s="582" t="s">
        <v>1224</v>
      </c>
      <c r="DJK2207" s="582" t="s">
        <v>1224</v>
      </c>
      <c r="DJL2207" s="582" t="s">
        <v>1224</v>
      </c>
      <c r="DJM2207" s="582" t="s">
        <v>1224</v>
      </c>
      <c r="DJN2207" s="582" t="s">
        <v>1224</v>
      </c>
      <c r="DJO2207" s="582" t="s">
        <v>1224</v>
      </c>
      <c r="DJP2207" s="582" t="s">
        <v>1224</v>
      </c>
      <c r="DJQ2207" s="582" t="s">
        <v>1224</v>
      </c>
      <c r="DJR2207" s="582" t="s">
        <v>1224</v>
      </c>
      <c r="DJS2207" s="582" t="s">
        <v>1224</v>
      </c>
      <c r="DJT2207" s="582" t="s">
        <v>1224</v>
      </c>
      <c r="DJU2207" s="582" t="s">
        <v>1224</v>
      </c>
      <c r="DJV2207" s="582" t="s">
        <v>1224</v>
      </c>
      <c r="DJW2207" s="582" t="s">
        <v>1224</v>
      </c>
      <c r="DJX2207" s="582" t="s">
        <v>1224</v>
      </c>
      <c r="DJY2207" s="582" t="s">
        <v>1224</v>
      </c>
      <c r="DJZ2207" s="582" t="s">
        <v>1224</v>
      </c>
      <c r="DKA2207" s="582" t="s">
        <v>1224</v>
      </c>
      <c r="DKB2207" s="582" t="s">
        <v>1224</v>
      </c>
      <c r="DKC2207" s="582" t="s">
        <v>1224</v>
      </c>
      <c r="DKD2207" s="582" t="s">
        <v>1224</v>
      </c>
      <c r="DKE2207" s="582" t="s">
        <v>1224</v>
      </c>
      <c r="DKF2207" s="582" t="s">
        <v>1224</v>
      </c>
      <c r="DKG2207" s="582" t="s">
        <v>1224</v>
      </c>
      <c r="DKH2207" s="582" t="s">
        <v>1224</v>
      </c>
      <c r="DKI2207" s="582" t="s">
        <v>1224</v>
      </c>
      <c r="DKJ2207" s="582" t="s">
        <v>1224</v>
      </c>
      <c r="DKK2207" s="582" t="s">
        <v>1224</v>
      </c>
      <c r="DKL2207" s="582" t="s">
        <v>1224</v>
      </c>
      <c r="DKM2207" s="582" t="s">
        <v>1224</v>
      </c>
      <c r="DKN2207" s="582" t="s">
        <v>1224</v>
      </c>
      <c r="DKO2207" s="582" t="s">
        <v>1224</v>
      </c>
      <c r="DKP2207" s="582" t="s">
        <v>1224</v>
      </c>
      <c r="DKQ2207" s="582" t="s">
        <v>1224</v>
      </c>
      <c r="DKR2207" s="582" t="s">
        <v>1224</v>
      </c>
      <c r="DKS2207" s="582" t="s">
        <v>1224</v>
      </c>
      <c r="DKT2207" s="582" t="s">
        <v>1224</v>
      </c>
      <c r="DKU2207" s="582" t="s">
        <v>1224</v>
      </c>
      <c r="DKV2207" s="582" t="s">
        <v>1224</v>
      </c>
      <c r="DKW2207" s="582" t="s">
        <v>1224</v>
      </c>
      <c r="DKX2207" s="582" t="s">
        <v>1224</v>
      </c>
      <c r="DKY2207" s="582" t="s">
        <v>1224</v>
      </c>
      <c r="DKZ2207" s="582" t="s">
        <v>1224</v>
      </c>
      <c r="DLA2207" s="582" t="s">
        <v>1224</v>
      </c>
      <c r="DLB2207" s="582" t="s">
        <v>1224</v>
      </c>
      <c r="DLC2207" s="582" t="s">
        <v>1224</v>
      </c>
      <c r="DLD2207" s="582" t="s">
        <v>1224</v>
      </c>
      <c r="DLE2207" s="582" t="s">
        <v>1224</v>
      </c>
      <c r="DLF2207" s="582" t="s">
        <v>1224</v>
      </c>
      <c r="DLG2207" s="582" t="s">
        <v>1224</v>
      </c>
      <c r="DLH2207" s="582" t="s">
        <v>1224</v>
      </c>
      <c r="DLI2207" s="582" t="s">
        <v>1224</v>
      </c>
      <c r="DLJ2207" s="582" t="s">
        <v>1224</v>
      </c>
      <c r="DLK2207" s="582" t="s">
        <v>1224</v>
      </c>
      <c r="DLL2207" s="582" t="s">
        <v>1224</v>
      </c>
      <c r="DLM2207" s="582" t="s">
        <v>1224</v>
      </c>
      <c r="DLN2207" s="582" t="s">
        <v>1224</v>
      </c>
      <c r="DLO2207" s="582" t="s">
        <v>1224</v>
      </c>
      <c r="DLP2207" s="582" t="s">
        <v>1224</v>
      </c>
      <c r="DLQ2207" s="582" t="s">
        <v>1224</v>
      </c>
      <c r="DLR2207" s="582" t="s">
        <v>1224</v>
      </c>
      <c r="DLS2207" s="582" t="s">
        <v>1224</v>
      </c>
      <c r="DLT2207" s="582" t="s">
        <v>1224</v>
      </c>
      <c r="DLU2207" s="582" t="s">
        <v>1224</v>
      </c>
      <c r="DLV2207" s="582" t="s">
        <v>1224</v>
      </c>
      <c r="DLW2207" s="582" t="s">
        <v>1224</v>
      </c>
      <c r="DLX2207" s="582" t="s">
        <v>1224</v>
      </c>
      <c r="DLY2207" s="582" t="s">
        <v>1224</v>
      </c>
      <c r="DLZ2207" s="582" t="s">
        <v>1224</v>
      </c>
      <c r="DMA2207" s="582" t="s">
        <v>1224</v>
      </c>
      <c r="DMB2207" s="582" t="s">
        <v>1224</v>
      </c>
      <c r="DMC2207" s="582" t="s">
        <v>1224</v>
      </c>
      <c r="DMD2207" s="582" t="s">
        <v>1224</v>
      </c>
      <c r="DME2207" s="582" t="s">
        <v>1224</v>
      </c>
      <c r="DMF2207" s="582" t="s">
        <v>1224</v>
      </c>
      <c r="DMG2207" s="582" t="s">
        <v>1224</v>
      </c>
      <c r="DMH2207" s="582" t="s">
        <v>1224</v>
      </c>
      <c r="DMI2207" s="582" t="s">
        <v>1224</v>
      </c>
      <c r="DMJ2207" s="582" t="s">
        <v>1224</v>
      </c>
      <c r="DMK2207" s="582" t="s">
        <v>1224</v>
      </c>
      <c r="DML2207" s="582" t="s">
        <v>1224</v>
      </c>
      <c r="DMM2207" s="582" t="s">
        <v>1224</v>
      </c>
      <c r="DMN2207" s="582" t="s">
        <v>1224</v>
      </c>
      <c r="DMO2207" s="582" t="s">
        <v>1224</v>
      </c>
      <c r="DMP2207" s="582" t="s">
        <v>1224</v>
      </c>
      <c r="DMQ2207" s="582" t="s">
        <v>1224</v>
      </c>
      <c r="DMR2207" s="582" t="s">
        <v>1224</v>
      </c>
      <c r="DMS2207" s="582" t="s">
        <v>1224</v>
      </c>
      <c r="DMT2207" s="582" t="s">
        <v>1224</v>
      </c>
      <c r="DMU2207" s="582" t="s">
        <v>1224</v>
      </c>
      <c r="DMV2207" s="582" t="s">
        <v>1224</v>
      </c>
      <c r="DMW2207" s="582" t="s">
        <v>1224</v>
      </c>
      <c r="DMX2207" s="582" t="s">
        <v>1224</v>
      </c>
      <c r="DMY2207" s="582" t="s">
        <v>1224</v>
      </c>
      <c r="DMZ2207" s="582" t="s">
        <v>1224</v>
      </c>
      <c r="DNA2207" s="582" t="s">
        <v>1224</v>
      </c>
      <c r="DNB2207" s="582" t="s">
        <v>1224</v>
      </c>
      <c r="DNC2207" s="582" t="s">
        <v>1224</v>
      </c>
      <c r="DND2207" s="582" t="s">
        <v>1224</v>
      </c>
      <c r="DNE2207" s="582" t="s">
        <v>1224</v>
      </c>
      <c r="DNF2207" s="582" t="s">
        <v>1224</v>
      </c>
      <c r="DNG2207" s="582" t="s">
        <v>1224</v>
      </c>
      <c r="DNH2207" s="582" t="s">
        <v>1224</v>
      </c>
      <c r="DNI2207" s="582" t="s">
        <v>1224</v>
      </c>
      <c r="DNJ2207" s="582" t="s">
        <v>1224</v>
      </c>
      <c r="DNK2207" s="582" t="s">
        <v>1224</v>
      </c>
      <c r="DNL2207" s="582" t="s">
        <v>1224</v>
      </c>
      <c r="DNM2207" s="582" t="s">
        <v>1224</v>
      </c>
      <c r="DNN2207" s="582" t="s">
        <v>1224</v>
      </c>
      <c r="DNO2207" s="582" t="s">
        <v>1224</v>
      </c>
      <c r="DNP2207" s="582" t="s">
        <v>1224</v>
      </c>
      <c r="DNQ2207" s="582" t="s">
        <v>1224</v>
      </c>
      <c r="DNR2207" s="582" t="s">
        <v>1224</v>
      </c>
      <c r="DNS2207" s="582" t="s">
        <v>1224</v>
      </c>
      <c r="DNT2207" s="582" t="s">
        <v>1224</v>
      </c>
      <c r="DNU2207" s="582" t="s">
        <v>1224</v>
      </c>
      <c r="DNV2207" s="582" t="s">
        <v>1224</v>
      </c>
      <c r="DNW2207" s="582" t="s">
        <v>1224</v>
      </c>
      <c r="DNX2207" s="582" t="s">
        <v>1224</v>
      </c>
      <c r="DNY2207" s="582" t="s">
        <v>1224</v>
      </c>
      <c r="DNZ2207" s="582" t="s">
        <v>1224</v>
      </c>
      <c r="DOA2207" s="582" t="s">
        <v>1224</v>
      </c>
      <c r="DOB2207" s="582" t="s">
        <v>1224</v>
      </c>
      <c r="DOC2207" s="582" t="s">
        <v>1224</v>
      </c>
      <c r="DOD2207" s="582" t="s">
        <v>1224</v>
      </c>
      <c r="DOE2207" s="582" t="s">
        <v>1224</v>
      </c>
      <c r="DOF2207" s="582" t="s">
        <v>1224</v>
      </c>
      <c r="DOG2207" s="582" t="s">
        <v>1224</v>
      </c>
      <c r="DOH2207" s="582" t="s">
        <v>1224</v>
      </c>
      <c r="DOI2207" s="582" t="s">
        <v>1224</v>
      </c>
      <c r="DOJ2207" s="582" t="s">
        <v>1224</v>
      </c>
      <c r="DOK2207" s="582" t="s">
        <v>1224</v>
      </c>
      <c r="DOL2207" s="582" t="s">
        <v>1224</v>
      </c>
      <c r="DOM2207" s="582" t="s">
        <v>1224</v>
      </c>
      <c r="DON2207" s="582" t="s">
        <v>1224</v>
      </c>
      <c r="DOO2207" s="582" t="s">
        <v>1224</v>
      </c>
      <c r="DOP2207" s="582" t="s">
        <v>1224</v>
      </c>
      <c r="DOQ2207" s="582" t="s">
        <v>1224</v>
      </c>
      <c r="DOR2207" s="582" t="s">
        <v>1224</v>
      </c>
      <c r="DOS2207" s="582" t="s">
        <v>1224</v>
      </c>
      <c r="DOT2207" s="582" t="s">
        <v>1224</v>
      </c>
      <c r="DOU2207" s="582" t="s">
        <v>1224</v>
      </c>
      <c r="DOV2207" s="582" t="s">
        <v>1224</v>
      </c>
      <c r="DOW2207" s="582" t="s">
        <v>1224</v>
      </c>
      <c r="DOX2207" s="582" t="s">
        <v>1224</v>
      </c>
      <c r="DOY2207" s="582" t="s">
        <v>1224</v>
      </c>
      <c r="DOZ2207" s="582" t="s">
        <v>1224</v>
      </c>
      <c r="DPA2207" s="582" t="s">
        <v>1224</v>
      </c>
      <c r="DPB2207" s="582" t="s">
        <v>1224</v>
      </c>
      <c r="DPC2207" s="582" t="s">
        <v>1224</v>
      </c>
      <c r="DPD2207" s="582" t="s">
        <v>1224</v>
      </c>
      <c r="DPE2207" s="582" t="s">
        <v>1224</v>
      </c>
      <c r="DPF2207" s="582" t="s">
        <v>1224</v>
      </c>
      <c r="DPG2207" s="582" t="s">
        <v>1224</v>
      </c>
      <c r="DPH2207" s="582" t="s">
        <v>1224</v>
      </c>
      <c r="DPI2207" s="582" t="s">
        <v>1224</v>
      </c>
      <c r="DPJ2207" s="582" t="s">
        <v>1224</v>
      </c>
      <c r="DPK2207" s="582" t="s">
        <v>1224</v>
      </c>
      <c r="DPL2207" s="582" t="s">
        <v>1224</v>
      </c>
      <c r="DPM2207" s="582" t="s">
        <v>1224</v>
      </c>
      <c r="DPN2207" s="582" t="s">
        <v>1224</v>
      </c>
      <c r="DPO2207" s="582" t="s">
        <v>1224</v>
      </c>
      <c r="DPP2207" s="582" t="s">
        <v>1224</v>
      </c>
      <c r="DPQ2207" s="582" t="s">
        <v>1224</v>
      </c>
      <c r="DPR2207" s="582" t="s">
        <v>1224</v>
      </c>
      <c r="DPS2207" s="582" t="s">
        <v>1224</v>
      </c>
      <c r="DPT2207" s="582" t="s">
        <v>1224</v>
      </c>
      <c r="DPU2207" s="582" t="s">
        <v>1224</v>
      </c>
      <c r="DPV2207" s="582" t="s">
        <v>1224</v>
      </c>
      <c r="DPW2207" s="582" t="s">
        <v>1224</v>
      </c>
      <c r="DPX2207" s="582" t="s">
        <v>1224</v>
      </c>
      <c r="DPY2207" s="582" t="s">
        <v>1224</v>
      </c>
      <c r="DPZ2207" s="582" t="s">
        <v>1224</v>
      </c>
      <c r="DQA2207" s="582" t="s">
        <v>1224</v>
      </c>
      <c r="DQB2207" s="582" t="s">
        <v>1224</v>
      </c>
      <c r="DQC2207" s="582" t="s">
        <v>1224</v>
      </c>
      <c r="DQD2207" s="582" t="s">
        <v>1224</v>
      </c>
      <c r="DQE2207" s="582" t="s">
        <v>1224</v>
      </c>
      <c r="DQF2207" s="582" t="s">
        <v>1224</v>
      </c>
      <c r="DQG2207" s="582" t="s">
        <v>1224</v>
      </c>
      <c r="DQH2207" s="582" t="s">
        <v>1224</v>
      </c>
      <c r="DQI2207" s="582" t="s">
        <v>1224</v>
      </c>
      <c r="DQJ2207" s="582" t="s">
        <v>1224</v>
      </c>
      <c r="DQK2207" s="582" t="s">
        <v>1224</v>
      </c>
      <c r="DQL2207" s="582" t="s">
        <v>1224</v>
      </c>
      <c r="DQM2207" s="582" t="s">
        <v>1224</v>
      </c>
      <c r="DQN2207" s="582" t="s">
        <v>1224</v>
      </c>
      <c r="DQO2207" s="582" t="s">
        <v>1224</v>
      </c>
      <c r="DQP2207" s="582" t="s">
        <v>1224</v>
      </c>
      <c r="DQQ2207" s="582" t="s">
        <v>1224</v>
      </c>
      <c r="DQR2207" s="582" t="s">
        <v>1224</v>
      </c>
      <c r="DQS2207" s="582" t="s">
        <v>1224</v>
      </c>
      <c r="DQT2207" s="582" t="s">
        <v>1224</v>
      </c>
      <c r="DQU2207" s="582" t="s">
        <v>1224</v>
      </c>
      <c r="DQV2207" s="582" t="s">
        <v>1224</v>
      </c>
      <c r="DQW2207" s="582" t="s">
        <v>1224</v>
      </c>
      <c r="DQX2207" s="582" t="s">
        <v>1224</v>
      </c>
      <c r="DQY2207" s="582" t="s">
        <v>1224</v>
      </c>
      <c r="DQZ2207" s="582" t="s">
        <v>1224</v>
      </c>
      <c r="DRA2207" s="582" t="s">
        <v>1224</v>
      </c>
      <c r="DRB2207" s="582" t="s">
        <v>1224</v>
      </c>
      <c r="DRC2207" s="582" t="s">
        <v>1224</v>
      </c>
      <c r="DRD2207" s="582" t="s">
        <v>1224</v>
      </c>
      <c r="DRE2207" s="582" t="s">
        <v>1224</v>
      </c>
      <c r="DRF2207" s="582" t="s">
        <v>1224</v>
      </c>
      <c r="DRG2207" s="582" t="s">
        <v>1224</v>
      </c>
      <c r="DRH2207" s="582" t="s">
        <v>1224</v>
      </c>
      <c r="DRI2207" s="582" t="s">
        <v>1224</v>
      </c>
      <c r="DRJ2207" s="582" t="s">
        <v>1224</v>
      </c>
      <c r="DRK2207" s="582" t="s">
        <v>1224</v>
      </c>
      <c r="DRL2207" s="582" t="s">
        <v>1224</v>
      </c>
      <c r="DRM2207" s="582" t="s">
        <v>1224</v>
      </c>
      <c r="DRN2207" s="582" t="s">
        <v>1224</v>
      </c>
      <c r="DRO2207" s="582" t="s">
        <v>1224</v>
      </c>
      <c r="DRP2207" s="582" t="s">
        <v>1224</v>
      </c>
      <c r="DRQ2207" s="582" t="s">
        <v>1224</v>
      </c>
      <c r="DRR2207" s="582" t="s">
        <v>1224</v>
      </c>
      <c r="DRS2207" s="582" t="s">
        <v>1224</v>
      </c>
      <c r="DRT2207" s="582" t="s">
        <v>1224</v>
      </c>
      <c r="DRU2207" s="582" t="s">
        <v>1224</v>
      </c>
      <c r="DRV2207" s="582" t="s">
        <v>1224</v>
      </c>
      <c r="DRW2207" s="582" t="s">
        <v>1224</v>
      </c>
      <c r="DRX2207" s="582" t="s">
        <v>1224</v>
      </c>
      <c r="DRY2207" s="582" t="s">
        <v>1224</v>
      </c>
      <c r="DRZ2207" s="582" t="s">
        <v>1224</v>
      </c>
      <c r="DSA2207" s="582" t="s">
        <v>1224</v>
      </c>
      <c r="DSB2207" s="582" t="s">
        <v>1224</v>
      </c>
      <c r="DSC2207" s="582" t="s">
        <v>1224</v>
      </c>
      <c r="DSD2207" s="582" t="s">
        <v>1224</v>
      </c>
      <c r="DSE2207" s="582" t="s">
        <v>1224</v>
      </c>
      <c r="DSF2207" s="582" t="s">
        <v>1224</v>
      </c>
      <c r="DSG2207" s="582" t="s">
        <v>1224</v>
      </c>
      <c r="DSH2207" s="582" t="s">
        <v>1224</v>
      </c>
      <c r="DSI2207" s="582" t="s">
        <v>1224</v>
      </c>
      <c r="DSJ2207" s="582" t="s">
        <v>1224</v>
      </c>
      <c r="DSK2207" s="582" t="s">
        <v>1224</v>
      </c>
      <c r="DSL2207" s="582" t="s">
        <v>1224</v>
      </c>
      <c r="DSM2207" s="582" t="s">
        <v>1224</v>
      </c>
      <c r="DSN2207" s="582" t="s">
        <v>1224</v>
      </c>
      <c r="DSO2207" s="582" t="s">
        <v>1224</v>
      </c>
      <c r="DSP2207" s="582" t="s">
        <v>1224</v>
      </c>
      <c r="DSQ2207" s="582" t="s">
        <v>1224</v>
      </c>
      <c r="DSR2207" s="582" t="s">
        <v>1224</v>
      </c>
      <c r="DSS2207" s="582" t="s">
        <v>1224</v>
      </c>
      <c r="DST2207" s="582" t="s">
        <v>1224</v>
      </c>
      <c r="DSU2207" s="582" t="s">
        <v>1224</v>
      </c>
      <c r="DSV2207" s="582" t="s">
        <v>1224</v>
      </c>
      <c r="DSW2207" s="582" t="s">
        <v>1224</v>
      </c>
      <c r="DSX2207" s="582" t="s">
        <v>1224</v>
      </c>
      <c r="DSY2207" s="582" t="s">
        <v>1224</v>
      </c>
      <c r="DSZ2207" s="582" t="s">
        <v>1224</v>
      </c>
      <c r="DTA2207" s="582" t="s">
        <v>1224</v>
      </c>
      <c r="DTB2207" s="582" t="s">
        <v>1224</v>
      </c>
      <c r="DTC2207" s="582" t="s">
        <v>1224</v>
      </c>
      <c r="DTD2207" s="582" t="s">
        <v>1224</v>
      </c>
      <c r="DTE2207" s="582" t="s">
        <v>1224</v>
      </c>
      <c r="DTF2207" s="582" t="s">
        <v>1224</v>
      </c>
      <c r="DTG2207" s="582" t="s">
        <v>1224</v>
      </c>
      <c r="DTH2207" s="582" t="s">
        <v>1224</v>
      </c>
      <c r="DTI2207" s="582" t="s">
        <v>1224</v>
      </c>
      <c r="DTJ2207" s="582" t="s">
        <v>1224</v>
      </c>
      <c r="DTK2207" s="582" t="s">
        <v>1224</v>
      </c>
      <c r="DTL2207" s="582" t="s">
        <v>1224</v>
      </c>
      <c r="DTM2207" s="582" t="s">
        <v>1224</v>
      </c>
      <c r="DTN2207" s="582" t="s">
        <v>1224</v>
      </c>
      <c r="DTO2207" s="582" t="s">
        <v>1224</v>
      </c>
      <c r="DTP2207" s="582" t="s">
        <v>1224</v>
      </c>
      <c r="DTQ2207" s="582" t="s">
        <v>1224</v>
      </c>
      <c r="DTR2207" s="582" t="s">
        <v>1224</v>
      </c>
      <c r="DTS2207" s="582" t="s">
        <v>1224</v>
      </c>
      <c r="DTT2207" s="582" t="s">
        <v>1224</v>
      </c>
      <c r="DTU2207" s="582" t="s">
        <v>1224</v>
      </c>
      <c r="DTV2207" s="582" t="s">
        <v>1224</v>
      </c>
      <c r="DTW2207" s="582" t="s">
        <v>1224</v>
      </c>
      <c r="DTX2207" s="582" t="s">
        <v>1224</v>
      </c>
      <c r="DTY2207" s="582" t="s">
        <v>1224</v>
      </c>
      <c r="DTZ2207" s="582" t="s">
        <v>1224</v>
      </c>
      <c r="DUA2207" s="582" t="s">
        <v>1224</v>
      </c>
      <c r="DUB2207" s="582" t="s">
        <v>1224</v>
      </c>
      <c r="DUC2207" s="582" t="s">
        <v>1224</v>
      </c>
      <c r="DUD2207" s="582" t="s">
        <v>1224</v>
      </c>
      <c r="DUE2207" s="582" t="s">
        <v>1224</v>
      </c>
      <c r="DUF2207" s="582" t="s">
        <v>1224</v>
      </c>
      <c r="DUG2207" s="582" t="s">
        <v>1224</v>
      </c>
      <c r="DUH2207" s="582" t="s">
        <v>1224</v>
      </c>
      <c r="DUI2207" s="582" t="s">
        <v>1224</v>
      </c>
      <c r="DUJ2207" s="582" t="s">
        <v>1224</v>
      </c>
      <c r="DUK2207" s="582" t="s">
        <v>1224</v>
      </c>
      <c r="DUL2207" s="582" t="s">
        <v>1224</v>
      </c>
      <c r="DUM2207" s="582" t="s">
        <v>1224</v>
      </c>
      <c r="DUN2207" s="582" t="s">
        <v>1224</v>
      </c>
      <c r="DUO2207" s="582" t="s">
        <v>1224</v>
      </c>
      <c r="DUP2207" s="582" t="s">
        <v>1224</v>
      </c>
      <c r="DUQ2207" s="582" t="s">
        <v>1224</v>
      </c>
      <c r="DUR2207" s="582" t="s">
        <v>1224</v>
      </c>
      <c r="DUS2207" s="582" t="s">
        <v>1224</v>
      </c>
      <c r="DUT2207" s="582" t="s">
        <v>1224</v>
      </c>
      <c r="DUU2207" s="582" t="s">
        <v>1224</v>
      </c>
      <c r="DUV2207" s="582" t="s">
        <v>1224</v>
      </c>
      <c r="DUW2207" s="582" t="s">
        <v>1224</v>
      </c>
      <c r="DUX2207" s="582" t="s">
        <v>1224</v>
      </c>
      <c r="DUY2207" s="582" t="s">
        <v>1224</v>
      </c>
      <c r="DUZ2207" s="582" t="s">
        <v>1224</v>
      </c>
      <c r="DVA2207" s="582" t="s">
        <v>1224</v>
      </c>
      <c r="DVB2207" s="582" t="s">
        <v>1224</v>
      </c>
      <c r="DVC2207" s="582" t="s">
        <v>1224</v>
      </c>
      <c r="DVD2207" s="582" t="s">
        <v>1224</v>
      </c>
      <c r="DVE2207" s="582" t="s">
        <v>1224</v>
      </c>
      <c r="DVF2207" s="582" t="s">
        <v>1224</v>
      </c>
      <c r="DVG2207" s="582" t="s">
        <v>1224</v>
      </c>
      <c r="DVH2207" s="582" t="s">
        <v>1224</v>
      </c>
      <c r="DVI2207" s="582" t="s">
        <v>1224</v>
      </c>
      <c r="DVJ2207" s="582" t="s">
        <v>1224</v>
      </c>
      <c r="DVK2207" s="582" t="s">
        <v>1224</v>
      </c>
      <c r="DVL2207" s="582" t="s">
        <v>1224</v>
      </c>
      <c r="DVM2207" s="582" t="s">
        <v>1224</v>
      </c>
      <c r="DVN2207" s="582" t="s">
        <v>1224</v>
      </c>
      <c r="DVO2207" s="582" t="s">
        <v>1224</v>
      </c>
      <c r="DVP2207" s="582" t="s">
        <v>1224</v>
      </c>
      <c r="DVQ2207" s="582" t="s">
        <v>1224</v>
      </c>
      <c r="DVR2207" s="582" t="s">
        <v>1224</v>
      </c>
      <c r="DVS2207" s="582" t="s">
        <v>1224</v>
      </c>
      <c r="DVT2207" s="582" t="s">
        <v>1224</v>
      </c>
      <c r="DVU2207" s="582" t="s">
        <v>1224</v>
      </c>
      <c r="DVV2207" s="582" t="s">
        <v>1224</v>
      </c>
      <c r="DVW2207" s="582" t="s">
        <v>1224</v>
      </c>
      <c r="DVX2207" s="582" t="s">
        <v>1224</v>
      </c>
      <c r="DVY2207" s="582" t="s">
        <v>1224</v>
      </c>
      <c r="DVZ2207" s="582" t="s">
        <v>1224</v>
      </c>
      <c r="DWA2207" s="582" t="s">
        <v>1224</v>
      </c>
      <c r="DWB2207" s="582" t="s">
        <v>1224</v>
      </c>
      <c r="DWC2207" s="582" t="s">
        <v>1224</v>
      </c>
      <c r="DWD2207" s="582" t="s">
        <v>1224</v>
      </c>
      <c r="DWE2207" s="582" t="s">
        <v>1224</v>
      </c>
      <c r="DWF2207" s="582" t="s">
        <v>1224</v>
      </c>
      <c r="DWG2207" s="582" t="s">
        <v>1224</v>
      </c>
      <c r="DWH2207" s="582" t="s">
        <v>1224</v>
      </c>
      <c r="DWI2207" s="582" t="s">
        <v>1224</v>
      </c>
      <c r="DWJ2207" s="582" t="s">
        <v>1224</v>
      </c>
      <c r="DWK2207" s="582" t="s">
        <v>1224</v>
      </c>
      <c r="DWL2207" s="582" t="s">
        <v>1224</v>
      </c>
      <c r="DWM2207" s="582" t="s">
        <v>1224</v>
      </c>
      <c r="DWN2207" s="582" t="s">
        <v>1224</v>
      </c>
      <c r="DWO2207" s="582" t="s">
        <v>1224</v>
      </c>
      <c r="DWP2207" s="582" t="s">
        <v>1224</v>
      </c>
      <c r="DWQ2207" s="582" t="s">
        <v>1224</v>
      </c>
      <c r="DWR2207" s="582" t="s">
        <v>1224</v>
      </c>
      <c r="DWS2207" s="582" t="s">
        <v>1224</v>
      </c>
      <c r="DWT2207" s="582" t="s">
        <v>1224</v>
      </c>
      <c r="DWU2207" s="582" t="s">
        <v>1224</v>
      </c>
      <c r="DWV2207" s="582" t="s">
        <v>1224</v>
      </c>
      <c r="DWW2207" s="582" t="s">
        <v>1224</v>
      </c>
      <c r="DWX2207" s="582" t="s">
        <v>1224</v>
      </c>
      <c r="DWY2207" s="582" t="s">
        <v>1224</v>
      </c>
      <c r="DWZ2207" s="582" t="s">
        <v>1224</v>
      </c>
      <c r="DXA2207" s="582" t="s">
        <v>1224</v>
      </c>
      <c r="DXB2207" s="582" t="s">
        <v>1224</v>
      </c>
      <c r="DXC2207" s="582" t="s">
        <v>1224</v>
      </c>
      <c r="DXD2207" s="582" t="s">
        <v>1224</v>
      </c>
      <c r="DXE2207" s="582" t="s">
        <v>1224</v>
      </c>
      <c r="DXF2207" s="582" t="s">
        <v>1224</v>
      </c>
      <c r="DXG2207" s="582" t="s">
        <v>1224</v>
      </c>
      <c r="DXH2207" s="582" t="s">
        <v>1224</v>
      </c>
      <c r="DXI2207" s="582" t="s">
        <v>1224</v>
      </c>
      <c r="DXJ2207" s="582" t="s">
        <v>1224</v>
      </c>
      <c r="DXK2207" s="582" t="s">
        <v>1224</v>
      </c>
      <c r="DXL2207" s="582" t="s">
        <v>1224</v>
      </c>
      <c r="DXM2207" s="582" t="s">
        <v>1224</v>
      </c>
      <c r="DXN2207" s="582" t="s">
        <v>1224</v>
      </c>
      <c r="DXO2207" s="582" t="s">
        <v>1224</v>
      </c>
      <c r="DXP2207" s="582" t="s">
        <v>1224</v>
      </c>
      <c r="DXQ2207" s="582" t="s">
        <v>1224</v>
      </c>
      <c r="DXR2207" s="582" t="s">
        <v>1224</v>
      </c>
      <c r="DXS2207" s="582" t="s">
        <v>1224</v>
      </c>
      <c r="DXT2207" s="582" t="s">
        <v>1224</v>
      </c>
      <c r="DXU2207" s="582" t="s">
        <v>1224</v>
      </c>
      <c r="DXV2207" s="582" t="s">
        <v>1224</v>
      </c>
      <c r="DXW2207" s="582" t="s">
        <v>1224</v>
      </c>
      <c r="DXX2207" s="582" t="s">
        <v>1224</v>
      </c>
      <c r="DXY2207" s="582" t="s">
        <v>1224</v>
      </c>
      <c r="DXZ2207" s="582" t="s">
        <v>1224</v>
      </c>
      <c r="DYA2207" s="582" t="s">
        <v>1224</v>
      </c>
      <c r="DYB2207" s="582" t="s">
        <v>1224</v>
      </c>
      <c r="DYC2207" s="582" t="s">
        <v>1224</v>
      </c>
      <c r="DYD2207" s="582" t="s">
        <v>1224</v>
      </c>
      <c r="DYE2207" s="582" t="s">
        <v>1224</v>
      </c>
      <c r="DYF2207" s="582" t="s">
        <v>1224</v>
      </c>
      <c r="DYG2207" s="582" t="s">
        <v>1224</v>
      </c>
      <c r="DYH2207" s="582" t="s">
        <v>1224</v>
      </c>
      <c r="DYI2207" s="582" t="s">
        <v>1224</v>
      </c>
      <c r="DYJ2207" s="582" t="s">
        <v>1224</v>
      </c>
      <c r="DYK2207" s="582" t="s">
        <v>1224</v>
      </c>
      <c r="DYL2207" s="582" t="s">
        <v>1224</v>
      </c>
      <c r="DYM2207" s="582" t="s">
        <v>1224</v>
      </c>
      <c r="DYN2207" s="582" t="s">
        <v>1224</v>
      </c>
      <c r="DYO2207" s="582" t="s">
        <v>1224</v>
      </c>
      <c r="DYP2207" s="582" t="s">
        <v>1224</v>
      </c>
      <c r="DYQ2207" s="582" t="s">
        <v>1224</v>
      </c>
      <c r="DYR2207" s="582" t="s">
        <v>1224</v>
      </c>
      <c r="DYS2207" s="582" t="s">
        <v>1224</v>
      </c>
      <c r="DYT2207" s="582" t="s">
        <v>1224</v>
      </c>
      <c r="DYU2207" s="582" t="s">
        <v>1224</v>
      </c>
      <c r="DYV2207" s="582" t="s">
        <v>1224</v>
      </c>
      <c r="DYW2207" s="582" t="s">
        <v>1224</v>
      </c>
      <c r="DYX2207" s="582" t="s">
        <v>1224</v>
      </c>
      <c r="DYY2207" s="582" t="s">
        <v>1224</v>
      </c>
      <c r="DYZ2207" s="582" t="s">
        <v>1224</v>
      </c>
      <c r="DZA2207" s="582" t="s">
        <v>1224</v>
      </c>
      <c r="DZB2207" s="582" t="s">
        <v>1224</v>
      </c>
      <c r="DZC2207" s="582" t="s">
        <v>1224</v>
      </c>
      <c r="DZD2207" s="582" t="s">
        <v>1224</v>
      </c>
      <c r="DZE2207" s="582" t="s">
        <v>1224</v>
      </c>
      <c r="DZF2207" s="582" t="s">
        <v>1224</v>
      </c>
      <c r="DZG2207" s="582" t="s">
        <v>1224</v>
      </c>
      <c r="DZH2207" s="582" t="s">
        <v>1224</v>
      </c>
      <c r="DZI2207" s="582" t="s">
        <v>1224</v>
      </c>
      <c r="DZJ2207" s="582" t="s">
        <v>1224</v>
      </c>
      <c r="DZK2207" s="582" t="s">
        <v>1224</v>
      </c>
      <c r="DZL2207" s="582" t="s">
        <v>1224</v>
      </c>
      <c r="DZM2207" s="582" t="s">
        <v>1224</v>
      </c>
      <c r="DZN2207" s="582" t="s">
        <v>1224</v>
      </c>
      <c r="DZO2207" s="582" t="s">
        <v>1224</v>
      </c>
      <c r="DZP2207" s="582" t="s">
        <v>1224</v>
      </c>
      <c r="DZQ2207" s="582" t="s">
        <v>1224</v>
      </c>
      <c r="DZR2207" s="582" t="s">
        <v>1224</v>
      </c>
      <c r="DZS2207" s="582" t="s">
        <v>1224</v>
      </c>
      <c r="DZT2207" s="582" t="s">
        <v>1224</v>
      </c>
      <c r="DZU2207" s="582" t="s">
        <v>1224</v>
      </c>
      <c r="DZV2207" s="582" t="s">
        <v>1224</v>
      </c>
      <c r="DZW2207" s="582" t="s">
        <v>1224</v>
      </c>
      <c r="DZX2207" s="582" t="s">
        <v>1224</v>
      </c>
      <c r="DZY2207" s="582" t="s">
        <v>1224</v>
      </c>
      <c r="DZZ2207" s="582" t="s">
        <v>1224</v>
      </c>
      <c r="EAA2207" s="582" t="s">
        <v>1224</v>
      </c>
      <c r="EAB2207" s="582" t="s">
        <v>1224</v>
      </c>
      <c r="EAC2207" s="582" t="s">
        <v>1224</v>
      </c>
      <c r="EAD2207" s="582" t="s">
        <v>1224</v>
      </c>
      <c r="EAE2207" s="582" t="s">
        <v>1224</v>
      </c>
      <c r="EAF2207" s="582" t="s">
        <v>1224</v>
      </c>
      <c r="EAG2207" s="582" t="s">
        <v>1224</v>
      </c>
      <c r="EAH2207" s="582" t="s">
        <v>1224</v>
      </c>
      <c r="EAI2207" s="582" t="s">
        <v>1224</v>
      </c>
      <c r="EAJ2207" s="582" t="s">
        <v>1224</v>
      </c>
      <c r="EAK2207" s="582" t="s">
        <v>1224</v>
      </c>
      <c r="EAL2207" s="582" t="s">
        <v>1224</v>
      </c>
      <c r="EAM2207" s="582" t="s">
        <v>1224</v>
      </c>
      <c r="EAN2207" s="582" t="s">
        <v>1224</v>
      </c>
      <c r="EAO2207" s="582" t="s">
        <v>1224</v>
      </c>
      <c r="EAP2207" s="582" t="s">
        <v>1224</v>
      </c>
      <c r="EAQ2207" s="582" t="s">
        <v>1224</v>
      </c>
      <c r="EAR2207" s="582" t="s">
        <v>1224</v>
      </c>
      <c r="EAS2207" s="582" t="s">
        <v>1224</v>
      </c>
      <c r="EAT2207" s="582" t="s">
        <v>1224</v>
      </c>
      <c r="EAU2207" s="582" t="s">
        <v>1224</v>
      </c>
      <c r="EAV2207" s="582" t="s">
        <v>1224</v>
      </c>
      <c r="EAW2207" s="582" t="s">
        <v>1224</v>
      </c>
      <c r="EAX2207" s="582" t="s">
        <v>1224</v>
      </c>
      <c r="EAY2207" s="582" t="s">
        <v>1224</v>
      </c>
      <c r="EAZ2207" s="582" t="s">
        <v>1224</v>
      </c>
      <c r="EBA2207" s="582" t="s">
        <v>1224</v>
      </c>
      <c r="EBB2207" s="582" t="s">
        <v>1224</v>
      </c>
      <c r="EBC2207" s="582" t="s">
        <v>1224</v>
      </c>
      <c r="EBD2207" s="582" t="s">
        <v>1224</v>
      </c>
      <c r="EBE2207" s="582" t="s">
        <v>1224</v>
      </c>
      <c r="EBF2207" s="582" t="s">
        <v>1224</v>
      </c>
      <c r="EBG2207" s="582" t="s">
        <v>1224</v>
      </c>
      <c r="EBH2207" s="582" t="s">
        <v>1224</v>
      </c>
      <c r="EBI2207" s="582" t="s">
        <v>1224</v>
      </c>
      <c r="EBJ2207" s="582" t="s">
        <v>1224</v>
      </c>
      <c r="EBK2207" s="582" t="s">
        <v>1224</v>
      </c>
      <c r="EBL2207" s="582" t="s">
        <v>1224</v>
      </c>
      <c r="EBM2207" s="582" t="s">
        <v>1224</v>
      </c>
      <c r="EBN2207" s="582" t="s">
        <v>1224</v>
      </c>
      <c r="EBO2207" s="582" t="s">
        <v>1224</v>
      </c>
      <c r="EBP2207" s="582" t="s">
        <v>1224</v>
      </c>
      <c r="EBQ2207" s="582" t="s">
        <v>1224</v>
      </c>
      <c r="EBR2207" s="582" t="s">
        <v>1224</v>
      </c>
      <c r="EBS2207" s="582" t="s">
        <v>1224</v>
      </c>
      <c r="EBT2207" s="582" t="s">
        <v>1224</v>
      </c>
      <c r="EBU2207" s="582" t="s">
        <v>1224</v>
      </c>
      <c r="EBV2207" s="582" t="s">
        <v>1224</v>
      </c>
      <c r="EBW2207" s="582" t="s">
        <v>1224</v>
      </c>
      <c r="EBX2207" s="582" t="s">
        <v>1224</v>
      </c>
      <c r="EBY2207" s="582" t="s">
        <v>1224</v>
      </c>
      <c r="EBZ2207" s="582" t="s">
        <v>1224</v>
      </c>
      <c r="ECA2207" s="582" t="s">
        <v>1224</v>
      </c>
      <c r="ECB2207" s="582" t="s">
        <v>1224</v>
      </c>
      <c r="ECC2207" s="582" t="s">
        <v>1224</v>
      </c>
      <c r="ECD2207" s="582" t="s">
        <v>1224</v>
      </c>
      <c r="ECE2207" s="582" t="s">
        <v>1224</v>
      </c>
      <c r="ECF2207" s="582" t="s">
        <v>1224</v>
      </c>
      <c r="ECG2207" s="582" t="s">
        <v>1224</v>
      </c>
      <c r="ECH2207" s="582" t="s">
        <v>1224</v>
      </c>
      <c r="ECI2207" s="582" t="s">
        <v>1224</v>
      </c>
      <c r="ECJ2207" s="582" t="s">
        <v>1224</v>
      </c>
      <c r="ECK2207" s="582" t="s">
        <v>1224</v>
      </c>
      <c r="ECL2207" s="582" t="s">
        <v>1224</v>
      </c>
      <c r="ECM2207" s="582" t="s">
        <v>1224</v>
      </c>
      <c r="ECN2207" s="582" t="s">
        <v>1224</v>
      </c>
      <c r="ECO2207" s="582" t="s">
        <v>1224</v>
      </c>
      <c r="ECP2207" s="582" t="s">
        <v>1224</v>
      </c>
      <c r="ECQ2207" s="582" t="s">
        <v>1224</v>
      </c>
      <c r="ECR2207" s="582" t="s">
        <v>1224</v>
      </c>
      <c r="ECS2207" s="582" t="s">
        <v>1224</v>
      </c>
      <c r="ECT2207" s="582" t="s">
        <v>1224</v>
      </c>
      <c r="ECU2207" s="582" t="s">
        <v>1224</v>
      </c>
      <c r="ECV2207" s="582" t="s">
        <v>1224</v>
      </c>
      <c r="ECW2207" s="582" t="s">
        <v>1224</v>
      </c>
      <c r="ECX2207" s="582" t="s">
        <v>1224</v>
      </c>
      <c r="ECY2207" s="582" t="s">
        <v>1224</v>
      </c>
      <c r="ECZ2207" s="582" t="s">
        <v>1224</v>
      </c>
      <c r="EDA2207" s="582" t="s">
        <v>1224</v>
      </c>
      <c r="EDB2207" s="582" t="s">
        <v>1224</v>
      </c>
      <c r="EDC2207" s="582" t="s">
        <v>1224</v>
      </c>
      <c r="EDD2207" s="582" t="s">
        <v>1224</v>
      </c>
      <c r="EDE2207" s="582" t="s">
        <v>1224</v>
      </c>
      <c r="EDF2207" s="582" t="s">
        <v>1224</v>
      </c>
      <c r="EDG2207" s="582" t="s">
        <v>1224</v>
      </c>
      <c r="EDH2207" s="582" t="s">
        <v>1224</v>
      </c>
      <c r="EDI2207" s="582" t="s">
        <v>1224</v>
      </c>
      <c r="EDJ2207" s="582" t="s">
        <v>1224</v>
      </c>
      <c r="EDK2207" s="582" t="s">
        <v>1224</v>
      </c>
      <c r="EDL2207" s="582" t="s">
        <v>1224</v>
      </c>
      <c r="EDM2207" s="582" t="s">
        <v>1224</v>
      </c>
      <c r="EDN2207" s="582" t="s">
        <v>1224</v>
      </c>
      <c r="EDO2207" s="582" t="s">
        <v>1224</v>
      </c>
      <c r="EDP2207" s="582" t="s">
        <v>1224</v>
      </c>
      <c r="EDQ2207" s="582" t="s">
        <v>1224</v>
      </c>
      <c r="EDR2207" s="582" t="s">
        <v>1224</v>
      </c>
      <c r="EDS2207" s="582" t="s">
        <v>1224</v>
      </c>
      <c r="EDT2207" s="582" t="s">
        <v>1224</v>
      </c>
      <c r="EDU2207" s="582" t="s">
        <v>1224</v>
      </c>
      <c r="EDV2207" s="582" t="s">
        <v>1224</v>
      </c>
      <c r="EDW2207" s="582" t="s">
        <v>1224</v>
      </c>
      <c r="EDX2207" s="582" t="s">
        <v>1224</v>
      </c>
      <c r="EDY2207" s="582" t="s">
        <v>1224</v>
      </c>
      <c r="EDZ2207" s="582" t="s">
        <v>1224</v>
      </c>
      <c r="EEA2207" s="582" t="s">
        <v>1224</v>
      </c>
      <c r="EEB2207" s="582" t="s">
        <v>1224</v>
      </c>
      <c r="EEC2207" s="582" t="s">
        <v>1224</v>
      </c>
      <c r="EED2207" s="582" t="s">
        <v>1224</v>
      </c>
      <c r="EEE2207" s="582" t="s">
        <v>1224</v>
      </c>
      <c r="EEF2207" s="582" t="s">
        <v>1224</v>
      </c>
      <c r="EEG2207" s="582" t="s">
        <v>1224</v>
      </c>
      <c r="EEH2207" s="582" t="s">
        <v>1224</v>
      </c>
      <c r="EEI2207" s="582" t="s">
        <v>1224</v>
      </c>
      <c r="EEJ2207" s="582" t="s">
        <v>1224</v>
      </c>
      <c r="EEK2207" s="582" t="s">
        <v>1224</v>
      </c>
      <c r="EEL2207" s="582" t="s">
        <v>1224</v>
      </c>
      <c r="EEM2207" s="582" t="s">
        <v>1224</v>
      </c>
      <c r="EEN2207" s="582" t="s">
        <v>1224</v>
      </c>
      <c r="EEO2207" s="582" t="s">
        <v>1224</v>
      </c>
      <c r="EEP2207" s="582" t="s">
        <v>1224</v>
      </c>
      <c r="EEQ2207" s="582" t="s">
        <v>1224</v>
      </c>
      <c r="EER2207" s="582" t="s">
        <v>1224</v>
      </c>
      <c r="EES2207" s="582" t="s">
        <v>1224</v>
      </c>
      <c r="EET2207" s="582" t="s">
        <v>1224</v>
      </c>
      <c r="EEU2207" s="582" t="s">
        <v>1224</v>
      </c>
      <c r="EEV2207" s="582" t="s">
        <v>1224</v>
      </c>
      <c r="EEW2207" s="582" t="s">
        <v>1224</v>
      </c>
      <c r="EEX2207" s="582" t="s">
        <v>1224</v>
      </c>
      <c r="EEY2207" s="582" t="s">
        <v>1224</v>
      </c>
      <c r="EEZ2207" s="582" t="s">
        <v>1224</v>
      </c>
      <c r="EFA2207" s="582" t="s">
        <v>1224</v>
      </c>
      <c r="EFB2207" s="582" t="s">
        <v>1224</v>
      </c>
      <c r="EFC2207" s="582" t="s">
        <v>1224</v>
      </c>
      <c r="EFD2207" s="582" t="s">
        <v>1224</v>
      </c>
      <c r="EFE2207" s="582" t="s">
        <v>1224</v>
      </c>
      <c r="EFF2207" s="582" t="s">
        <v>1224</v>
      </c>
      <c r="EFG2207" s="582" t="s">
        <v>1224</v>
      </c>
      <c r="EFH2207" s="582" t="s">
        <v>1224</v>
      </c>
      <c r="EFI2207" s="582" t="s">
        <v>1224</v>
      </c>
      <c r="EFJ2207" s="582" t="s">
        <v>1224</v>
      </c>
      <c r="EFK2207" s="582" t="s">
        <v>1224</v>
      </c>
      <c r="EFL2207" s="582" t="s">
        <v>1224</v>
      </c>
      <c r="EFM2207" s="582" t="s">
        <v>1224</v>
      </c>
      <c r="EFN2207" s="582" t="s">
        <v>1224</v>
      </c>
      <c r="EFO2207" s="582" t="s">
        <v>1224</v>
      </c>
      <c r="EFP2207" s="582" t="s">
        <v>1224</v>
      </c>
      <c r="EFQ2207" s="582" t="s">
        <v>1224</v>
      </c>
      <c r="EFR2207" s="582" t="s">
        <v>1224</v>
      </c>
      <c r="EFS2207" s="582" t="s">
        <v>1224</v>
      </c>
      <c r="EFT2207" s="582" t="s">
        <v>1224</v>
      </c>
      <c r="EFU2207" s="582" t="s">
        <v>1224</v>
      </c>
      <c r="EFV2207" s="582" t="s">
        <v>1224</v>
      </c>
      <c r="EFW2207" s="582" t="s">
        <v>1224</v>
      </c>
      <c r="EFX2207" s="582" t="s">
        <v>1224</v>
      </c>
      <c r="EFY2207" s="582" t="s">
        <v>1224</v>
      </c>
      <c r="EFZ2207" s="582" t="s">
        <v>1224</v>
      </c>
      <c r="EGA2207" s="582" t="s">
        <v>1224</v>
      </c>
      <c r="EGB2207" s="582" t="s">
        <v>1224</v>
      </c>
      <c r="EGC2207" s="582" t="s">
        <v>1224</v>
      </c>
      <c r="EGD2207" s="582" t="s">
        <v>1224</v>
      </c>
      <c r="EGE2207" s="582" t="s">
        <v>1224</v>
      </c>
      <c r="EGF2207" s="582" t="s">
        <v>1224</v>
      </c>
      <c r="EGG2207" s="582" t="s">
        <v>1224</v>
      </c>
      <c r="EGH2207" s="582" t="s">
        <v>1224</v>
      </c>
      <c r="EGI2207" s="582" t="s">
        <v>1224</v>
      </c>
      <c r="EGJ2207" s="582" t="s">
        <v>1224</v>
      </c>
      <c r="EGK2207" s="582" t="s">
        <v>1224</v>
      </c>
      <c r="EGL2207" s="582" t="s">
        <v>1224</v>
      </c>
      <c r="EGM2207" s="582" t="s">
        <v>1224</v>
      </c>
      <c r="EGN2207" s="582" t="s">
        <v>1224</v>
      </c>
      <c r="EGO2207" s="582" t="s">
        <v>1224</v>
      </c>
      <c r="EGP2207" s="582" t="s">
        <v>1224</v>
      </c>
      <c r="EGQ2207" s="582" t="s">
        <v>1224</v>
      </c>
      <c r="EGR2207" s="582" t="s">
        <v>1224</v>
      </c>
      <c r="EGS2207" s="582" t="s">
        <v>1224</v>
      </c>
      <c r="EGT2207" s="582" t="s">
        <v>1224</v>
      </c>
      <c r="EGU2207" s="582" t="s">
        <v>1224</v>
      </c>
      <c r="EGV2207" s="582" t="s">
        <v>1224</v>
      </c>
      <c r="EGW2207" s="582" t="s">
        <v>1224</v>
      </c>
      <c r="EGX2207" s="582" t="s">
        <v>1224</v>
      </c>
      <c r="EGY2207" s="582" t="s">
        <v>1224</v>
      </c>
      <c r="EGZ2207" s="582" t="s">
        <v>1224</v>
      </c>
      <c r="EHA2207" s="582" t="s">
        <v>1224</v>
      </c>
      <c r="EHB2207" s="582" t="s">
        <v>1224</v>
      </c>
      <c r="EHC2207" s="582" t="s">
        <v>1224</v>
      </c>
      <c r="EHD2207" s="582" t="s">
        <v>1224</v>
      </c>
      <c r="EHE2207" s="582" t="s">
        <v>1224</v>
      </c>
      <c r="EHF2207" s="582" t="s">
        <v>1224</v>
      </c>
      <c r="EHG2207" s="582" t="s">
        <v>1224</v>
      </c>
      <c r="EHH2207" s="582" t="s">
        <v>1224</v>
      </c>
      <c r="EHI2207" s="582" t="s">
        <v>1224</v>
      </c>
      <c r="EHJ2207" s="582" t="s">
        <v>1224</v>
      </c>
      <c r="EHK2207" s="582" t="s">
        <v>1224</v>
      </c>
      <c r="EHL2207" s="582" t="s">
        <v>1224</v>
      </c>
      <c r="EHM2207" s="582" t="s">
        <v>1224</v>
      </c>
      <c r="EHN2207" s="582" t="s">
        <v>1224</v>
      </c>
      <c r="EHO2207" s="582" t="s">
        <v>1224</v>
      </c>
      <c r="EHP2207" s="582" t="s">
        <v>1224</v>
      </c>
      <c r="EHQ2207" s="582" t="s">
        <v>1224</v>
      </c>
      <c r="EHR2207" s="582" t="s">
        <v>1224</v>
      </c>
      <c r="EHS2207" s="582" t="s">
        <v>1224</v>
      </c>
      <c r="EHT2207" s="582" t="s">
        <v>1224</v>
      </c>
      <c r="EHU2207" s="582" t="s">
        <v>1224</v>
      </c>
      <c r="EHV2207" s="582" t="s">
        <v>1224</v>
      </c>
      <c r="EHW2207" s="582" t="s">
        <v>1224</v>
      </c>
      <c r="EHX2207" s="582" t="s">
        <v>1224</v>
      </c>
      <c r="EHY2207" s="582" t="s">
        <v>1224</v>
      </c>
      <c r="EHZ2207" s="582" t="s">
        <v>1224</v>
      </c>
      <c r="EIA2207" s="582" t="s">
        <v>1224</v>
      </c>
      <c r="EIB2207" s="582" t="s">
        <v>1224</v>
      </c>
      <c r="EIC2207" s="582" t="s">
        <v>1224</v>
      </c>
      <c r="EID2207" s="582" t="s">
        <v>1224</v>
      </c>
      <c r="EIE2207" s="582" t="s">
        <v>1224</v>
      </c>
      <c r="EIF2207" s="582" t="s">
        <v>1224</v>
      </c>
      <c r="EIG2207" s="582" t="s">
        <v>1224</v>
      </c>
      <c r="EIH2207" s="582" t="s">
        <v>1224</v>
      </c>
      <c r="EII2207" s="582" t="s">
        <v>1224</v>
      </c>
      <c r="EIJ2207" s="582" t="s">
        <v>1224</v>
      </c>
      <c r="EIK2207" s="582" t="s">
        <v>1224</v>
      </c>
      <c r="EIL2207" s="582" t="s">
        <v>1224</v>
      </c>
      <c r="EIM2207" s="582" t="s">
        <v>1224</v>
      </c>
      <c r="EIN2207" s="582" t="s">
        <v>1224</v>
      </c>
      <c r="EIO2207" s="582" t="s">
        <v>1224</v>
      </c>
      <c r="EIP2207" s="582" t="s">
        <v>1224</v>
      </c>
      <c r="EIQ2207" s="582" t="s">
        <v>1224</v>
      </c>
      <c r="EIR2207" s="582" t="s">
        <v>1224</v>
      </c>
      <c r="EIS2207" s="582" t="s">
        <v>1224</v>
      </c>
      <c r="EIT2207" s="582" t="s">
        <v>1224</v>
      </c>
      <c r="EIU2207" s="582" t="s">
        <v>1224</v>
      </c>
      <c r="EIV2207" s="582" t="s">
        <v>1224</v>
      </c>
      <c r="EIW2207" s="582" t="s">
        <v>1224</v>
      </c>
      <c r="EIX2207" s="582" t="s">
        <v>1224</v>
      </c>
      <c r="EIY2207" s="582" t="s">
        <v>1224</v>
      </c>
      <c r="EIZ2207" s="582" t="s">
        <v>1224</v>
      </c>
      <c r="EJA2207" s="582" t="s">
        <v>1224</v>
      </c>
      <c r="EJB2207" s="582" t="s">
        <v>1224</v>
      </c>
      <c r="EJC2207" s="582" t="s">
        <v>1224</v>
      </c>
      <c r="EJD2207" s="582" t="s">
        <v>1224</v>
      </c>
      <c r="EJE2207" s="582" t="s">
        <v>1224</v>
      </c>
      <c r="EJF2207" s="582" t="s">
        <v>1224</v>
      </c>
      <c r="EJG2207" s="582" t="s">
        <v>1224</v>
      </c>
      <c r="EJH2207" s="582" t="s">
        <v>1224</v>
      </c>
      <c r="EJI2207" s="582" t="s">
        <v>1224</v>
      </c>
      <c r="EJJ2207" s="582" t="s">
        <v>1224</v>
      </c>
      <c r="EJK2207" s="582" t="s">
        <v>1224</v>
      </c>
      <c r="EJL2207" s="582" t="s">
        <v>1224</v>
      </c>
      <c r="EJM2207" s="582" t="s">
        <v>1224</v>
      </c>
      <c r="EJN2207" s="582" t="s">
        <v>1224</v>
      </c>
      <c r="EJO2207" s="582" t="s">
        <v>1224</v>
      </c>
      <c r="EJP2207" s="582" t="s">
        <v>1224</v>
      </c>
      <c r="EJQ2207" s="582" t="s">
        <v>1224</v>
      </c>
      <c r="EJR2207" s="582" t="s">
        <v>1224</v>
      </c>
      <c r="EJS2207" s="582" t="s">
        <v>1224</v>
      </c>
      <c r="EJT2207" s="582" t="s">
        <v>1224</v>
      </c>
      <c r="EJU2207" s="582" t="s">
        <v>1224</v>
      </c>
      <c r="EJV2207" s="582" t="s">
        <v>1224</v>
      </c>
      <c r="EJW2207" s="582" t="s">
        <v>1224</v>
      </c>
      <c r="EJX2207" s="582" t="s">
        <v>1224</v>
      </c>
      <c r="EJY2207" s="582" t="s">
        <v>1224</v>
      </c>
      <c r="EJZ2207" s="582" t="s">
        <v>1224</v>
      </c>
      <c r="EKA2207" s="582" t="s">
        <v>1224</v>
      </c>
      <c r="EKB2207" s="582" t="s">
        <v>1224</v>
      </c>
      <c r="EKC2207" s="582" t="s">
        <v>1224</v>
      </c>
      <c r="EKD2207" s="582" t="s">
        <v>1224</v>
      </c>
      <c r="EKE2207" s="582" t="s">
        <v>1224</v>
      </c>
      <c r="EKF2207" s="582" t="s">
        <v>1224</v>
      </c>
      <c r="EKG2207" s="582" t="s">
        <v>1224</v>
      </c>
      <c r="EKH2207" s="582" t="s">
        <v>1224</v>
      </c>
      <c r="EKI2207" s="582" t="s">
        <v>1224</v>
      </c>
      <c r="EKJ2207" s="582" t="s">
        <v>1224</v>
      </c>
      <c r="EKK2207" s="582" t="s">
        <v>1224</v>
      </c>
      <c r="EKL2207" s="582" t="s">
        <v>1224</v>
      </c>
      <c r="EKM2207" s="582" t="s">
        <v>1224</v>
      </c>
      <c r="EKN2207" s="582" t="s">
        <v>1224</v>
      </c>
      <c r="EKO2207" s="582" t="s">
        <v>1224</v>
      </c>
      <c r="EKP2207" s="582" t="s">
        <v>1224</v>
      </c>
      <c r="EKQ2207" s="582" t="s">
        <v>1224</v>
      </c>
      <c r="EKR2207" s="582" t="s">
        <v>1224</v>
      </c>
      <c r="EKS2207" s="582" t="s">
        <v>1224</v>
      </c>
      <c r="EKT2207" s="582" t="s">
        <v>1224</v>
      </c>
      <c r="EKU2207" s="582" t="s">
        <v>1224</v>
      </c>
      <c r="EKV2207" s="582" t="s">
        <v>1224</v>
      </c>
      <c r="EKW2207" s="582" t="s">
        <v>1224</v>
      </c>
      <c r="EKX2207" s="582" t="s">
        <v>1224</v>
      </c>
      <c r="EKY2207" s="582" t="s">
        <v>1224</v>
      </c>
      <c r="EKZ2207" s="582" t="s">
        <v>1224</v>
      </c>
      <c r="ELA2207" s="582" t="s">
        <v>1224</v>
      </c>
      <c r="ELB2207" s="582" t="s">
        <v>1224</v>
      </c>
      <c r="ELC2207" s="582" t="s">
        <v>1224</v>
      </c>
      <c r="ELD2207" s="582" t="s">
        <v>1224</v>
      </c>
      <c r="ELE2207" s="582" t="s">
        <v>1224</v>
      </c>
      <c r="ELF2207" s="582" t="s">
        <v>1224</v>
      </c>
      <c r="ELG2207" s="582" t="s">
        <v>1224</v>
      </c>
      <c r="ELH2207" s="582" t="s">
        <v>1224</v>
      </c>
      <c r="ELI2207" s="582" t="s">
        <v>1224</v>
      </c>
      <c r="ELJ2207" s="582" t="s">
        <v>1224</v>
      </c>
      <c r="ELK2207" s="582" t="s">
        <v>1224</v>
      </c>
      <c r="ELL2207" s="582" t="s">
        <v>1224</v>
      </c>
      <c r="ELM2207" s="582" t="s">
        <v>1224</v>
      </c>
      <c r="ELN2207" s="582" t="s">
        <v>1224</v>
      </c>
      <c r="ELO2207" s="582" t="s">
        <v>1224</v>
      </c>
      <c r="ELP2207" s="582" t="s">
        <v>1224</v>
      </c>
      <c r="ELQ2207" s="582" t="s">
        <v>1224</v>
      </c>
      <c r="ELR2207" s="582" t="s">
        <v>1224</v>
      </c>
      <c r="ELS2207" s="582" t="s">
        <v>1224</v>
      </c>
      <c r="ELT2207" s="582" t="s">
        <v>1224</v>
      </c>
      <c r="ELU2207" s="582" t="s">
        <v>1224</v>
      </c>
      <c r="ELV2207" s="582" t="s">
        <v>1224</v>
      </c>
      <c r="ELW2207" s="582" t="s">
        <v>1224</v>
      </c>
      <c r="ELX2207" s="582" t="s">
        <v>1224</v>
      </c>
      <c r="ELY2207" s="582" t="s">
        <v>1224</v>
      </c>
      <c r="ELZ2207" s="582" t="s">
        <v>1224</v>
      </c>
      <c r="EMA2207" s="582" t="s">
        <v>1224</v>
      </c>
      <c r="EMB2207" s="582" t="s">
        <v>1224</v>
      </c>
      <c r="EMC2207" s="582" t="s">
        <v>1224</v>
      </c>
      <c r="EMD2207" s="582" t="s">
        <v>1224</v>
      </c>
      <c r="EME2207" s="582" t="s">
        <v>1224</v>
      </c>
      <c r="EMF2207" s="582" t="s">
        <v>1224</v>
      </c>
      <c r="EMG2207" s="582" t="s">
        <v>1224</v>
      </c>
      <c r="EMH2207" s="582" t="s">
        <v>1224</v>
      </c>
      <c r="EMI2207" s="582" t="s">
        <v>1224</v>
      </c>
      <c r="EMJ2207" s="582" t="s">
        <v>1224</v>
      </c>
      <c r="EMK2207" s="582" t="s">
        <v>1224</v>
      </c>
      <c r="EML2207" s="582" t="s">
        <v>1224</v>
      </c>
      <c r="EMM2207" s="582" t="s">
        <v>1224</v>
      </c>
      <c r="EMN2207" s="582" t="s">
        <v>1224</v>
      </c>
      <c r="EMO2207" s="582" t="s">
        <v>1224</v>
      </c>
      <c r="EMP2207" s="582" t="s">
        <v>1224</v>
      </c>
      <c r="EMQ2207" s="582" t="s">
        <v>1224</v>
      </c>
      <c r="EMR2207" s="582" t="s">
        <v>1224</v>
      </c>
      <c r="EMS2207" s="582" t="s">
        <v>1224</v>
      </c>
      <c r="EMT2207" s="582" t="s">
        <v>1224</v>
      </c>
      <c r="EMU2207" s="582" t="s">
        <v>1224</v>
      </c>
      <c r="EMV2207" s="582" t="s">
        <v>1224</v>
      </c>
      <c r="EMW2207" s="582" t="s">
        <v>1224</v>
      </c>
      <c r="EMX2207" s="582" t="s">
        <v>1224</v>
      </c>
      <c r="EMY2207" s="582" t="s">
        <v>1224</v>
      </c>
      <c r="EMZ2207" s="582" t="s">
        <v>1224</v>
      </c>
      <c r="ENA2207" s="582" t="s">
        <v>1224</v>
      </c>
      <c r="ENB2207" s="582" t="s">
        <v>1224</v>
      </c>
      <c r="ENC2207" s="582" t="s">
        <v>1224</v>
      </c>
      <c r="END2207" s="582" t="s">
        <v>1224</v>
      </c>
      <c r="ENE2207" s="582" t="s">
        <v>1224</v>
      </c>
      <c r="ENF2207" s="582" t="s">
        <v>1224</v>
      </c>
      <c r="ENG2207" s="582" t="s">
        <v>1224</v>
      </c>
      <c r="ENH2207" s="582" t="s">
        <v>1224</v>
      </c>
      <c r="ENI2207" s="582" t="s">
        <v>1224</v>
      </c>
      <c r="ENJ2207" s="582" t="s">
        <v>1224</v>
      </c>
      <c r="ENK2207" s="582" t="s">
        <v>1224</v>
      </c>
      <c r="ENL2207" s="582" t="s">
        <v>1224</v>
      </c>
      <c r="ENM2207" s="582" t="s">
        <v>1224</v>
      </c>
      <c r="ENN2207" s="582" t="s">
        <v>1224</v>
      </c>
      <c r="ENO2207" s="582" t="s">
        <v>1224</v>
      </c>
      <c r="ENP2207" s="582" t="s">
        <v>1224</v>
      </c>
      <c r="ENQ2207" s="582" t="s">
        <v>1224</v>
      </c>
      <c r="ENR2207" s="582" t="s">
        <v>1224</v>
      </c>
      <c r="ENS2207" s="582" t="s">
        <v>1224</v>
      </c>
      <c r="ENT2207" s="582" t="s">
        <v>1224</v>
      </c>
      <c r="ENU2207" s="582" t="s">
        <v>1224</v>
      </c>
      <c r="ENV2207" s="582" t="s">
        <v>1224</v>
      </c>
      <c r="ENW2207" s="582" t="s">
        <v>1224</v>
      </c>
      <c r="ENX2207" s="582" t="s">
        <v>1224</v>
      </c>
      <c r="ENY2207" s="582" t="s">
        <v>1224</v>
      </c>
      <c r="ENZ2207" s="582" t="s">
        <v>1224</v>
      </c>
      <c r="EOA2207" s="582" t="s">
        <v>1224</v>
      </c>
      <c r="EOB2207" s="582" t="s">
        <v>1224</v>
      </c>
      <c r="EOC2207" s="582" t="s">
        <v>1224</v>
      </c>
      <c r="EOD2207" s="582" t="s">
        <v>1224</v>
      </c>
      <c r="EOE2207" s="582" t="s">
        <v>1224</v>
      </c>
      <c r="EOF2207" s="582" t="s">
        <v>1224</v>
      </c>
      <c r="EOG2207" s="582" t="s">
        <v>1224</v>
      </c>
      <c r="EOH2207" s="582" t="s">
        <v>1224</v>
      </c>
      <c r="EOI2207" s="582" t="s">
        <v>1224</v>
      </c>
      <c r="EOJ2207" s="582" t="s">
        <v>1224</v>
      </c>
      <c r="EOK2207" s="582" t="s">
        <v>1224</v>
      </c>
      <c r="EOL2207" s="582" t="s">
        <v>1224</v>
      </c>
      <c r="EOM2207" s="582" t="s">
        <v>1224</v>
      </c>
      <c r="EON2207" s="582" t="s">
        <v>1224</v>
      </c>
      <c r="EOO2207" s="582" t="s">
        <v>1224</v>
      </c>
      <c r="EOP2207" s="582" t="s">
        <v>1224</v>
      </c>
      <c r="EOQ2207" s="582" t="s">
        <v>1224</v>
      </c>
      <c r="EOR2207" s="582" t="s">
        <v>1224</v>
      </c>
      <c r="EOS2207" s="582" t="s">
        <v>1224</v>
      </c>
      <c r="EOT2207" s="582" t="s">
        <v>1224</v>
      </c>
      <c r="EOU2207" s="582" t="s">
        <v>1224</v>
      </c>
      <c r="EOV2207" s="582" t="s">
        <v>1224</v>
      </c>
      <c r="EOW2207" s="582" t="s">
        <v>1224</v>
      </c>
      <c r="EOX2207" s="582" t="s">
        <v>1224</v>
      </c>
      <c r="EOY2207" s="582" t="s">
        <v>1224</v>
      </c>
      <c r="EOZ2207" s="582" t="s">
        <v>1224</v>
      </c>
      <c r="EPA2207" s="582" t="s">
        <v>1224</v>
      </c>
      <c r="EPB2207" s="582" t="s">
        <v>1224</v>
      </c>
      <c r="EPC2207" s="582" t="s">
        <v>1224</v>
      </c>
      <c r="EPD2207" s="582" t="s">
        <v>1224</v>
      </c>
      <c r="EPE2207" s="582" t="s">
        <v>1224</v>
      </c>
      <c r="EPF2207" s="582" t="s">
        <v>1224</v>
      </c>
      <c r="EPG2207" s="582" t="s">
        <v>1224</v>
      </c>
      <c r="EPH2207" s="582" t="s">
        <v>1224</v>
      </c>
      <c r="EPI2207" s="582" t="s">
        <v>1224</v>
      </c>
      <c r="EPJ2207" s="582" t="s">
        <v>1224</v>
      </c>
      <c r="EPK2207" s="582" t="s">
        <v>1224</v>
      </c>
      <c r="EPL2207" s="582" t="s">
        <v>1224</v>
      </c>
      <c r="EPM2207" s="582" t="s">
        <v>1224</v>
      </c>
      <c r="EPN2207" s="582" t="s">
        <v>1224</v>
      </c>
      <c r="EPO2207" s="582" t="s">
        <v>1224</v>
      </c>
      <c r="EPP2207" s="582" t="s">
        <v>1224</v>
      </c>
      <c r="EPQ2207" s="582" t="s">
        <v>1224</v>
      </c>
      <c r="EPR2207" s="582" t="s">
        <v>1224</v>
      </c>
      <c r="EPS2207" s="582" t="s">
        <v>1224</v>
      </c>
      <c r="EPT2207" s="582" t="s">
        <v>1224</v>
      </c>
      <c r="EPU2207" s="582" t="s">
        <v>1224</v>
      </c>
      <c r="EPV2207" s="582" t="s">
        <v>1224</v>
      </c>
      <c r="EPW2207" s="582" t="s">
        <v>1224</v>
      </c>
      <c r="EPX2207" s="582" t="s">
        <v>1224</v>
      </c>
      <c r="EPY2207" s="582" t="s">
        <v>1224</v>
      </c>
      <c r="EPZ2207" s="582" t="s">
        <v>1224</v>
      </c>
      <c r="EQA2207" s="582" t="s">
        <v>1224</v>
      </c>
      <c r="EQB2207" s="582" t="s">
        <v>1224</v>
      </c>
      <c r="EQC2207" s="582" t="s">
        <v>1224</v>
      </c>
      <c r="EQD2207" s="582" t="s">
        <v>1224</v>
      </c>
      <c r="EQE2207" s="582" t="s">
        <v>1224</v>
      </c>
      <c r="EQF2207" s="582" t="s">
        <v>1224</v>
      </c>
      <c r="EQG2207" s="582" t="s">
        <v>1224</v>
      </c>
      <c r="EQH2207" s="582" t="s">
        <v>1224</v>
      </c>
      <c r="EQI2207" s="582" t="s">
        <v>1224</v>
      </c>
      <c r="EQJ2207" s="582" t="s">
        <v>1224</v>
      </c>
      <c r="EQK2207" s="582" t="s">
        <v>1224</v>
      </c>
      <c r="EQL2207" s="582" t="s">
        <v>1224</v>
      </c>
      <c r="EQM2207" s="582" t="s">
        <v>1224</v>
      </c>
      <c r="EQN2207" s="582" t="s">
        <v>1224</v>
      </c>
      <c r="EQO2207" s="582" t="s">
        <v>1224</v>
      </c>
      <c r="EQP2207" s="582" t="s">
        <v>1224</v>
      </c>
      <c r="EQQ2207" s="582" t="s">
        <v>1224</v>
      </c>
      <c r="EQR2207" s="582" t="s">
        <v>1224</v>
      </c>
      <c r="EQS2207" s="582" t="s">
        <v>1224</v>
      </c>
      <c r="EQT2207" s="582" t="s">
        <v>1224</v>
      </c>
      <c r="EQU2207" s="582" t="s">
        <v>1224</v>
      </c>
      <c r="EQV2207" s="582" t="s">
        <v>1224</v>
      </c>
      <c r="EQW2207" s="582" t="s">
        <v>1224</v>
      </c>
      <c r="EQX2207" s="582" t="s">
        <v>1224</v>
      </c>
      <c r="EQY2207" s="582" t="s">
        <v>1224</v>
      </c>
      <c r="EQZ2207" s="582" t="s">
        <v>1224</v>
      </c>
      <c r="ERA2207" s="582" t="s">
        <v>1224</v>
      </c>
      <c r="ERB2207" s="582" t="s">
        <v>1224</v>
      </c>
      <c r="ERC2207" s="582" t="s">
        <v>1224</v>
      </c>
      <c r="ERD2207" s="582" t="s">
        <v>1224</v>
      </c>
      <c r="ERE2207" s="582" t="s">
        <v>1224</v>
      </c>
      <c r="ERF2207" s="582" t="s">
        <v>1224</v>
      </c>
      <c r="ERG2207" s="582" t="s">
        <v>1224</v>
      </c>
      <c r="ERH2207" s="582" t="s">
        <v>1224</v>
      </c>
      <c r="ERI2207" s="582" t="s">
        <v>1224</v>
      </c>
      <c r="ERJ2207" s="582" t="s">
        <v>1224</v>
      </c>
      <c r="ERK2207" s="582" t="s">
        <v>1224</v>
      </c>
      <c r="ERL2207" s="582" t="s">
        <v>1224</v>
      </c>
      <c r="ERM2207" s="582" t="s">
        <v>1224</v>
      </c>
      <c r="ERN2207" s="582" t="s">
        <v>1224</v>
      </c>
      <c r="ERO2207" s="582" t="s">
        <v>1224</v>
      </c>
      <c r="ERP2207" s="582" t="s">
        <v>1224</v>
      </c>
      <c r="ERQ2207" s="582" t="s">
        <v>1224</v>
      </c>
      <c r="ERR2207" s="582" t="s">
        <v>1224</v>
      </c>
      <c r="ERS2207" s="582" t="s">
        <v>1224</v>
      </c>
      <c r="ERT2207" s="582" t="s">
        <v>1224</v>
      </c>
      <c r="ERU2207" s="582" t="s">
        <v>1224</v>
      </c>
      <c r="ERV2207" s="582" t="s">
        <v>1224</v>
      </c>
      <c r="ERW2207" s="582" t="s">
        <v>1224</v>
      </c>
      <c r="ERX2207" s="582" t="s">
        <v>1224</v>
      </c>
      <c r="ERY2207" s="582" t="s">
        <v>1224</v>
      </c>
      <c r="ERZ2207" s="582" t="s">
        <v>1224</v>
      </c>
      <c r="ESA2207" s="582" t="s">
        <v>1224</v>
      </c>
      <c r="ESB2207" s="582" t="s">
        <v>1224</v>
      </c>
      <c r="ESC2207" s="582" t="s">
        <v>1224</v>
      </c>
      <c r="ESD2207" s="582" t="s">
        <v>1224</v>
      </c>
      <c r="ESE2207" s="582" t="s">
        <v>1224</v>
      </c>
      <c r="ESF2207" s="582" t="s">
        <v>1224</v>
      </c>
      <c r="ESG2207" s="582" t="s">
        <v>1224</v>
      </c>
      <c r="ESH2207" s="582" t="s">
        <v>1224</v>
      </c>
      <c r="ESI2207" s="582" t="s">
        <v>1224</v>
      </c>
      <c r="ESJ2207" s="582" t="s">
        <v>1224</v>
      </c>
      <c r="ESK2207" s="582" t="s">
        <v>1224</v>
      </c>
      <c r="ESL2207" s="582" t="s">
        <v>1224</v>
      </c>
      <c r="ESM2207" s="582" t="s">
        <v>1224</v>
      </c>
      <c r="ESN2207" s="582" t="s">
        <v>1224</v>
      </c>
      <c r="ESO2207" s="582" t="s">
        <v>1224</v>
      </c>
      <c r="ESP2207" s="582" t="s">
        <v>1224</v>
      </c>
      <c r="ESQ2207" s="582" t="s">
        <v>1224</v>
      </c>
      <c r="ESR2207" s="582" t="s">
        <v>1224</v>
      </c>
      <c r="ESS2207" s="582" t="s">
        <v>1224</v>
      </c>
      <c r="EST2207" s="582" t="s">
        <v>1224</v>
      </c>
      <c r="ESU2207" s="582" t="s">
        <v>1224</v>
      </c>
      <c r="ESV2207" s="582" t="s">
        <v>1224</v>
      </c>
      <c r="ESW2207" s="582" t="s">
        <v>1224</v>
      </c>
      <c r="ESX2207" s="582" t="s">
        <v>1224</v>
      </c>
      <c r="ESY2207" s="582" t="s">
        <v>1224</v>
      </c>
      <c r="ESZ2207" s="582" t="s">
        <v>1224</v>
      </c>
      <c r="ETA2207" s="582" t="s">
        <v>1224</v>
      </c>
      <c r="ETB2207" s="582" t="s">
        <v>1224</v>
      </c>
      <c r="ETC2207" s="582" t="s">
        <v>1224</v>
      </c>
      <c r="ETD2207" s="582" t="s">
        <v>1224</v>
      </c>
      <c r="ETE2207" s="582" t="s">
        <v>1224</v>
      </c>
      <c r="ETF2207" s="582" t="s">
        <v>1224</v>
      </c>
      <c r="ETG2207" s="582" t="s">
        <v>1224</v>
      </c>
      <c r="ETH2207" s="582" t="s">
        <v>1224</v>
      </c>
      <c r="ETI2207" s="582" t="s">
        <v>1224</v>
      </c>
      <c r="ETJ2207" s="582" t="s">
        <v>1224</v>
      </c>
      <c r="ETK2207" s="582" t="s">
        <v>1224</v>
      </c>
      <c r="ETL2207" s="582" t="s">
        <v>1224</v>
      </c>
      <c r="ETM2207" s="582" t="s">
        <v>1224</v>
      </c>
      <c r="ETN2207" s="582" t="s">
        <v>1224</v>
      </c>
      <c r="ETO2207" s="582" t="s">
        <v>1224</v>
      </c>
      <c r="ETP2207" s="582" t="s">
        <v>1224</v>
      </c>
      <c r="ETQ2207" s="582" t="s">
        <v>1224</v>
      </c>
      <c r="ETR2207" s="582" t="s">
        <v>1224</v>
      </c>
      <c r="ETS2207" s="582" t="s">
        <v>1224</v>
      </c>
      <c r="ETT2207" s="582" t="s">
        <v>1224</v>
      </c>
      <c r="ETU2207" s="582" t="s">
        <v>1224</v>
      </c>
      <c r="ETV2207" s="582" t="s">
        <v>1224</v>
      </c>
      <c r="ETW2207" s="582" t="s">
        <v>1224</v>
      </c>
      <c r="ETX2207" s="582" t="s">
        <v>1224</v>
      </c>
      <c r="ETY2207" s="582" t="s">
        <v>1224</v>
      </c>
      <c r="ETZ2207" s="582" t="s">
        <v>1224</v>
      </c>
      <c r="EUA2207" s="582" t="s">
        <v>1224</v>
      </c>
      <c r="EUB2207" s="582" t="s">
        <v>1224</v>
      </c>
      <c r="EUC2207" s="582" t="s">
        <v>1224</v>
      </c>
      <c r="EUD2207" s="582" t="s">
        <v>1224</v>
      </c>
      <c r="EUE2207" s="582" t="s">
        <v>1224</v>
      </c>
      <c r="EUF2207" s="582" t="s">
        <v>1224</v>
      </c>
      <c r="EUG2207" s="582" t="s">
        <v>1224</v>
      </c>
      <c r="EUH2207" s="582" t="s">
        <v>1224</v>
      </c>
      <c r="EUI2207" s="582" t="s">
        <v>1224</v>
      </c>
      <c r="EUJ2207" s="582" t="s">
        <v>1224</v>
      </c>
      <c r="EUK2207" s="582" t="s">
        <v>1224</v>
      </c>
      <c r="EUL2207" s="582" t="s">
        <v>1224</v>
      </c>
      <c r="EUM2207" s="582" t="s">
        <v>1224</v>
      </c>
      <c r="EUN2207" s="582" t="s">
        <v>1224</v>
      </c>
      <c r="EUO2207" s="582" t="s">
        <v>1224</v>
      </c>
      <c r="EUP2207" s="582" t="s">
        <v>1224</v>
      </c>
      <c r="EUQ2207" s="582" t="s">
        <v>1224</v>
      </c>
      <c r="EUR2207" s="582" t="s">
        <v>1224</v>
      </c>
      <c r="EUS2207" s="582" t="s">
        <v>1224</v>
      </c>
      <c r="EUT2207" s="582" t="s">
        <v>1224</v>
      </c>
      <c r="EUU2207" s="582" t="s">
        <v>1224</v>
      </c>
      <c r="EUV2207" s="582" t="s">
        <v>1224</v>
      </c>
      <c r="EUW2207" s="582" t="s">
        <v>1224</v>
      </c>
      <c r="EUX2207" s="582" t="s">
        <v>1224</v>
      </c>
      <c r="EUY2207" s="582" t="s">
        <v>1224</v>
      </c>
      <c r="EUZ2207" s="582" t="s">
        <v>1224</v>
      </c>
      <c r="EVA2207" s="582" t="s">
        <v>1224</v>
      </c>
      <c r="EVB2207" s="582" t="s">
        <v>1224</v>
      </c>
      <c r="EVC2207" s="582" t="s">
        <v>1224</v>
      </c>
      <c r="EVD2207" s="582" t="s">
        <v>1224</v>
      </c>
      <c r="EVE2207" s="582" t="s">
        <v>1224</v>
      </c>
      <c r="EVF2207" s="582" t="s">
        <v>1224</v>
      </c>
      <c r="EVG2207" s="582" t="s">
        <v>1224</v>
      </c>
      <c r="EVH2207" s="582" t="s">
        <v>1224</v>
      </c>
      <c r="EVI2207" s="582" t="s">
        <v>1224</v>
      </c>
      <c r="EVJ2207" s="582" t="s">
        <v>1224</v>
      </c>
      <c r="EVK2207" s="582" t="s">
        <v>1224</v>
      </c>
      <c r="EVL2207" s="582" t="s">
        <v>1224</v>
      </c>
      <c r="EVM2207" s="582" t="s">
        <v>1224</v>
      </c>
      <c r="EVN2207" s="582" t="s">
        <v>1224</v>
      </c>
      <c r="EVO2207" s="582" t="s">
        <v>1224</v>
      </c>
      <c r="EVP2207" s="582" t="s">
        <v>1224</v>
      </c>
      <c r="EVQ2207" s="582" t="s">
        <v>1224</v>
      </c>
      <c r="EVR2207" s="582" t="s">
        <v>1224</v>
      </c>
      <c r="EVS2207" s="582" t="s">
        <v>1224</v>
      </c>
      <c r="EVT2207" s="582" t="s">
        <v>1224</v>
      </c>
      <c r="EVU2207" s="582" t="s">
        <v>1224</v>
      </c>
      <c r="EVV2207" s="582" t="s">
        <v>1224</v>
      </c>
      <c r="EVW2207" s="582" t="s">
        <v>1224</v>
      </c>
      <c r="EVX2207" s="582" t="s">
        <v>1224</v>
      </c>
      <c r="EVY2207" s="582" t="s">
        <v>1224</v>
      </c>
      <c r="EVZ2207" s="582" t="s">
        <v>1224</v>
      </c>
      <c r="EWA2207" s="582" t="s">
        <v>1224</v>
      </c>
      <c r="EWB2207" s="582" t="s">
        <v>1224</v>
      </c>
      <c r="EWC2207" s="582" t="s">
        <v>1224</v>
      </c>
      <c r="EWD2207" s="582" t="s">
        <v>1224</v>
      </c>
      <c r="EWE2207" s="582" t="s">
        <v>1224</v>
      </c>
      <c r="EWF2207" s="582" t="s">
        <v>1224</v>
      </c>
      <c r="EWG2207" s="582" t="s">
        <v>1224</v>
      </c>
      <c r="EWH2207" s="582" t="s">
        <v>1224</v>
      </c>
      <c r="EWI2207" s="582" t="s">
        <v>1224</v>
      </c>
      <c r="EWJ2207" s="582" t="s">
        <v>1224</v>
      </c>
      <c r="EWK2207" s="582" t="s">
        <v>1224</v>
      </c>
      <c r="EWL2207" s="582" t="s">
        <v>1224</v>
      </c>
      <c r="EWM2207" s="582" t="s">
        <v>1224</v>
      </c>
      <c r="EWN2207" s="582" t="s">
        <v>1224</v>
      </c>
      <c r="EWO2207" s="582" t="s">
        <v>1224</v>
      </c>
      <c r="EWP2207" s="582" t="s">
        <v>1224</v>
      </c>
      <c r="EWQ2207" s="582" t="s">
        <v>1224</v>
      </c>
      <c r="EWR2207" s="582" t="s">
        <v>1224</v>
      </c>
      <c r="EWS2207" s="582" t="s">
        <v>1224</v>
      </c>
      <c r="EWT2207" s="582" t="s">
        <v>1224</v>
      </c>
      <c r="EWU2207" s="582" t="s">
        <v>1224</v>
      </c>
      <c r="EWV2207" s="582" t="s">
        <v>1224</v>
      </c>
      <c r="EWW2207" s="582" t="s">
        <v>1224</v>
      </c>
      <c r="EWX2207" s="582" t="s">
        <v>1224</v>
      </c>
      <c r="EWY2207" s="582" t="s">
        <v>1224</v>
      </c>
      <c r="EWZ2207" s="582" t="s">
        <v>1224</v>
      </c>
      <c r="EXA2207" s="582" t="s">
        <v>1224</v>
      </c>
      <c r="EXB2207" s="582" t="s">
        <v>1224</v>
      </c>
      <c r="EXC2207" s="582" t="s">
        <v>1224</v>
      </c>
      <c r="EXD2207" s="582" t="s">
        <v>1224</v>
      </c>
      <c r="EXE2207" s="582" t="s">
        <v>1224</v>
      </c>
      <c r="EXF2207" s="582" t="s">
        <v>1224</v>
      </c>
      <c r="EXG2207" s="582" t="s">
        <v>1224</v>
      </c>
      <c r="EXH2207" s="582" t="s">
        <v>1224</v>
      </c>
      <c r="EXI2207" s="582" t="s">
        <v>1224</v>
      </c>
      <c r="EXJ2207" s="582" t="s">
        <v>1224</v>
      </c>
      <c r="EXK2207" s="582" t="s">
        <v>1224</v>
      </c>
      <c r="EXL2207" s="582" t="s">
        <v>1224</v>
      </c>
      <c r="EXM2207" s="582" t="s">
        <v>1224</v>
      </c>
      <c r="EXN2207" s="582" t="s">
        <v>1224</v>
      </c>
      <c r="EXO2207" s="582" t="s">
        <v>1224</v>
      </c>
      <c r="EXP2207" s="582" t="s">
        <v>1224</v>
      </c>
      <c r="EXQ2207" s="582" t="s">
        <v>1224</v>
      </c>
      <c r="EXR2207" s="582" t="s">
        <v>1224</v>
      </c>
      <c r="EXS2207" s="582" t="s">
        <v>1224</v>
      </c>
      <c r="EXT2207" s="582" t="s">
        <v>1224</v>
      </c>
      <c r="EXU2207" s="582" t="s">
        <v>1224</v>
      </c>
      <c r="EXV2207" s="582" t="s">
        <v>1224</v>
      </c>
      <c r="EXW2207" s="582" t="s">
        <v>1224</v>
      </c>
      <c r="EXX2207" s="582" t="s">
        <v>1224</v>
      </c>
      <c r="EXY2207" s="582" t="s">
        <v>1224</v>
      </c>
      <c r="EXZ2207" s="582" t="s">
        <v>1224</v>
      </c>
      <c r="EYA2207" s="582" t="s">
        <v>1224</v>
      </c>
      <c r="EYB2207" s="582" t="s">
        <v>1224</v>
      </c>
      <c r="EYC2207" s="582" t="s">
        <v>1224</v>
      </c>
      <c r="EYD2207" s="582" t="s">
        <v>1224</v>
      </c>
      <c r="EYE2207" s="582" t="s">
        <v>1224</v>
      </c>
      <c r="EYF2207" s="582" t="s">
        <v>1224</v>
      </c>
      <c r="EYG2207" s="582" t="s">
        <v>1224</v>
      </c>
      <c r="EYH2207" s="582" t="s">
        <v>1224</v>
      </c>
      <c r="EYI2207" s="582" t="s">
        <v>1224</v>
      </c>
      <c r="EYJ2207" s="582" t="s">
        <v>1224</v>
      </c>
      <c r="EYK2207" s="582" t="s">
        <v>1224</v>
      </c>
      <c r="EYL2207" s="582" t="s">
        <v>1224</v>
      </c>
      <c r="EYM2207" s="582" t="s">
        <v>1224</v>
      </c>
      <c r="EYN2207" s="582" t="s">
        <v>1224</v>
      </c>
      <c r="EYO2207" s="582" t="s">
        <v>1224</v>
      </c>
      <c r="EYP2207" s="582" t="s">
        <v>1224</v>
      </c>
      <c r="EYQ2207" s="582" t="s">
        <v>1224</v>
      </c>
      <c r="EYR2207" s="582" t="s">
        <v>1224</v>
      </c>
      <c r="EYS2207" s="582" t="s">
        <v>1224</v>
      </c>
      <c r="EYT2207" s="582" t="s">
        <v>1224</v>
      </c>
      <c r="EYU2207" s="582" t="s">
        <v>1224</v>
      </c>
      <c r="EYV2207" s="582" t="s">
        <v>1224</v>
      </c>
      <c r="EYW2207" s="582" t="s">
        <v>1224</v>
      </c>
      <c r="EYX2207" s="582" t="s">
        <v>1224</v>
      </c>
      <c r="EYY2207" s="582" t="s">
        <v>1224</v>
      </c>
      <c r="EYZ2207" s="582" t="s">
        <v>1224</v>
      </c>
      <c r="EZA2207" s="582" t="s">
        <v>1224</v>
      </c>
      <c r="EZB2207" s="582" t="s">
        <v>1224</v>
      </c>
      <c r="EZC2207" s="582" t="s">
        <v>1224</v>
      </c>
      <c r="EZD2207" s="582" t="s">
        <v>1224</v>
      </c>
      <c r="EZE2207" s="582" t="s">
        <v>1224</v>
      </c>
      <c r="EZF2207" s="582" t="s">
        <v>1224</v>
      </c>
      <c r="EZG2207" s="582" t="s">
        <v>1224</v>
      </c>
      <c r="EZH2207" s="582" t="s">
        <v>1224</v>
      </c>
      <c r="EZI2207" s="582" t="s">
        <v>1224</v>
      </c>
      <c r="EZJ2207" s="582" t="s">
        <v>1224</v>
      </c>
      <c r="EZK2207" s="582" t="s">
        <v>1224</v>
      </c>
      <c r="EZL2207" s="582" t="s">
        <v>1224</v>
      </c>
      <c r="EZM2207" s="582" t="s">
        <v>1224</v>
      </c>
      <c r="EZN2207" s="582" t="s">
        <v>1224</v>
      </c>
      <c r="EZO2207" s="582" t="s">
        <v>1224</v>
      </c>
      <c r="EZP2207" s="582" t="s">
        <v>1224</v>
      </c>
      <c r="EZQ2207" s="582" t="s">
        <v>1224</v>
      </c>
      <c r="EZR2207" s="582" t="s">
        <v>1224</v>
      </c>
      <c r="EZS2207" s="582" t="s">
        <v>1224</v>
      </c>
      <c r="EZT2207" s="582" t="s">
        <v>1224</v>
      </c>
      <c r="EZU2207" s="582" t="s">
        <v>1224</v>
      </c>
      <c r="EZV2207" s="582" t="s">
        <v>1224</v>
      </c>
      <c r="EZW2207" s="582" t="s">
        <v>1224</v>
      </c>
      <c r="EZX2207" s="582" t="s">
        <v>1224</v>
      </c>
      <c r="EZY2207" s="582" t="s">
        <v>1224</v>
      </c>
      <c r="EZZ2207" s="582" t="s">
        <v>1224</v>
      </c>
      <c r="FAA2207" s="582" t="s">
        <v>1224</v>
      </c>
      <c r="FAB2207" s="582" t="s">
        <v>1224</v>
      </c>
      <c r="FAC2207" s="582" t="s">
        <v>1224</v>
      </c>
      <c r="FAD2207" s="582" t="s">
        <v>1224</v>
      </c>
      <c r="FAE2207" s="582" t="s">
        <v>1224</v>
      </c>
      <c r="FAF2207" s="582" t="s">
        <v>1224</v>
      </c>
      <c r="FAG2207" s="582" t="s">
        <v>1224</v>
      </c>
      <c r="FAH2207" s="582" t="s">
        <v>1224</v>
      </c>
      <c r="FAI2207" s="582" t="s">
        <v>1224</v>
      </c>
      <c r="FAJ2207" s="582" t="s">
        <v>1224</v>
      </c>
      <c r="FAK2207" s="582" t="s">
        <v>1224</v>
      </c>
      <c r="FAL2207" s="582" t="s">
        <v>1224</v>
      </c>
      <c r="FAM2207" s="582" t="s">
        <v>1224</v>
      </c>
      <c r="FAN2207" s="582" t="s">
        <v>1224</v>
      </c>
      <c r="FAO2207" s="582" t="s">
        <v>1224</v>
      </c>
      <c r="FAP2207" s="582" t="s">
        <v>1224</v>
      </c>
      <c r="FAQ2207" s="582" t="s">
        <v>1224</v>
      </c>
      <c r="FAR2207" s="582" t="s">
        <v>1224</v>
      </c>
      <c r="FAS2207" s="582" t="s">
        <v>1224</v>
      </c>
      <c r="FAT2207" s="582" t="s">
        <v>1224</v>
      </c>
      <c r="FAU2207" s="582" t="s">
        <v>1224</v>
      </c>
      <c r="FAV2207" s="582" t="s">
        <v>1224</v>
      </c>
      <c r="FAW2207" s="582" t="s">
        <v>1224</v>
      </c>
      <c r="FAX2207" s="582" t="s">
        <v>1224</v>
      </c>
      <c r="FAY2207" s="582" t="s">
        <v>1224</v>
      </c>
      <c r="FAZ2207" s="582" t="s">
        <v>1224</v>
      </c>
      <c r="FBA2207" s="582" t="s">
        <v>1224</v>
      </c>
      <c r="FBB2207" s="582" t="s">
        <v>1224</v>
      </c>
      <c r="FBC2207" s="582" t="s">
        <v>1224</v>
      </c>
      <c r="FBD2207" s="582" t="s">
        <v>1224</v>
      </c>
      <c r="FBE2207" s="582" t="s">
        <v>1224</v>
      </c>
      <c r="FBF2207" s="582" t="s">
        <v>1224</v>
      </c>
      <c r="FBG2207" s="582" t="s">
        <v>1224</v>
      </c>
      <c r="FBH2207" s="582" t="s">
        <v>1224</v>
      </c>
      <c r="FBI2207" s="582" t="s">
        <v>1224</v>
      </c>
      <c r="FBJ2207" s="582" t="s">
        <v>1224</v>
      </c>
      <c r="FBK2207" s="582" t="s">
        <v>1224</v>
      </c>
      <c r="FBL2207" s="582" t="s">
        <v>1224</v>
      </c>
      <c r="FBM2207" s="582" t="s">
        <v>1224</v>
      </c>
      <c r="FBN2207" s="582" t="s">
        <v>1224</v>
      </c>
      <c r="FBO2207" s="582" t="s">
        <v>1224</v>
      </c>
      <c r="FBP2207" s="582" t="s">
        <v>1224</v>
      </c>
      <c r="FBQ2207" s="582" t="s">
        <v>1224</v>
      </c>
      <c r="FBR2207" s="582" t="s">
        <v>1224</v>
      </c>
      <c r="FBS2207" s="582" t="s">
        <v>1224</v>
      </c>
      <c r="FBT2207" s="582" t="s">
        <v>1224</v>
      </c>
      <c r="FBU2207" s="582" t="s">
        <v>1224</v>
      </c>
      <c r="FBV2207" s="582" t="s">
        <v>1224</v>
      </c>
      <c r="FBW2207" s="582" t="s">
        <v>1224</v>
      </c>
      <c r="FBX2207" s="582" t="s">
        <v>1224</v>
      </c>
      <c r="FBY2207" s="582" t="s">
        <v>1224</v>
      </c>
      <c r="FBZ2207" s="582" t="s">
        <v>1224</v>
      </c>
      <c r="FCA2207" s="582" t="s">
        <v>1224</v>
      </c>
      <c r="FCB2207" s="582" t="s">
        <v>1224</v>
      </c>
      <c r="FCC2207" s="582" t="s">
        <v>1224</v>
      </c>
      <c r="FCD2207" s="582" t="s">
        <v>1224</v>
      </c>
      <c r="FCE2207" s="582" t="s">
        <v>1224</v>
      </c>
      <c r="FCF2207" s="582" t="s">
        <v>1224</v>
      </c>
      <c r="FCG2207" s="582" t="s">
        <v>1224</v>
      </c>
      <c r="FCH2207" s="582" t="s">
        <v>1224</v>
      </c>
      <c r="FCI2207" s="582" t="s">
        <v>1224</v>
      </c>
      <c r="FCJ2207" s="582" t="s">
        <v>1224</v>
      </c>
      <c r="FCK2207" s="582" t="s">
        <v>1224</v>
      </c>
      <c r="FCL2207" s="582" t="s">
        <v>1224</v>
      </c>
      <c r="FCM2207" s="582" t="s">
        <v>1224</v>
      </c>
      <c r="FCN2207" s="582" t="s">
        <v>1224</v>
      </c>
      <c r="FCO2207" s="582" t="s">
        <v>1224</v>
      </c>
      <c r="FCP2207" s="582" t="s">
        <v>1224</v>
      </c>
      <c r="FCQ2207" s="582" t="s">
        <v>1224</v>
      </c>
      <c r="FCR2207" s="582" t="s">
        <v>1224</v>
      </c>
      <c r="FCS2207" s="582" t="s">
        <v>1224</v>
      </c>
      <c r="FCT2207" s="582" t="s">
        <v>1224</v>
      </c>
      <c r="FCU2207" s="582" t="s">
        <v>1224</v>
      </c>
      <c r="FCV2207" s="582" t="s">
        <v>1224</v>
      </c>
      <c r="FCW2207" s="582" t="s">
        <v>1224</v>
      </c>
      <c r="FCX2207" s="582" t="s">
        <v>1224</v>
      </c>
      <c r="FCY2207" s="582" t="s">
        <v>1224</v>
      </c>
      <c r="FCZ2207" s="582" t="s">
        <v>1224</v>
      </c>
      <c r="FDA2207" s="582" t="s">
        <v>1224</v>
      </c>
      <c r="FDB2207" s="582" t="s">
        <v>1224</v>
      </c>
      <c r="FDC2207" s="582" t="s">
        <v>1224</v>
      </c>
      <c r="FDD2207" s="582" t="s">
        <v>1224</v>
      </c>
      <c r="FDE2207" s="582" t="s">
        <v>1224</v>
      </c>
      <c r="FDF2207" s="582" t="s">
        <v>1224</v>
      </c>
      <c r="FDG2207" s="582" t="s">
        <v>1224</v>
      </c>
      <c r="FDH2207" s="582" t="s">
        <v>1224</v>
      </c>
      <c r="FDI2207" s="582" t="s">
        <v>1224</v>
      </c>
      <c r="FDJ2207" s="582" t="s">
        <v>1224</v>
      </c>
      <c r="FDK2207" s="582" t="s">
        <v>1224</v>
      </c>
      <c r="FDL2207" s="582" t="s">
        <v>1224</v>
      </c>
      <c r="FDM2207" s="582" t="s">
        <v>1224</v>
      </c>
      <c r="FDN2207" s="582" t="s">
        <v>1224</v>
      </c>
      <c r="FDO2207" s="582" t="s">
        <v>1224</v>
      </c>
      <c r="FDP2207" s="582" t="s">
        <v>1224</v>
      </c>
      <c r="FDQ2207" s="582" t="s">
        <v>1224</v>
      </c>
      <c r="FDR2207" s="582" t="s">
        <v>1224</v>
      </c>
      <c r="FDS2207" s="582" t="s">
        <v>1224</v>
      </c>
      <c r="FDT2207" s="582" t="s">
        <v>1224</v>
      </c>
      <c r="FDU2207" s="582" t="s">
        <v>1224</v>
      </c>
      <c r="FDV2207" s="582" t="s">
        <v>1224</v>
      </c>
      <c r="FDW2207" s="582" t="s">
        <v>1224</v>
      </c>
      <c r="FDX2207" s="582" t="s">
        <v>1224</v>
      </c>
      <c r="FDY2207" s="582" t="s">
        <v>1224</v>
      </c>
      <c r="FDZ2207" s="582" t="s">
        <v>1224</v>
      </c>
      <c r="FEA2207" s="582" t="s">
        <v>1224</v>
      </c>
      <c r="FEB2207" s="582" t="s">
        <v>1224</v>
      </c>
      <c r="FEC2207" s="582" t="s">
        <v>1224</v>
      </c>
      <c r="FED2207" s="582" t="s">
        <v>1224</v>
      </c>
      <c r="FEE2207" s="582" t="s">
        <v>1224</v>
      </c>
      <c r="FEF2207" s="582" t="s">
        <v>1224</v>
      </c>
      <c r="FEG2207" s="582" t="s">
        <v>1224</v>
      </c>
      <c r="FEH2207" s="582" t="s">
        <v>1224</v>
      </c>
      <c r="FEI2207" s="582" t="s">
        <v>1224</v>
      </c>
      <c r="FEJ2207" s="582" t="s">
        <v>1224</v>
      </c>
      <c r="FEK2207" s="582" t="s">
        <v>1224</v>
      </c>
      <c r="FEL2207" s="582" t="s">
        <v>1224</v>
      </c>
      <c r="FEM2207" s="582" t="s">
        <v>1224</v>
      </c>
      <c r="FEN2207" s="582" t="s">
        <v>1224</v>
      </c>
      <c r="FEO2207" s="582" t="s">
        <v>1224</v>
      </c>
      <c r="FEP2207" s="582" t="s">
        <v>1224</v>
      </c>
      <c r="FEQ2207" s="582" t="s">
        <v>1224</v>
      </c>
      <c r="FER2207" s="582" t="s">
        <v>1224</v>
      </c>
      <c r="FES2207" s="582" t="s">
        <v>1224</v>
      </c>
      <c r="FET2207" s="582" t="s">
        <v>1224</v>
      </c>
      <c r="FEU2207" s="582" t="s">
        <v>1224</v>
      </c>
      <c r="FEV2207" s="582" t="s">
        <v>1224</v>
      </c>
      <c r="FEW2207" s="582" t="s">
        <v>1224</v>
      </c>
      <c r="FEX2207" s="582" t="s">
        <v>1224</v>
      </c>
      <c r="FEY2207" s="582" t="s">
        <v>1224</v>
      </c>
      <c r="FEZ2207" s="582" t="s">
        <v>1224</v>
      </c>
      <c r="FFA2207" s="582" t="s">
        <v>1224</v>
      </c>
      <c r="FFB2207" s="582" t="s">
        <v>1224</v>
      </c>
      <c r="FFC2207" s="582" t="s">
        <v>1224</v>
      </c>
      <c r="FFD2207" s="582" t="s">
        <v>1224</v>
      </c>
      <c r="FFE2207" s="582" t="s">
        <v>1224</v>
      </c>
      <c r="FFF2207" s="582" t="s">
        <v>1224</v>
      </c>
      <c r="FFG2207" s="582" t="s">
        <v>1224</v>
      </c>
      <c r="FFH2207" s="582" t="s">
        <v>1224</v>
      </c>
      <c r="FFI2207" s="582" t="s">
        <v>1224</v>
      </c>
      <c r="FFJ2207" s="582" t="s">
        <v>1224</v>
      </c>
      <c r="FFK2207" s="582" t="s">
        <v>1224</v>
      </c>
      <c r="FFL2207" s="582" t="s">
        <v>1224</v>
      </c>
      <c r="FFM2207" s="582" t="s">
        <v>1224</v>
      </c>
      <c r="FFN2207" s="582" t="s">
        <v>1224</v>
      </c>
      <c r="FFO2207" s="582" t="s">
        <v>1224</v>
      </c>
      <c r="FFP2207" s="582" t="s">
        <v>1224</v>
      </c>
      <c r="FFQ2207" s="582" t="s">
        <v>1224</v>
      </c>
      <c r="FFR2207" s="582" t="s">
        <v>1224</v>
      </c>
      <c r="FFS2207" s="582" t="s">
        <v>1224</v>
      </c>
      <c r="FFT2207" s="582" t="s">
        <v>1224</v>
      </c>
      <c r="FFU2207" s="582" t="s">
        <v>1224</v>
      </c>
      <c r="FFV2207" s="582" t="s">
        <v>1224</v>
      </c>
      <c r="FFW2207" s="582" t="s">
        <v>1224</v>
      </c>
      <c r="FFX2207" s="582" t="s">
        <v>1224</v>
      </c>
      <c r="FFY2207" s="582" t="s">
        <v>1224</v>
      </c>
      <c r="FFZ2207" s="582" t="s">
        <v>1224</v>
      </c>
      <c r="FGA2207" s="582" t="s">
        <v>1224</v>
      </c>
      <c r="FGB2207" s="582" t="s">
        <v>1224</v>
      </c>
      <c r="FGC2207" s="582" t="s">
        <v>1224</v>
      </c>
      <c r="FGD2207" s="582" t="s">
        <v>1224</v>
      </c>
      <c r="FGE2207" s="582" t="s">
        <v>1224</v>
      </c>
      <c r="FGF2207" s="582" t="s">
        <v>1224</v>
      </c>
      <c r="FGG2207" s="582" t="s">
        <v>1224</v>
      </c>
      <c r="FGH2207" s="582" t="s">
        <v>1224</v>
      </c>
      <c r="FGI2207" s="582" t="s">
        <v>1224</v>
      </c>
      <c r="FGJ2207" s="582" t="s">
        <v>1224</v>
      </c>
      <c r="FGK2207" s="582" t="s">
        <v>1224</v>
      </c>
      <c r="FGL2207" s="582" t="s">
        <v>1224</v>
      </c>
      <c r="FGM2207" s="582" t="s">
        <v>1224</v>
      </c>
      <c r="FGN2207" s="582" t="s">
        <v>1224</v>
      </c>
      <c r="FGO2207" s="582" t="s">
        <v>1224</v>
      </c>
      <c r="FGP2207" s="582" t="s">
        <v>1224</v>
      </c>
      <c r="FGQ2207" s="582" t="s">
        <v>1224</v>
      </c>
      <c r="FGR2207" s="582" t="s">
        <v>1224</v>
      </c>
      <c r="FGS2207" s="582" t="s">
        <v>1224</v>
      </c>
      <c r="FGT2207" s="582" t="s">
        <v>1224</v>
      </c>
      <c r="FGU2207" s="582" t="s">
        <v>1224</v>
      </c>
      <c r="FGV2207" s="582" t="s">
        <v>1224</v>
      </c>
      <c r="FGW2207" s="582" t="s">
        <v>1224</v>
      </c>
      <c r="FGX2207" s="582" t="s">
        <v>1224</v>
      </c>
      <c r="FGY2207" s="582" t="s">
        <v>1224</v>
      </c>
      <c r="FGZ2207" s="582" t="s">
        <v>1224</v>
      </c>
      <c r="FHA2207" s="582" t="s">
        <v>1224</v>
      </c>
      <c r="FHB2207" s="582" t="s">
        <v>1224</v>
      </c>
      <c r="FHC2207" s="582" t="s">
        <v>1224</v>
      </c>
      <c r="FHD2207" s="582" t="s">
        <v>1224</v>
      </c>
      <c r="FHE2207" s="582" t="s">
        <v>1224</v>
      </c>
      <c r="FHF2207" s="582" t="s">
        <v>1224</v>
      </c>
      <c r="FHG2207" s="582" t="s">
        <v>1224</v>
      </c>
      <c r="FHH2207" s="582" t="s">
        <v>1224</v>
      </c>
      <c r="FHI2207" s="582" t="s">
        <v>1224</v>
      </c>
      <c r="FHJ2207" s="582" t="s">
        <v>1224</v>
      </c>
      <c r="FHK2207" s="582" t="s">
        <v>1224</v>
      </c>
      <c r="FHL2207" s="582" t="s">
        <v>1224</v>
      </c>
      <c r="FHM2207" s="582" t="s">
        <v>1224</v>
      </c>
      <c r="FHN2207" s="582" t="s">
        <v>1224</v>
      </c>
      <c r="FHO2207" s="582" t="s">
        <v>1224</v>
      </c>
      <c r="FHP2207" s="582" t="s">
        <v>1224</v>
      </c>
      <c r="FHQ2207" s="582" t="s">
        <v>1224</v>
      </c>
      <c r="FHR2207" s="582" t="s">
        <v>1224</v>
      </c>
      <c r="FHS2207" s="582" t="s">
        <v>1224</v>
      </c>
      <c r="FHT2207" s="582" t="s">
        <v>1224</v>
      </c>
      <c r="FHU2207" s="582" t="s">
        <v>1224</v>
      </c>
      <c r="FHV2207" s="582" t="s">
        <v>1224</v>
      </c>
      <c r="FHW2207" s="582" t="s">
        <v>1224</v>
      </c>
      <c r="FHX2207" s="582" t="s">
        <v>1224</v>
      </c>
      <c r="FHY2207" s="582" t="s">
        <v>1224</v>
      </c>
      <c r="FHZ2207" s="582" t="s">
        <v>1224</v>
      </c>
      <c r="FIA2207" s="582" t="s">
        <v>1224</v>
      </c>
      <c r="FIB2207" s="582" t="s">
        <v>1224</v>
      </c>
      <c r="FIC2207" s="582" t="s">
        <v>1224</v>
      </c>
      <c r="FID2207" s="582" t="s">
        <v>1224</v>
      </c>
      <c r="FIE2207" s="582" t="s">
        <v>1224</v>
      </c>
      <c r="FIF2207" s="582" t="s">
        <v>1224</v>
      </c>
      <c r="FIG2207" s="582" t="s">
        <v>1224</v>
      </c>
      <c r="FIH2207" s="582" t="s">
        <v>1224</v>
      </c>
      <c r="FII2207" s="582" t="s">
        <v>1224</v>
      </c>
      <c r="FIJ2207" s="582" t="s">
        <v>1224</v>
      </c>
      <c r="FIK2207" s="582" t="s">
        <v>1224</v>
      </c>
      <c r="FIL2207" s="582" t="s">
        <v>1224</v>
      </c>
      <c r="FIM2207" s="582" t="s">
        <v>1224</v>
      </c>
      <c r="FIN2207" s="582" t="s">
        <v>1224</v>
      </c>
      <c r="FIO2207" s="582" t="s">
        <v>1224</v>
      </c>
      <c r="FIP2207" s="582" t="s">
        <v>1224</v>
      </c>
      <c r="FIQ2207" s="582" t="s">
        <v>1224</v>
      </c>
      <c r="FIR2207" s="582" t="s">
        <v>1224</v>
      </c>
      <c r="FIS2207" s="582" t="s">
        <v>1224</v>
      </c>
      <c r="FIT2207" s="582" t="s">
        <v>1224</v>
      </c>
      <c r="FIU2207" s="582" t="s">
        <v>1224</v>
      </c>
      <c r="FIV2207" s="582" t="s">
        <v>1224</v>
      </c>
      <c r="FIW2207" s="582" t="s">
        <v>1224</v>
      </c>
      <c r="FIX2207" s="582" t="s">
        <v>1224</v>
      </c>
      <c r="FIY2207" s="582" t="s">
        <v>1224</v>
      </c>
      <c r="FIZ2207" s="582" t="s">
        <v>1224</v>
      </c>
      <c r="FJA2207" s="582" t="s">
        <v>1224</v>
      </c>
      <c r="FJB2207" s="582" t="s">
        <v>1224</v>
      </c>
      <c r="FJC2207" s="582" t="s">
        <v>1224</v>
      </c>
      <c r="FJD2207" s="582" t="s">
        <v>1224</v>
      </c>
      <c r="FJE2207" s="582" t="s">
        <v>1224</v>
      </c>
      <c r="FJF2207" s="582" t="s">
        <v>1224</v>
      </c>
      <c r="FJG2207" s="582" t="s">
        <v>1224</v>
      </c>
      <c r="FJH2207" s="582" t="s">
        <v>1224</v>
      </c>
      <c r="FJI2207" s="582" t="s">
        <v>1224</v>
      </c>
      <c r="FJJ2207" s="582" t="s">
        <v>1224</v>
      </c>
      <c r="FJK2207" s="582" t="s">
        <v>1224</v>
      </c>
      <c r="FJL2207" s="582" t="s">
        <v>1224</v>
      </c>
      <c r="FJM2207" s="582" t="s">
        <v>1224</v>
      </c>
      <c r="FJN2207" s="582" t="s">
        <v>1224</v>
      </c>
      <c r="FJO2207" s="582" t="s">
        <v>1224</v>
      </c>
      <c r="FJP2207" s="582" t="s">
        <v>1224</v>
      </c>
      <c r="FJQ2207" s="582" t="s">
        <v>1224</v>
      </c>
      <c r="FJR2207" s="582" t="s">
        <v>1224</v>
      </c>
      <c r="FJS2207" s="582" t="s">
        <v>1224</v>
      </c>
      <c r="FJT2207" s="582" t="s">
        <v>1224</v>
      </c>
      <c r="FJU2207" s="582" t="s">
        <v>1224</v>
      </c>
      <c r="FJV2207" s="582" t="s">
        <v>1224</v>
      </c>
      <c r="FJW2207" s="582" t="s">
        <v>1224</v>
      </c>
      <c r="FJX2207" s="582" t="s">
        <v>1224</v>
      </c>
      <c r="FJY2207" s="582" t="s">
        <v>1224</v>
      </c>
      <c r="FJZ2207" s="582" t="s">
        <v>1224</v>
      </c>
      <c r="FKA2207" s="582" t="s">
        <v>1224</v>
      </c>
      <c r="FKB2207" s="582" t="s">
        <v>1224</v>
      </c>
      <c r="FKC2207" s="582" t="s">
        <v>1224</v>
      </c>
      <c r="FKD2207" s="582" t="s">
        <v>1224</v>
      </c>
      <c r="FKE2207" s="582" t="s">
        <v>1224</v>
      </c>
      <c r="FKF2207" s="582" t="s">
        <v>1224</v>
      </c>
      <c r="FKG2207" s="582" t="s">
        <v>1224</v>
      </c>
      <c r="FKH2207" s="582" t="s">
        <v>1224</v>
      </c>
      <c r="FKI2207" s="582" t="s">
        <v>1224</v>
      </c>
      <c r="FKJ2207" s="582" t="s">
        <v>1224</v>
      </c>
      <c r="FKK2207" s="582" t="s">
        <v>1224</v>
      </c>
      <c r="FKL2207" s="582" t="s">
        <v>1224</v>
      </c>
      <c r="FKM2207" s="582" t="s">
        <v>1224</v>
      </c>
      <c r="FKN2207" s="582" t="s">
        <v>1224</v>
      </c>
      <c r="FKO2207" s="582" t="s">
        <v>1224</v>
      </c>
      <c r="FKP2207" s="582" t="s">
        <v>1224</v>
      </c>
      <c r="FKQ2207" s="582" t="s">
        <v>1224</v>
      </c>
      <c r="FKR2207" s="582" t="s">
        <v>1224</v>
      </c>
      <c r="FKS2207" s="582" t="s">
        <v>1224</v>
      </c>
      <c r="FKT2207" s="582" t="s">
        <v>1224</v>
      </c>
      <c r="FKU2207" s="582" t="s">
        <v>1224</v>
      </c>
      <c r="FKV2207" s="582" t="s">
        <v>1224</v>
      </c>
      <c r="FKW2207" s="582" t="s">
        <v>1224</v>
      </c>
      <c r="FKX2207" s="582" t="s">
        <v>1224</v>
      </c>
      <c r="FKY2207" s="582" t="s">
        <v>1224</v>
      </c>
      <c r="FKZ2207" s="582" t="s">
        <v>1224</v>
      </c>
      <c r="FLA2207" s="582" t="s">
        <v>1224</v>
      </c>
      <c r="FLB2207" s="582" t="s">
        <v>1224</v>
      </c>
      <c r="FLC2207" s="582" t="s">
        <v>1224</v>
      </c>
      <c r="FLD2207" s="582" t="s">
        <v>1224</v>
      </c>
      <c r="FLE2207" s="582" t="s">
        <v>1224</v>
      </c>
      <c r="FLF2207" s="582" t="s">
        <v>1224</v>
      </c>
      <c r="FLG2207" s="582" t="s">
        <v>1224</v>
      </c>
      <c r="FLH2207" s="582" t="s">
        <v>1224</v>
      </c>
      <c r="FLI2207" s="582" t="s">
        <v>1224</v>
      </c>
      <c r="FLJ2207" s="582" t="s">
        <v>1224</v>
      </c>
      <c r="FLK2207" s="582" t="s">
        <v>1224</v>
      </c>
      <c r="FLL2207" s="582" t="s">
        <v>1224</v>
      </c>
      <c r="FLM2207" s="582" t="s">
        <v>1224</v>
      </c>
      <c r="FLN2207" s="582" t="s">
        <v>1224</v>
      </c>
      <c r="FLO2207" s="582" t="s">
        <v>1224</v>
      </c>
      <c r="FLP2207" s="582" t="s">
        <v>1224</v>
      </c>
      <c r="FLQ2207" s="582" t="s">
        <v>1224</v>
      </c>
      <c r="FLR2207" s="582" t="s">
        <v>1224</v>
      </c>
      <c r="FLS2207" s="582" t="s">
        <v>1224</v>
      </c>
      <c r="FLT2207" s="582" t="s">
        <v>1224</v>
      </c>
      <c r="FLU2207" s="582" t="s">
        <v>1224</v>
      </c>
      <c r="FLV2207" s="582" t="s">
        <v>1224</v>
      </c>
      <c r="FLW2207" s="582" t="s">
        <v>1224</v>
      </c>
      <c r="FLX2207" s="582" t="s">
        <v>1224</v>
      </c>
      <c r="FLY2207" s="582" t="s">
        <v>1224</v>
      </c>
      <c r="FLZ2207" s="582" t="s">
        <v>1224</v>
      </c>
      <c r="FMA2207" s="582" t="s">
        <v>1224</v>
      </c>
      <c r="FMB2207" s="582" t="s">
        <v>1224</v>
      </c>
      <c r="FMC2207" s="582" t="s">
        <v>1224</v>
      </c>
      <c r="FMD2207" s="582" t="s">
        <v>1224</v>
      </c>
      <c r="FME2207" s="582" t="s">
        <v>1224</v>
      </c>
      <c r="FMF2207" s="582" t="s">
        <v>1224</v>
      </c>
      <c r="FMG2207" s="582" t="s">
        <v>1224</v>
      </c>
      <c r="FMH2207" s="582" t="s">
        <v>1224</v>
      </c>
      <c r="FMI2207" s="582" t="s">
        <v>1224</v>
      </c>
      <c r="FMJ2207" s="582" t="s">
        <v>1224</v>
      </c>
      <c r="FMK2207" s="582" t="s">
        <v>1224</v>
      </c>
      <c r="FML2207" s="582" t="s">
        <v>1224</v>
      </c>
      <c r="FMM2207" s="582" t="s">
        <v>1224</v>
      </c>
      <c r="FMN2207" s="582" t="s">
        <v>1224</v>
      </c>
      <c r="FMO2207" s="582" t="s">
        <v>1224</v>
      </c>
      <c r="FMP2207" s="582" t="s">
        <v>1224</v>
      </c>
      <c r="FMQ2207" s="582" t="s">
        <v>1224</v>
      </c>
      <c r="FMR2207" s="582" t="s">
        <v>1224</v>
      </c>
      <c r="FMS2207" s="582" t="s">
        <v>1224</v>
      </c>
      <c r="FMT2207" s="582" t="s">
        <v>1224</v>
      </c>
      <c r="FMU2207" s="582" t="s">
        <v>1224</v>
      </c>
      <c r="FMV2207" s="582" t="s">
        <v>1224</v>
      </c>
      <c r="FMW2207" s="582" t="s">
        <v>1224</v>
      </c>
      <c r="FMX2207" s="582" t="s">
        <v>1224</v>
      </c>
      <c r="FMY2207" s="582" t="s">
        <v>1224</v>
      </c>
      <c r="FMZ2207" s="582" t="s">
        <v>1224</v>
      </c>
      <c r="FNA2207" s="582" t="s">
        <v>1224</v>
      </c>
      <c r="FNB2207" s="582" t="s">
        <v>1224</v>
      </c>
      <c r="FNC2207" s="582" t="s">
        <v>1224</v>
      </c>
      <c r="FND2207" s="582" t="s">
        <v>1224</v>
      </c>
      <c r="FNE2207" s="582" t="s">
        <v>1224</v>
      </c>
      <c r="FNF2207" s="582" t="s">
        <v>1224</v>
      </c>
      <c r="FNG2207" s="582" t="s">
        <v>1224</v>
      </c>
      <c r="FNH2207" s="582" t="s">
        <v>1224</v>
      </c>
      <c r="FNI2207" s="582" t="s">
        <v>1224</v>
      </c>
      <c r="FNJ2207" s="582" t="s">
        <v>1224</v>
      </c>
      <c r="FNK2207" s="582" t="s">
        <v>1224</v>
      </c>
      <c r="FNL2207" s="582" t="s">
        <v>1224</v>
      </c>
      <c r="FNM2207" s="582" t="s">
        <v>1224</v>
      </c>
      <c r="FNN2207" s="582" t="s">
        <v>1224</v>
      </c>
      <c r="FNO2207" s="582" t="s">
        <v>1224</v>
      </c>
      <c r="FNP2207" s="582" t="s">
        <v>1224</v>
      </c>
      <c r="FNQ2207" s="582" t="s">
        <v>1224</v>
      </c>
      <c r="FNR2207" s="582" t="s">
        <v>1224</v>
      </c>
      <c r="FNS2207" s="582" t="s">
        <v>1224</v>
      </c>
      <c r="FNT2207" s="582" t="s">
        <v>1224</v>
      </c>
      <c r="FNU2207" s="582" t="s">
        <v>1224</v>
      </c>
      <c r="FNV2207" s="582" t="s">
        <v>1224</v>
      </c>
      <c r="FNW2207" s="582" t="s">
        <v>1224</v>
      </c>
      <c r="FNX2207" s="582" t="s">
        <v>1224</v>
      </c>
      <c r="FNY2207" s="582" t="s">
        <v>1224</v>
      </c>
      <c r="FNZ2207" s="582" t="s">
        <v>1224</v>
      </c>
      <c r="FOA2207" s="582" t="s">
        <v>1224</v>
      </c>
      <c r="FOB2207" s="582" t="s">
        <v>1224</v>
      </c>
      <c r="FOC2207" s="582" t="s">
        <v>1224</v>
      </c>
      <c r="FOD2207" s="582" t="s">
        <v>1224</v>
      </c>
      <c r="FOE2207" s="582" t="s">
        <v>1224</v>
      </c>
      <c r="FOF2207" s="582" t="s">
        <v>1224</v>
      </c>
      <c r="FOG2207" s="582" t="s">
        <v>1224</v>
      </c>
      <c r="FOH2207" s="582" t="s">
        <v>1224</v>
      </c>
      <c r="FOI2207" s="582" t="s">
        <v>1224</v>
      </c>
      <c r="FOJ2207" s="582" t="s">
        <v>1224</v>
      </c>
      <c r="FOK2207" s="582" t="s">
        <v>1224</v>
      </c>
      <c r="FOL2207" s="582" t="s">
        <v>1224</v>
      </c>
      <c r="FOM2207" s="582" t="s">
        <v>1224</v>
      </c>
      <c r="FON2207" s="582" t="s">
        <v>1224</v>
      </c>
      <c r="FOO2207" s="582" t="s">
        <v>1224</v>
      </c>
      <c r="FOP2207" s="582" t="s">
        <v>1224</v>
      </c>
      <c r="FOQ2207" s="582" t="s">
        <v>1224</v>
      </c>
      <c r="FOR2207" s="582" t="s">
        <v>1224</v>
      </c>
      <c r="FOS2207" s="582" t="s">
        <v>1224</v>
      </c>
      <c r="FOT2207" s="582" t="s">
        <v>1224</v>
      </c>
      <c r="FOU2207" s="582" t="s">
        <v>1224</v>
      </c>
      <c r="FOV2207" s="582" t="s">
        <v>1224</v>
      </c>
      <c r="FOW2207" s="582" t="s">
        <v>1224</v>
      </c>
      <c r="FOX2207" s="582" t="s">
        <v>1224</v>
      </c>
      <c r="FOY2207" s="582" t="s">
        <v>1224</v>
      </c>
      <c r="FOZ2207" s="582" t="s">
        <v>1224</v>
      </c>
      <c r="FPA2207" s="582" t="s">
        <v>1224</v>
      </c>
      <c r="FPB2207" s="582" t="s">
        <v>1224</v>
      </c>
      <c r="FPC2207" s="582" t="s">
        <v>1224</v>
      </c>
      <c r="FPD2207" s="582" t="s">
        <v>1224</v>
      </c>
      <c r="FPE2207" s="582" t="s">
        <v>1224</v>
      </c>
      <c r="FPF2207" s="582" t="s">
        <v>1224</v>
      </c>
      <c r="FPG2207" s="582" t="s">
        <v>1224</v>
      </c>
      <c r="FPH2207" s="582" t="s">
        <v>1224</v>
      </c>
      <c r="FPI2207" s="582" t="s">
        <v>1224</v>
      </c>
      <c r="FPJ2207" s="582" t="s">
        <v>1224</v>
      </c>
      <c r="FPK2207" s="582" t="s">
        <v>1224</v>
      </c>
      <c r="FPL2207" s="582" t="s">
        <v>1224</v>
      </c>
      <c r="FPM2207" s="582" t="s">
        <v>1224</v>
      </c>
      <c r="FPN2207" s="582" t="s">
        <v>1224</v>
      </c>
      <c r="FPO2207" s="582" t="s">
        <v>1224</v>
      </c>
      <c r="FPP2207" s="582" t="s">
        <v>1224</v>
      </c>
      <c r="FPQ2207" s="582" t="s">
        <v>1224</v>
      </c>
      <c r="FPR2207" s="582" t="s">
        <v>1224</v>
      </c>
      <c r="FPS2207" s="582" t="s">
        <v>1224</v>
      </c>
      <c r="FPT2207" s="582" t="s">
        <v>1224</v>
      </c>
      <c r="FPU2207" s="582" t="s">
        <v>1224</v>
      </c>
      <c r="FPV2207" s="582" t="s">
        <v>1224</v>
      </c>
      <c r="FPW2207" s="582" t="s">
        <v>1224</v>
      </c>
      <c r="FPX2207" s="582" t="s">
        <v>1224</v>
      </c>
      <c r="FPY2207" s="582" t="s">
        <v>1224</v>
      </c>
      <c r="FPZ2207" s="582" t="s">
        <v>1224</v>
      </c>
      <c r="FQA2207" s="582" t="s">
        <v>1224</v>
      </c>
      <c r="FQB2207" s="582" t="s">
        <v>1224</v>
      </c>
      <c r="FQC2207" s="582" t="s">
        <v>1224</v>
      </c>
      <c r="FQD2207" s="582" t="s">
        <v>1224</v>
      </c>
      <c r="FQE2207" s="582" t="s">
        <v>1224</v>
      </c>
      <c r="FQF2207" s="582" t="s">
        <v>1224</v>
      </c>
      <c r="FQG2207" s="582" t="s">
        <v>1224</v>
      </c>
      <c r="FQH2207" s="582" t="s">
        <v>1224</v>
      </c>
      <c r="FQI2207" s="582" t="s">
        <v>1224</v>
      </c>
      <c r="FQJ2207" s="582" t="s">
        <v>1224</v>
      </c>
      <c r="FQK2207" s="582" t="s">
        <v>1224</v>
      </c>
      <c r="FQL2207" s="582" t="s">
        <v>1224</v>
      </c>
      <c r="FQM2207" s="582" t="s">
        <v>1224</v>
      </c>
      <c r="FQN2207" s="582" t="s">
        <v>1224</v>
      </c>
      <c r="FQO2207" s="582" t="s">
        <v>1224</v>
      </c>
      <c r="FQP2207" s="582" t="s">
        <v>1224</v>
      </c>
      <c r="FQQ2207" s="582" t="s">
        <v>1224</v>
      </c>
      <c r="FQR2207" s="582" t="s">
        <v>1224</v>
      </c>
      <c r="FQS2207" s="582" t="s">
        <v>1224</v>
      </c>
      <c r="FQT2207" s="582" t="s">
        <v>1224</v>
      </c>
      <c r="FQU2207" s="582" t="s">
        <v>1224</v>
      </c>
      <c r="FQV2207" s="582" t="s">
        <v>1224</v>
      </c>
      <c r="FQW2207" s="582" t="s">
        <v>1224</v>
      </c>
      <c r="FQX2207" s="582" t="s">
        <v>1224</v>
      </c>
      <c r="FQY2207" s="582" t="s">
        <v>1224</v>
      </c>
      <c r="FQZ2207" s="582" t="s">
        <v>1224</v>
      </c>
      <c r="FRA2207" s="582" t="s">
        <v>1224</v>
      </c>
      <c r="FRB2207" s="582" t="s">
        <v>1224</v>
      </c>
      <c r="FRC2207" s="582" t="s">
        <v>1224</v>
      </c>
      <c r="FRD2207" s="582" t="s">
        <v>1224</v>
      </c>
      <c r="FRE2207" s="582" t="s">
        <v>1224</v>
      </c>
      <c r="FRF2207" s="582" t="s">
        <v>1224</v>
      </c>
      <c r="FRG2207" s="582" t="s">
        <v>1224</v>
      </c>
      <c r="FRH2207" s="582" t="s">
        <v>1224</v>
      </c>
      <c r="FRI2207" s="582" t="s">
        <v>1224</v>
      </c>
      <c r="FRJ2207" s="582" t="s">
        <v>1224</v>
      </c>
      <c r="FRK2207" s="582" t="s">
        <v>1224</v>
      </c>
      <c r="FRL2207" s="582" t="s">
        <v>1224</v>
      </c>
      <c r="FRM2207" s="582" t="s">
        <v>1224</v>
      </c>
      <c r="FRN2207" s="582" t="s">
        <v>1224</v>
      </c>
      <c r="FRO2207" s="582" t="s">
        <v>1224</v>
      </c>
      <c r="FRP2207" s="582" t="s">
        <v>1224</v>
      </c>
      <c r="FRQ2207" s="582" t="s">
        <v>1224</v>
      </c>
      <c r="FRR2207" s="582" t="s">
        <v>1224</v>
      </c>
      <c r="FRS2207" s="582" t="s">
        <v>1224</v>
      </c>
      <c r="FRT2207" s="582" t="s">
        <v>1224</v>
      </c>
      <c r="FRU2207" s="582" t="s">
        <v>1224</v>
      </c>
      <c r="FRV2207" s="582" t="s">
        <v>1224</v>
      </c>
      <c r="FRW2207" s="582" t="s">
        <v>1224</v>
      </c>
      <c r="FRX2207" s="582" t="s">
        <v>1224</v>
      </c>
      <c r="FRY2207" s="582" t="s">
        <v>1224</v>
      </c>
      <c r="FRZ2207" s="582" t="s">
        <v>1224</v>
      </c>
      <c r="FSA2207" s="582" t="s">
        <v>1224</v>
      </c>
      <c r="FSB2207" s="582" t="s">
        <v>1224</v>
      </c>
      <c r="FSC2207" s="582" t="s">
        <v>1224</v>
      </c>
      <c r="FSD2207" s="582" t="s">
        <v>1224</v>
      </c>
      <c r="FSE2207" s="582" t="s">
        <v>1224</v>
      </c>
      <c r="FSF2207" s="582" t="s">
        <v>1224</v>
      </c>
      <c r="FSG2207" s="582" t="s">
        <v>1224</v>
      </c>
      <c r="FSH2207" s="582" t="s">
        <v>1224</v>
      </c>
      <c r="FSI2207" s="582" t="s">
        <v>1224</v>
      </c>
      <c r="FSJ2207" s="582" t="s">
        <v>1224</v>
      </c>
      <c r="FSK2207" s="582" t="s">
        <v>1224</v>
      </c>
      <c r="FSL2207" s="582" t="s">
        <v>1224</v>
      </c>
      <c r="FSM2207" s="582" t="s">
        <v>1224</v>
      </c>
      <c r="FSN2207" s="582" t="s">
        <v>1224</v>
      </c>
      <c r="FSO2207" s="582" t="s">
        <v>1224</v>
      </c>
      <c r="FSP2207" s="582" t="s">
        <v>1224</v>
      </c>
      <c r="FSQ2207" s="582" t="s">
        <v>1224</v>
      </c>
      <c r="FSR2207" s="582" t="s">
        <v>1224</v>
      </c>
      <c r="FSS2207" s="582" t="s">
        <v>1224</v>
      </c>
      <c r="FST2207" s="582" t="s">
        <v>1224</v>
      </c>
      <c r="FSU2207" s="582" t="s">
        <v>1224</v>
      </c>
      <c r="FSV2207" s="582" t="s">
        <v>1224</v>
      </c>
      <c r="FSW2207" s="582" t="s">
        <v>1224</v>
      </c>
      <c r="FSX2207" s="582" t="s">
        <v>1224</v>
      </c>
      <c r="FSY2207" s="582" t="s">
        <v>1224</v>
      </c>
      <c r="FSZ2207" s="582" t="s">
        <v>1224</v>
      </c>
      <c r="FTA2207" s="582" t="s">
        <v>1224</v>
      </c>
      <c r="FTB2207" s="582" t="s">
        <v>1224</v>
      </c>
      <c r="FTC2207" s="582" t="s">
        <v>1224</v>
      </c>
      <c r="FTD2207" s="582" t="s">
        <v>1224</v>
      </c>
      <c r="FTE2207" s="582" t="s">
        <v>1224</v>
      </c>
      <c r="FTF2207" s="582" t="s">
        <v>1224</v>
      </c>
      <c r="FTG2207" s="582" t="s">
        <v>1224</v>
      </c>
      <c r="FTH2207" s="582" t="s">
        <v>1224</v>
      </c>
      <c r="FTI2207" s="582" t="s">
        <v>1224</v>
      </c>
      <c r="FTJ2207" s="582" t="s">
        <v>1224</v>
      </c>
      <c r="FTK2207" s="582" t="s">
        <v>1224</v>
      </c>
      <c r="FTL2207" s="582" t="s">
        <v>1224</v>
      </c>
      <c r="FTM2207" s="582" t="s">
        <v>1224</v>
      </c>
      <c r="FTN2207" s="582" t="s">
        <v>1224</v>
      </c>
      <c r="FTO2207" s="582" t="s">
        <v>1224</v>
      </c>
      <c r="FTP2207" s="582" t="s">
        <v>1224</v>
      </c>
      <c r="FTQ2207" s="582" t="s">
        <v>1224</v>
      </c>
      <c r="FTR2207" s="582" t="s">
        <v>1224</v>
      </c>
      <c r="FTS2207" s="582" t="s">
        <v>1224</v>
      </c>
      <c r="FTT2207" s="582" t="s">
        <v>1224</v>
      </c>
      <c r="FTU2207" s="582" t="s">
        <v>1224</v>
      </c>
      <c r="FTV2207" s="582" t="s">
        <v>1224</v>
      </c>
      <c r="FTW2207" s="582" t="s">
        <v>1224</v>
      </c>
      <c r="FTX2207" s="582" t="s">
        <v>1224</v>
      </c>
      <c r="FTY2207" s="582" t="s">
        <v>1224</v>
      </c>
      <c r="FTZ2207" s="582" t="s">
        <v>1224</v>
      </c>
      <c r="FUA2207" s="582" t="s">
        <v>1224</v>
      </c>
      <c r="FUB2207" s="582" t="s">
        <v>1224</v>
      </c>
      <c r="FUC2207" s="582" t="s">
        <v>1224</v>
      </c>
      <c r="FUD2207" s="582" t="s">
        <v>1224</v>
      </c>
      <c r="FUE2207" s="582" t="s">
        <v>1224</v>
      </c>
      <c r="FUF2207" s="582" t="s">
        <v>1224</v>
      </c>
      <c r="FUG2207" s="582" t="s">
        <v>1224</v>
      </c>
      <c r="FUH2207" s="582" t="s">
        <v>1224</v>
      </c>
      <c r="FUI2207" s="582" t="s">
        <v>1224</v>
      </c>
      <c r="FUJ2207" s="582" t="s">
        <v>1224</v>
      </c>
      <c r="FUK2207" s="582" t="s">
        <v>1224</v>
      </c>
      <c r="FUL2207" s="582" t="s">
        <v>1224</v>
      </c>
      <c r="FUM2207" s="582" t="s">
        <v>1224</v>
      </c>
      <c r="FUN2207" s="582" t="s">
        <v>1224</v>
      </c>
      <c r="FUO2207" s="582" t="s">
        <v>1224</v>
      </c>
      <c r="FUP2207" s="582" t="s">
        <v>1224</v>
      </c>
      <c r="FUQ2207" s="582" t="s">
        <v>1224</v>
      </c>
      <c r="FUR2207" s="582" t="s">
        <v>1224</v>
      </c>
      <c r="FUS2207" s="582" t="s">
        <v>1224</v>
      </c>
      <c r="FUT2207" s="582" t="s">
        <v>1224</v>
      </c>
      <c r="FUU2207" s="582" t="s">
        <v>1224</v>
      </c>
      <c r="FUV2207" s="582" t="s">
        <v>1224</v>
      </c>
      <c r="FUW2207" s="582" t="s">
        <v>1224</v>
      </c>
      <c r="FUX2207" s="582" t="s">
        <v>1224</v>
      </c>
      <c r="FUY2207" s="582" t="s">
        <v>1224</v>
      </c>
      <c r="FUZ2207" s="582" t="s">
        <v>1224</v>
      </c>
      <c r="FVA2207" s="582" t="s">
        <v>1224</v>
      </c>
      <c r="FVB2207" s="582" t="s">
        <v>1224</v>
      </c>
      <c r="FVC2207" s="582" t="s">
        <v>1224</v>
      </c>
      <c r="FVD2207" s="582" t="s">
        <v>1224</v>
      </c>
      <c r="FVE2207" s="582" t="s">
        <v>1224</v>
      </c>
      <c r="FVF2207" s="582" t="s">
        <v>1224</v>
      </c>
      <c r="FVG2207" s="582" t="s">
        <v>1224</v>
      </c>
      <c r="FVH2207" s="582" t="s">
        <v>1224</v>
      </c>
      <c r="FVI2207" s="582" t="s">
        <v>1224</v>
      </c>
      <c r="FVJ2207" s="582" t="s">
        <v>1224</v>
      </c>
      <c r="FVK2207" s="582" t="s">
        <v>1224</v>
      </c>
      <c r="FVL2207" s="582" t="s">
        <v>1224</v>
      </c>
      <c r="FVM2207" s="582" t="s">
        <v>1224</v>
      </c>
      <c r="FVN2207" s="582" t="s">
        <v>1224</v>
      </c>
      <c r="FVO2207" s="582" t="s">
        <v>1224</v>
      </c>
      <c r="FVP2207" s="582" t="s">
        <v>1224</v>
      </c>
      <c r="FVQ2207" s="582" t="s">
        <v>1224</v>
      </c>
      <c r="FVR2207" s="582" t="s">
        <v>1224</v>
      </c>
      <c r="FVS2207" s="582" t="s">
        <v>1224</v>
      </c>
      <c r="FVT2207" s="582" t="s">
        <v>1224</v>
      </c>
      <c r="FVU2207" s="582" t="s">
        <v>1224</v>
      </c>
      <c r="FVV2207" s="582" t="s">
        <v>1224</v>
      </c>
      <c r="FVW2207" s="582" t="s">
        <v>1224</v>
      </c>
      <c r="FVX2207" s="582" t="s">
        <v>1224</v>
      </c>
      <c r="FVY2207" s="582" t="s">
        <v>1224</v>
      </c>
      <c r="FVZ2207" s="582" t="s">
        <v>1224</v>
      </c>
      <c r="FWA2207" s="582" t="s">
        <v>1224</v>
      </c>
      <c r="FWB2207" s="582" t="s">
        <v>1224</v>
      </c>
      <c r="FWC2207" s="582" t="s">
        <v>1224</v>
      </c>
      <c r="FWD2207" s="582" t="s">
        <v>1224</v>
      </c>
      <c r="FWE2207" s="582" t="s">
        <v>1224</v>
      </c>
      <c r="FWF2207" s="582" t="s">
        <v>1224</v>
      </c>
      <c r="FWG2207" s="582" t="s">
        <v>1224</v>
      </c>
      <c r="FWH2207" s="582" t="s">
        <v>1224</v>
      </c>
      <c r="FWI2207" s="582" t="s">
        <v>1224</v>
      </c>
      <c r="FWJ2207" s="582" t="s">
        <v>1224</v>
      </c>
      <c r="FWK2207" s="582" t="s">
        <v>1224</v>
      </c>
      <c r="FWL2207" s="582" t="s">
        <v>1224</v>
      </c>
      <c r="FWM2207" s="582" t="s">
        <v>1224</v>
      </c>
      <c r="FWN2207" s="582" t="s">
        <v>1224</v>
      </c>
      <c r="FWO2207" s="582" t="s">
        <v>1224</v>
      </c>
      <c r="FWP2207" s="582" t="s">
        <v>1224</v>
      </c>
      <c r="FWQ2207" s="582" t="s">
        <v>1224</v>
      </c>
      <c r="FWR2207" s="582" t="s">
        <v>1224</v>
      </c>
      <c r="FWS2207" s="582" t="s">
        <v>1224</v>
      </c>
      <c r="FWT2207" s="582" t="s">
        <v>1224</v>
      </c>
      <c r="FWU2207" s="582" t="s">
        <v>1224</v>
      </c>
      <c r="FWV2207" s="582" t="s">
        <v>1224</v>
      </c>
      <c r="FWW2207" s="582" t="s">
        <v>1224</v>
      </c>
      <c r="FWX2207" s="582" t="s">
        <v>1224</v>
      </c>
      <c r="FWY2207" s="582" t="s">
        <v>1224</v>
      </c>
      <c r="FWZ2207" s="582" t="s">
        <v>1224</v>
      </c>
      <c r="FXA2207" s="582" t="s">
        <v>1224</v>
      </c>
      <c r="FXB2207" s="582" t="s">
        <v>1224</v>
      </c>
      <c r="FXC2207" s="582" t="s">
        <v>1224</v>
      </c>
      <c r="FXD2207" s="582" t="s">
        <v>1224</v>
      </c>
      <c r="FXE2207" s="582" t="s">
        <v>1224</v>
      </c>
      <c r="FXF2207" s="582" t="s">
        <v>1224</v>
      </c>
      <c r="FXG2207" s="582" t="s">
        <v>1224</v>
      </c>
      <c r="FXH2207" s="582" t="s">
        <v>1224</v>
      </c>
      <c r="FXI2207" s="582" t="s">
        <v>1224</v>
      </c>
      <c r="FXJ2207" s="582" t="s">
        <v>1224</v>
      </c>
      <c r="FXK2207" s="582" t="s">
        <v>1224</v>
      </c>
      <c r="FXL2207" s="582" t="s">
        <v>1224</v>
      </c>
      <c r="FXM2207" s="582" t="s">
        <v>1224</v>
      </c>
      <c r="FXN2207" s="582" t="s">
        <v>1224</v>
      </c>
      <c r="FXO2207" s="582" t="s">
        <v>1224</v>
      </c>
      <c r="FXP2207" s="582" t="s">
        <v>1224</v>
      </c>
      <c r="FXQ2207" s="582" t="s">
        <v>1224</v>
      </c>
      <c r="FXR2207" s="582" t="s">
        <v>1224</v>
      </c>
      <c r="FXS2207" s="582" t="s">
        <v>1224</v>
      </c>
      <c r="FXT2207" s="582" t="s">
        <v>1224</v>
      </c>
      <c r="FXU2207" s="582" t="s">
        <v>1224</v>
      </c>
      <c r="FXV2207" s="582" t="s">
        <v>1224</v>
      </c>
      <c r="FXW2207" s="582" t="s">
        <v>1224</v>
      </c>
      <c r="FXX2207" s="582" t="s">
        <v>1224</v>
      </c>
      <c r="FXY2207" s="582" t="s">
        <v>1224</v>
      </c>
      <c r="FXZ2207" s="582" t="s">
        <v>1224</v>
      </c>
      <c r="FYA2207" s="582" t="s">
        <v>1224</v>
      </c>
      <c r="FYB2207" s="582" t="s">
        <v>1224</v>
      </c>
      <c r="FYC2207" s="582" t="s">
        <v>1224</v>
      </c>
      <c r="FYD2207" s="582" t="s">
        <v>1224</v>
      </c>
      <c r="FYE2207" s="582" t="s">
        <v>1224</v>
      </c>
      <c r="FYF2207" s="582" t="s">
        <v>1224</v>
      </c>
      <c r="FYG2207" s="582" t="s">
        <v>1224</v>
      </c>
      <c r="FYH2207" s="582" t="s">
        <v>1224</v>
      </c>
      <c r="FYI2207" s="582" t="s">
        <v>1224</v>
      </c>
      <c r="FYJ2207" s="582" t="s">
        <v>1224</v>
      </c>
      <c r="FYK2207" s="582" t="s">
        <v>1224</v>
      </c>
      <c r="FYL2207" s="582" t="s">
        <v>1224</v>
      </c>
      <c r="FYM2207" s="582" t="s">
        <v>1224</v>
      </c>
      <c r="FYN2207" s="582" t="s">
        <v>1224</v>
      </c>
      <c r="FYO2207" s="582" t="s">
        <v>1224</v>
      </c>
      <c r="FYP2207" s="582" t="s">
        <v>1224</v>
      </c>
      <c r="FYQ2207" s="582" t="s">
        <v>1224</v>
      </c>
      <c r="FYR2207" s="582" t="s">
        <v>1224</v>
      </c>
      <c r="FYS2207" s="582" t="s">
        <v>1224</v>
      </c>
      <c r="FYT2207" s="582" t="s">
        <v>1224</v>
      </c>
      <c r="FYU2207" s="582" t="s">
        <v>1224</v>
      </c>
      <c r="FYV2207" s="582" t="s">
        <v>1224</v>
      </c>
      <c r="FYW2207" s="582" t="s">
        <v>1224</v>
      </c>
      <c r="FYX2207" s="582" t="s">
        <v>1224</v>
      </c>
      <c r="FYY2207" s="582" t="s">
        <v>1224</v>
      </c>
      <c r="FYZ2207" s="582" t="s">
        <v>1224</v>
      </c>
      <c r="FZA2207" s="582" t="s">
        <v>1224</v>
      </c>
      <c r="FZB2207" s="582" t="s">
        <v>1224</v>
      </c>
      <c r="FZC2207" s="582" t="s">
        <v>1224</v>
      </c>
      <c r="FZD2207" s="582" t="s">
        <v>1224</v>
      </c>
      <c r="FZE2207" s="582" t="s">
        <v>1224</v>
      </c>
      <c r="FZF2207" s="582" t="s">
        <v>1224</v>
      </c>
      <c r="FZG2207" s="582" t="s">
        <v>1224</v>
      </c>
      <c r="FZH2207" s="582" t="s">
        <v>1224</v>
      </c>
      <c r="FZI2207" s="582" t="s">
        <v>1224</v>
      </c>
      <c r="FZJ2207" s="582" t="s">
        <v>1224</v>
      </c>
      <c r="FZK2207" s="582" t="s">
        <v>1224</v>
      </c>
      <c r="FZL2207" s="582" t="s">
        <v>1224</v>
      </c>
      <c r="FZM2207" s="582" t="s">
        <v>1224</v>
      </c>
      <c r="FZN2207" s="582" t="s">
        <v>1224</v>
      </c>
      <c r="FZO2207" s="582" t="s">
        <v>1224</v>
      </c>
      <c r="FZP2207" s="582" t="s">
        <v>1224</v>
      </c>
      <c r="FZQ2207" s="582" t="s">
        <v>1224</v>
      </c>
      <c r="FZR2207" s="582" t="s">
        <v>1224</v>
      </c>
      <c r="FZS2207" s="582" t="s">
        <v>1224</v>
      </c>
      <c r="FZT2207" s="582" t="s">
        <v>1224</v>
      </c>
      <c r="FZU2207" s="582" t="s">
        <v>1224</v>
      </c>
      <c r="FZV2207" s="582" t="s">
        <v>1224</v>
      </c>
      <c r="FZW2207" s="582" t="s">
        <v>1224</v>
      </c>
      <c r="FZX2207" s="582" t="s">
        <v>1224</v>
      </c>
      <c r="FZY2207" s="582" t="s">
        <v>1224</v>
      </c>
      <c r="FZZ2207" s="582" t="s">
        <v>1224</v>
      </c>
      <c r="GAA2207" s="582" t="s">
        <v>1224</v>
      </c>
      <c r="GAB2207" s="582" t="s">
        <v>1224</v>
      </c>
      <c r="GAC2207" s="582" t="s">
        <v>1224</v>
      </c>
      <c r="GAD2207" s="582" t="s">
        <v>1224</v>
      </c>
      <c r="GAE2207" s="582" t="s">
        <v>1224</v>
      </c>
      <c r="GAF2207" s="582" t="s">
        <v>1224</v>
      </c>
      <c r="GAG2207" s="582" t="s">
        <v>1224</v>
      </c>
      <c r="GAH2207" s="582" t="s">
        <v>1224</v>
      </c>
      <c r="GAI2207" s="582" t="s">
        <v>1224</v>
      </c>
      <c r="GAJ2207" s="582" t="s">
        <v>1224</v>
      </c>
      <c r="GAK2207" s="582" t="s">
        <v>1224</v>
      </c>
      <c r="GAL2207" s="582" t="s">
        <v>1224</v>
      </c>
      <c r="GAM2207" s="582" t="s">
        <v>1224</v>
      </c>
      <c r="GAN2207" s="582" t="s">
        <v>1224</v>
      </c>
      <c r="GAO2207" s="582" t="s">
        <v>1224</v>
      </c>
      <c r="GAP2207" s="582" t="s">
        <v>1224</v>
      </c>
      <c r="GAQ2207" s="582" t="s">
        <v>1224</v>
      </c>
      <c r="GAR2207" s="582" t="s">
        <v>1224</v>
      </c>
      <c r="GAS2207" s="582" t="s">
        <v>1224</v>
      </c>
      <c r="GAT2207" s="582" t="s">
        <v>1224</v>
      </c>
      <c r="GAU2207" s="582" t="s">
        <v>1224</v>
      </c>
      <c r="GAV2207" s="582" t="s">
        <v>1224</v>
      </c>
      <c r="GAW2207" s="582" t="s">
        <v>1224</v>
      </c>
      <c r="GAX2207" s="582" t="s">
        <v>1224</v>
      </c>
      <c r="GAY2207" s="582" t="s">
        <v>1224</v>
      </c>
      <c r="GAZ2207" s="582" t="s">
        <v>1224</v>
      </c>
      <c r="GBA2207" s="582" t="s">
        <v>1224</v>
      </c>
      <c r="GBB2207" s="582" t="s">
        <v>1224</v>
      </c>
      <c r="GBC2207" s="582" t="s">
        <v>1224</v>
      </c>
      <c r="GBD2207" s="582" t="s">
        <v>1224</v>
      </c>
      <c r="GBE2207" s="582" t="s">
        <v>1224</v>
      </c>
      <c r="GBF2207" s="582" t="s">
        <v>1224</v>
      </c>
      <c r="GBG2207" s="582" t="s">
        <v>1224</v>
      </c>
      <c r="GBH2207" s="582" t="s">
        <v>1224</v>
      </c>
      <c r="GBI2207" s="582" t="s">
        <v>1224</v>
      </c>
      <c r="GBJ2207" s="582" t="s">
        <v>1224</v>
      </c>
      <c r="GBK2207" s="582" t="s">
        <v>1224</v>
      </c>
      <c r="GBL2207" s="582" t="s">
        <v>1224</v>
      </c>
      <c r="GBM2207" s="582" t="s">
        <v>1224</v>
      </c>
      <c r="GBN2207" s="582" t="s">
        <v>1224</v>
      </c>
      <c r="GBO2207" s="582" t="s">
        <v>1224</v>
      </c>
      <c r="GBP2207" s="582" t="s">
        <v>1224</v>
      </c>
      <c r="GBQ2207" s="582" t="s">
        <v>1224</v>
      </c>
      <c r="GBR2207" s="582" t="s">
        <v>1224</v>
      </c>
      <c r="GBS2207" s="582" t="s">
        <v>1224</v>
      </c>
      <c r="GBT2207" s="582" t="s">
        <v>1224</v>
      </c>
      <c r="GBU2207" s="582" t="s">
        <v>1224</v>
      </c>
      <c r="GBV2207" s="582" t="s">
        <v>1224</v>
      </c>
      <c r="GBW2207" s="582" t="s">
        <v>1224</v>
      </c>
      <c r="GBX2207" s="582" t="s">
        <v>1224</v>
      </c>
      <c r="GBY2207" s="582" t="s">
        <v>1224</v>
      </c>
      <c r="GBZ2207" s="582" t="s">
        <v>1224</v>
      </c>
      <c r="GCA2207" s="582" t="s">
        <v>1224</v>
      </c>
      <c r="GCB2207" s="582" t="s">
        <v>1224</v>
      </c>
      <c r="GCC2207" s="582" t="s">
        <v>1224</v>
      </c>
      <c r="GCD2207" s="582" t="s">
        <v>1224</v>
      </c>
      <c r="GCE2207" s="582" t="s">
        <v>1224</v>
      </c>
      <c r="GCF2207" s="582" t="s">
        <v>1224</v>
      </c>
      <c r="GCG2207" s="582" t="s">
        <v>1224</v>
      </c>
      <c r="GCH2207" s="582" t="s">
        <v>1224</v>
      </c>
      <c r="GCI2207" s="582" t="s">
        <v>1224</v>
      </c>
      <c r="GCJ2207" s="582" t="s">
        <v>1224</v>
      </c>
      <c r="GCK2207" s="582" t="s">
        <v>1224</v>
      </c>
      <c r="GCL2207" s="582" t="s">
        <v>1224</v>
      </c>
      <c r="GCM2207" s="582" t="s">
        <v>1224</v>
      </c>
      <c r="GCN2207" s="582" t="s">
        <v>1224</v>
      </c>
      <c r="GCO2207" s="582" t="s">
        <v>1224</v>
      </c>
      <c r="GCP2207" s="582" t="s">
        <v>1224</v>
      </c>
      <c r="GCQ2207" s="582" t="s">
        <v>1224</v>
      </c>
      <c r="GCR2207" s="582" t="s">
        <v>1224</v>
      </c>
      <c r="GCS2207" s="582" t="s">
        <v>1224</v>
      </c>
      <c r="GCT2207" s="582" t="s">
        <v>1224</v>
      </c>
      <c r="GCU2207" s="582" t="s">
        <v>1224</v>
      </c>
      <c r="GCV2207" s="582" t="s">
        <v>1224</v>
      </c>
      <c r="GCW2207" s="582" t="s">
        <v>1224</v>
      </c>
      <c r="GCX2207" s="582" t="s">
        <v>1224</v>
      </c>
      <c r="GCY2207" s="582" t="s">
        <v>1224</v>
      </c>
      <c r="GCZ2207" s="582" t="s">
        <v>1224</v>
      </c>
      <c r="GDA2207" s="582" t="s">
        <v>1224</v>
      </c>
      <c r="GDB2207" s="582" t="s">
        <v>1224</v>
      </c>
      <c r="GDC2207" s="582" t="s">
        <v>1224</v>
      </c>
      <c r="GDD2207" s="582" t="s">
        <v>1224</v>
      </c>
      <c r="GDE2207" s="582" t="s">
        <v>1224</v>
      </c>
      <c r="GDF2207" s="582" t="s">
        <v>1224</v>
      </c>
      <c r="GDG2207" s="582" t="s">
        <v>1224</v>
      </c>
      <c r="GDH2207" s="582" t="s">
        <v>1224</v>
      </c>
      <c r="GDI2207" s="582" t="s">
        <v>1224</v>
      </c>
      <c r="GDJ2207" s="582" t="s">
        <v>1224</v>
      </c>
      <c r="GDK2207" s="582" t="s">
        <v>1224</v>
      </c>
      <c r="GDL2207" s="582" t="s">
        <v>1224</v>
      </c>
      <c r="GDM2207" s="582" t="s">
        <v>1224</v>
      </c>
      <c r="GDN2207" s="582" t="s">
        <v>1224</v>
      </c>
      <c r="GDO2207" s="582" t="s">
        <v>1224</v>
      </c>
      <c r="GDP2207" s="582" t="s">
        <v>1224</v>
      </c>
      <c r="GDQ2207" s="582" t="s">
        <v>1224</v>
      </c>
      <c r="GDR2207" s="582" t="s">
        <v>1224</v>
      </c>
      <c r="GDS2207" s="582" t="s">
        <v>1224</v>
      </c>
      <c r="GDT2207" s="582" t="s">
        <v>1224</v>
      </c>
      <c r="GDU2207" s="582" t="s">
        <v>1224</v>
      </c>
      <c r="GDV2207" s="582" t="s">
        <v>1224</v>
      </c>
      <c r="GDW2207" s="582" t="s">
        <v>1224</v>
      </c>
      <c r="GDX2207" s="582" t="s">
        <v>1224</v>
      </c>
      <c r="GDY2207" s="582" t="s">
        <v>1224</v>
      </c>
      <c r="GDZ2207" s="582" t="s">
        <v>1224</v>
      </c>
      <c r="GEA2207" s="582" t="s">
        <v>1224</v>
      </c>
      <c r="GEB2207" s="582" t="s">
        <v>1224</v>
      </c>
      <c r="GEC2207" s="582" t="s">
        <v>1224</v>
      </c>
      <c r="GED2207" s="582" t="s">
        <v>1224</v>
      </c>
      <c r="GEE2207" s="582" t="s">
        <v>1224</v>
      </c>
      <c r="GEF2207" s="582" t="s">
        <v>1224</v>
      </c>
      <c r="GEG2207" s="582" t="s">
        <v>1224</v>
      </c>
      <c r="GEH2207" s="582" t="s">
        <v>1224</v>
      </c>
      <c r="GEI2207" s="582" t="s">
        <v>1224</v>
      </c>
      <c r="GEJ2207" s="582" t="s">
        <v>1224</v>
      </c>
      <c r="GEK2207" s="582" t="s">
        <v>1224</v>
      </c>
      <c r="GEL2207" s="582" t="s">
        <v>1224</v>
      </c>
      <c r="GEM2207" s="582" t="s">
        <v>1224</v>
      </c>
      <c r="GEN2207" s="582" t="s">
        <v>1224</v>
      </c>
      <c r="GEO2207" s="582" t="s">
        <v>1224</v>
      </c>
      <c r="GEP2207" s="582" t="s">
        <v>1224</v>
      </c>
      <c r="GEQ2207" s="582" t="s">
        <v>1224</v>
      </c>
      <c r="GER2207" s="582" t="s">
        <v>1224</v>
      </c>
      <c r="GES2207" s="582" t="s">
        <v>1224</v>
      </c>
      <c r="GET2207" s="582" t="s">
        <v>1224</v>
      </c>
      <c r="GEU2207" s="582" t="s">
        <v>1224</v>
      </c>
      <c r="GEV2207" s="582" t="s">
        <v>1224</v>
      </c>
      <c r="GEW2207" s="582" t="s">
        <v>1224</v>
      </c>
      <c r="GEX2207" s="582" t="s">
        <v>1224</v>
      </c>
      <c r="GEY2207" s="582" t="s">
        <v>1224</v>
      </c>
      <c r="GEZ2207" s="582" t="s">
        <v>1224</v>
      </c>
      <c r="GFA2207" s="582" t="s">
        <v>1224</v>
      </c>
      <c r="GFB2207" s="582" t="s">
        <v>1224</v>
      </c>
      <c r="GFC2207" s="582" t="s">
        <v>1224</v>
      </c>
      <c r="GFD2207" s="582" t="s">
        <v>1224</v>
      </c>
      <c r="GFE2207" s="582" t="s">
        <v>1224</v>
      </c>
      <c r="GFF2207" s="582" t="s">
        <v>1224</v>
      </c>
      <c r="GFG2207" s="582" t="s">
        <v>1224</v>
      </c>
      <c r="GFH2207" s="582" t="s">
        <v>1224</v>
      </c>
      <c r="GFI2207" s="582" t="s">
        <v>1224</v>
      </c>
      <c r="GFJ2207" s="582" t="s">
        <v>1224</v>
      </c>
      <c r="GFK2207" s="582" t="s">
        <v>1224</v>
      </c>
      <c r="GFL2207" s="582" t="s">
        <v>1224</v>
      </c>
      <c r="GFM2207" s="582" t="s">
        <v>1224</v>
      </c>
      <c r="GFN2207" s="582" t="s">
        <v>1224</v>
      </c>
      <c r="GFO2207" s="582" t="s">
        <v>1224</v>
      </c>
      <c r="GFP2207" s="582" t="s">
        <v>1224</v>
      </c>
      <c r="GFQ2207" s="582" t="s">
        <v>1224</v>
      </c>
      <c r="GFR2207" s="582" t="s">
        <v>1224</v>
      </c>
      <c r="GFS2207" s="582" t="s">
        <v>1224</v>
      </c>
      <c r="GFT2207" s="582" t="s">
        <v>1224</v>
      </c>
      <c r="GFU2207" s="582" t="s">
        <v>1224</v>
      </c>
      <c r="GFV2207" s="582" t="s">
        <v>1224</v>
      </c>
      <c r="GFW2207" s="582" t="s">
        <v>1224</v>
      </c>
      <c r="GFX2207" s="582" t="s">
        <v>1224</v>
      </c>
      <c r="GFY2207" s="582" t="s">
        <v>1224</v>
      </c>
      <c r="GFZ2207" s="582" t="s">
        <v>1224</v>
      </c>
      <c r="GGA2207" s="582" t="s">
        <v>1224</v>
      </c>
      <c r="GGB2207" s="582" t="s">
        <v>1224</v>
      </c>
      <c r="GGC2207" s="582" t="s">
        <v>1224</v>
      </c>
      <c r="GGD2207" s="582" t="s">
        <v>1224</v>
      </c>
      <c r="GGE2207" s="582" t="s">
        <v>1224</v>
      </c>
      <c r="GGF2207" s="582" t="s">
        <v>1224</v>
      </c>
      <c r="GGG2207" s="582" t="s">
        <v>1224</v>
      </c>
      <c r="GGH2207" s="582" t="s">
        <v>1224</v>
      </c>
      <c r="GGI2207" s="582" t="s">
        <v>1224</v>
      </c>
      <c r="GGJ2207" s="582" t="s">
        <v>1224</v>
      </c>
      <c r="GGK2207" s="582" t="s">
        <v>1224</v>
      </c>
      <c r="GGL2207" s="582" t="s">
        <v>1224</v>
      </c>
      <c r="GGM2207" s="582" t="s">
        <v>1224</v>
      </c>
      <c r="GGN2207" s="582" t="s">
        <v>1224</v>
      </c>
      <c r="GGO2207" s="582" t="s">
        <v>1224</v>
      </c>
      <c r="GGP2207" s="582" t="s">
        <v>1224</v>
      </c>
      <c r="GGQ2207" s="582" t="s">
        <v>1224</v>
      </c>
      <c r="GGR2207" s="582" t="s">
        <v>1224</v>
      </c>
      <c r="GGS2207" s="582" t="s">
        <v>1224</v>
      </c>
      <c r="GGT2207" s="582" t="s">
        <v>1224</v>
      </c>
      <c r="GGU2207" s="582" t="s">
        <v>1224</v>
      </c>
      <c r="GGV2207" s="582" t="s">
        <v>1224</v>
      </c>
      <c r="GGW2207" s="582" t="s">
        <v>1224</v>
      </c>
      <c r="GGX2207" s="582" t="s">
        <v>1224</v>
      </c>
      <c r="GGY2207" s="582" t="s">
        <v>1224</v>
      </c>
      <c r="GGZ2207" s="582" t="s">
        <v>1224</v>
      </c>
      <c r="GHA2207" s="582" t="s">
        <v>1224</v>
      </c>
      <c r="GHB2207" s="582" t="s">
        <v>1224</v>
      </c>
      <c r="GHC2207" s="582" t="s">
        <v>1224</v>
      </c>
      <c r="GHD2207" s="582" t="s">
        <v>1224</v>
      </c>
      <c r="GHE2207" s="582" t="s">
        <v>1224</v>
      </c>
      <c r="GHF2207" s="582" t="s">
        <v>1224</v>
      </c>
      <c r="GHG2207" s="582" t="s">
        <v>1224</v>
      </c>
      <c r="GHH2207" s="582" t="s">
        <v>1224</v>
      </c>
      <c r="GHI2207" s="582" t="s">
        <v>1224</v>
      </c>
      <c r="GHJ2207" s="582" t="s">
        <v>1224</v>
      </c>
      <c r="GHK2207" s="582" t="s">
        <v>1224</v>
      </c>
      <c r="GHL2207" s="582" t="s">
        <v>1224</v>
      </c>
      <c r="GHM2207" s="582" t="s">
        <v>1224</v>
      </c>
      <c r="GHN2207" s="582" t="s">
        <v>1224</v>
      </c>
      <c r="GHO2207" s="582" t="s">
        <v>1224</v>
      </c>
      <c r="GHP2207" s="582" t="s">
        <v>1224</v>
      </c>
      <c r="GHQ2207" s="582" t="s">
        <v>1224</v>
      </c>
      <c r="GHR2207" s="582" t="s">
        <v>1224</v>
      </c>
      <c r="GHS2207" s="582" t="s">
        <v>1224</v>
      </c>
      <c r="GHT2207" s="582" t="s">
        <v>1224</v>
      </c>
      <c r="GHU2207" s="582" t="s">
        <v>1224</v>
      </c>
      <c r="GHV2207" s="582" t="s">
        <v>1224</v>
      </c>
      <c r="GHW2207" s="582" t="s">
        <v>1224</v>
      </c>
      <c r="GHX2207" s="582" t="s">
        <v>1224</v>
      </c>
      <c r="GHY2207" s="582" t="s">
        <v>1224</v>
      </c>
      <c r="GHZ2207" s="582" t="s">
        <v>1224</v>
      </c>
      <c r="GIA2207" s="582" t="s">
        <v>1224</v>
      </c>
      <c r="GIB2207" s="582" t="s">
        <v>1224</v>
      </c>
      <c r="GIC2207" s="582" t="s">
        <v>1224</v>
      </c>
      <c r="GID2207" s="582" t="s">
        <v>1224</v>
      </c>
      <c r="GIE2207" s="582" t="s">
        <v>1224</v>
      </c>
      <c r="GIF2207" s="582" t="s">
        <v>1224</v>
      </c>
      <c r="GIG2207" s="582" t="s">
        <v>1224</v>
      </c>
      <c r="GIH2207" s="582" t="s">
        <v>1224</v>
      </c>
      <c r="GII2207" s="582" t="s">
        <v>1224</v>
      </c>
      <c r="GIJ2207" s="582" t="s">
        <v>1224</v>
      </c>
      <c r="GIK2207" s="582" t="s">
        <v>1224</v>
      </c>
      <c r="GIL2207" s="582" t="s">
        <v>1224</v>
      </c>
      <c r="GIM2207" s="582" t="s">
        <v>1224</v>
      </c>
      <c r="GIN2207" s="582" t="s">
        <v>1224</v>
      </c>
      <c r="GIO2207" s="582" t="s">
        <v>1224</v>
      </c>
      <c r="GIP2207" s="582" t="s">
        <v>1224</v>
      </c>
      <c r="GIQ2207" s="582" t="s">
        <v>1224</v>
      </c>
      <c r="GIR2207" s="582" t="s">
        <v>1224</v>
      </c>
      <c r="GIS2207" s="582" t="s">
        <v>1224</v>
      </c>
      <c r="GIT2207" s="582" t="s">
        <v>1224</v>
      </c>
      <c r="GIU2207" s="582" t="s">
        <v>1224</v>
      </c>
      <c r="GIV2207" s="582" t="s">
        <v>1224</v>
      </c>
      <c r="GIW2207" s="582" t="s">
        <v>1224</v>
      </c>
      <c r="GIX2207" s="582" t="s">
        <v>1224</v>
      </c>
      <c r="GIY2207" s="582" t="s">
        <v>1224</v>
      </c>
      <c r="GIZ2207" s="582" t="s">
        <v>1224</v>
      </c>
      <c r="GJA2207" s="582" t="s">
        <v>1224</v>
      </c>
      <c r="GJB2207" s="582" t="s">
        <v>1224</v>
      </c>
      <c r="GJC2207" s="582" t="s">
        <v>1224</v>
      </c>
      <c r="GJD2207" s="582" t="s">
        <v>1224</v>
      </c>
      <c r="GJE2207" s="582" t="s">
        <v>1224</v>
      </c>
      <c r="GJF2207" s="582" t="s">
        <v>1224</v>
      </c>
      <c r="GJG2207" s="582" t="s">
        <v>1224</v>
      </c>
      <c r="GJH2207" s="582" t="s">
        <v>1224</v>
      </c>
      <c r="GJI2207" s="582" t="s">
        <v>1224</v>
      </c>
      <c r="GJJ2207" s="582" t="s">
        <v>1224</v>
      </c>
      <c r="GJK2207" s="582" t="s">
        <v>1224</v>
      </c>
      <c r="GJL2207" s="582" t="s">
        <v>1224</v>
      </c>
      <c r="GJM2207" s="582" t="s">
        <v>1224</v>
      </c>
      <c r="GJN2207" s="582" t="s">
        <v>1224</v>
      </c>
      <c r="GJO2207" s="582" t="s">
        <v>1224</v>
      </c>
      <c r="GJP2207" s="582" t="s">
        <v>1224</v>
      </c>
      <c r="GJQ2207" s="582" t="s">
        <v>1224</v>
      </c>
      <c r="GJR2207" s="582" t="s">
        <v>1224</v>
      </c>
      <c r="GJS2207" s="582" t="s">
        <v>1224</v>
      </c>
      <c r="GJT2207" s="582" t="s">
        <v>1224</v>
      </c>
      <c r="GJU2207" s="582" t="s">
        <v>1224</v>
      </c>
      <c r="GJV2207" s="582" t="s">
        <v>1224</v>
      </c>
      <c r="GJW2207" s="582" t="s">
        <v>1224</v>
      </c>
      <c r="GJX2207" s="582" t="s">
        <v>1224</v>
      </c>
      <c r="GJY2207" s="582" t="s">
        <v>1224</v>
      </c>
      <c r="GJZ2207" s="582" t="s">
        <v>1224</v>
      </c>
      <c r="GKA2207" s="582" t="s">
        <v>1224</v>
      </c>
      <c r="GKB2207" s="582" t="s">
        <v>1224</v>
      </c>
      <c r="GKC2207" s="582" t="s">
        <v>1224</v>
      </c>
      <c r="GKD2207" s="582" t="s">
        <v>1224</v>
      </c>
      <c r="GKE2207" s="582" t="s">
        <v>1224</v>
      </c>
      <c r="GKF2207" s="582" t="s">
        <v>1224</v>
      </c>
      <c r="GKG2207" s="582" t="s">
        <v>1224</v>
      </c>
      <c r="GKH2207" s="582" t="s">
        <v>1224</v>
      </c>
      <c r="GKI2207" s="582" t="s">
        <v>1224</v>
      </c>
      <c r="GKJ2207" s="582" t="s">
        <v>1224</v>
      </c>
      <c r="GKK2207" s="582" t="s">
        <v>1224</v>
      </c>
      <c r="GKL2207" s="582" t="s">
        <v>1224</v>
      </c>
      <c r="GKM2207" s="582" t="s">
        <v>1224</v>
      </c>
      <c r="GKN2207" s="582" t="s">
        <v>1224</v>
      </c>
      <c r="GKO2207" s="582" t="s">
        <v>1224</v>
      </c>
      <c r="GKP2207" s="582" t="s">
        <v>1224</v>
      </c>
      <c r="GKQ2207" s="582" t="s">
        <v>1224</v>
      </c>
      <c r="GKR2207" s="582" t="s">
        <v>1224</v>
      </c>
      <c r="GKS2207" s="582" t="s">
        <v>1224</v>
      </c>
      <c r="GKT2207" s="582" t="s">
        <v>1224</v>
      </c>
      <c r="GKU2207" s="582" t="s">
        <v>1224</v>
      </c>
      <c r="GKV2207" s="582" t="s">
        <v>1224</v>
      </c>
      <c r="GKW2207" s="582" t="s">
        <v>1224</v>
      </c>
      <c r="GKX2207" s="582" t="s">
        <v>1224</v>
      </c>
      <c r="GKY2207" s="582" t="s">
        <v>1224</v>
      </c>
      <c r="GKZ2207" s="582" t="s">
        <v>1224</v>
      </c>
      <c r="GLA2207" s="582" t="s">
        <v>1224</v>
      </c>
      <c r="GLB2207" s="582" t="s">
        <v>1224</v>
      </c>
      <c r="GLC2207" s="582" t="s">
        <v>1224</v>
      </c>
      <c r="GLD2207" s="582" t="s">
        <v>1224</v>
      </c>
      <c r="GLE2207" s="582" t="s">
        <v>1224</v>
      </c>
      <c r="GLF2207" s="582" t="s">
        <v>1224</v>
      </c>
      <c r="GLG2207" s="582" t="s">
        <v>1224</v>
      </c>
      <c r="GLH2207" s="582" t="s">
        <v>1224</v>
      </c>
      <c r="GLI2207" s="582" t="s">
        <v>1224</v>
      </c>
      <c r="GLJ2207" s="582" t="s">
        <v>1224</v>
      </c>
      <c r="GLK2207" s="582" t="s">
        <v>1224</v>
      </c>
      <c r="GLL2207" s="582" t="s">
        <v>1224</v>
      </c>
      <c r="GLM2207" s="582" t="s">
        <v>1224</v>
      </c>
      <c r="GLN2207" s="582" t="s">
        <v>1224</v>
      </c>
      <c r="GLO2207" s="582" t="s">
        <v>1224</v>
      </c>
      <c r="GLP2207" s="582" t="s">
        <v>1224</v>
      </c>
      <c r="GLQ2207" s="582" t="s">
        <v>1224</v>
      </c>
      <c r="GLR2207" s="582" t="s">
        <v>1224</v>
      </c>
      <c r="GLS2207" s="582" t="s">
        <v>1224</v>
      </c>
      <c r="GLT2207" s="582" t="s">
        <v>1224</v>
      </c>
      <c r="GLU2207" s="582" t="s">
        <v>1224</v>
      </c>
      <c r="GLV2207" s="582" t="s">
        <v>1224</v>
      </c>
      <c r="GLW2207" s="582" t="s">
        <v>1224</v>
      </c>
      <c r="GLX2207" s="582" t="s">
        <v>1224</v>
      </c>
      <c r="GLY2207" s="582" t="s">
        <v>1224</v>
      </c>
      <c r="GLZ2207" s="582" t="s">
        <v>1224</v>
      </c>
      <c r="GMA2207" s="582" t="s">
        <v>1224</v>
      </c>
      <c r="GMB2207" s="582" t="s">
        <v>1224</v>
      </c>
      <c r="GMC2207" s="582" t="s">
        <v>1224</v>
      </c>
      <c r="GMD2207" s="582" t="s">
        <v>1224</v>
      </c>
      <c r="GME2207" s="582" t="s">
        <v>1224</v>
      </c>
      <c r="GMF2207" s="582" t="s">
        <v>1224</v>
      </c>
      <c r="GMG2207" s="582" t="s">
        <v>1224</v>
      </c>
      <c r="GMH2207" s="582" t="s">
        <v>1224</v>
      </c>
      <c r="GMI2207" s="582" t="s">
        <v>1224</v>
      </c>
      <c r="GMJ2207" s="582" t="s">
        <v>1224</v>
      </c>
      <c r="GMK2207" s="582" t="s">
        <v>1224</v>
      </c>
      <c r="GML2207" s="582" t="s">
        <v>1224</v>
      </c>
      <c r="GMM2207" s="582" t="s">
        <v>1224</v>
      </c>
      <c r="GMN2207" s="582" t="s">
        <v>1224</v>
      </c>
      <c r="GMO2207" s="582" t="s">
        <v>1224</v>
      </c>
      <c r="GMP2207" s="582" t="s">
        <v>1224</v>
      </c>
      <c r="GMQ2207" s="582" t="s">
        <v>1224</v>
      </c>
      <c r="GMR2207" s="582" t="s">
        <v>1224</v>
      </c>
      <c r="GMS2207" s="582" t="s">
        <v>1224</v>
      </c>
      <c r="GMT2207" s="582" t="s">
        <v>1224</v>
      </c>
      <c r="GMU2207" s="582" t="s">
        <v>1224</v>
      </c>
      <c r="GMV2207" s="582" t="s">
        <v>1224</v>
      </c>
      <c r="GMW2207" s="582" t="s">
        <v>1224</v>
      </c>
      <c r="GMX2207" s="582" t="s">
        <v>1224</v>
      </c>
      <c r="GMY2207" s="582" t="s">
        <v>1224</v>
      </c>
      <c r="GMZ2207" s="582" t="s">
        <v>1224</v>
      </c>
      <c r="GNA2207" s="582" t="s">
        <v>1224</v>
      </c>
      <c r="GNB2207" s="582" t="s">
        <v>1224</v>
      </c>
      <c r="GNC2207" s="582" t="s">
        <v>1224</v>
      </c>
      <c r="GND2207" s="582" t="s">
        <v>1224</v>
      </c>
      <c r="GNE2207" s="582" t="s">
        <v>1224</v>
      </c>
      <c r="GNF2207" s="582" t="s">
        <v>1224</v>
      </c>
      <c r="GNG2207" s="582" t="s">
        <v>1224</v>
      </c>
      <c r="GNH2207" s="582" t="s">
        <v>1224</v>
      </c>
      <c r="GNI2207" s="582" t="s">
        <v>1224</v>
      </c>
      <c r="GNJ2207" s="582" t="s">
        <v>1224</v>
      </c>
      <c r="GNK2207" s="582" t="s">
        <v>1224</v>
      </c>
      <c r="GNL2207" s="582" t="s">
        <v>1224</v>
      </c>
      <c r="GNM2207" s="582" t="s">
        <v>1224</v>
      </c>
      <c r="GNN2207" s="582" t="s">
        <v>1224</v>
      </c>
      <c r="GNO2207" s="582" t="s">
        <v>1224</v>
      </c>
      <c r="GNP2207" s="582" t="s">
        <v>1224</v>
      </c>
      <c r="GNQ2207" s="582" t="s">
        <v>1224</v>
      </c>
      <c r="GNR2207" s="582" t="s">
        <v>1224</v>
      </c>
      <c r="GNS2207" s="582" t="s">
        <v>1224</v>
      </c>
      <c r="GNT2207" s="582" t="s">
        <v>1224</v>
      </c>
      <c r="GNU2207" s="582" t="s">
        <v>1224</v>
      </c>
      <c r="GNV2207" s="582" t="s">
        <v>1224</v>
      </c>
      <c r="GNW2207" s="582" t="s">
        <v>1224</v>
      </c>
      <c r="GNX2207" s="582" t="s">
        <v>1224</v>
      </c>
      <c r="GNY2207" s="582" t="s">
        <v>1224</v>
      </c>
      <c r="GNZ2207" s="582" t="s">
        <v>1224</v>
      </c>
      <c r="GOA2207" s="582" t="s">
        <v>1224</v>
      </c>
      <c r="GOB2207" s="582" t="s">
        <v>1224</v>
      </c>
      <c r="GOC2207" s="582" t="s">
        <v>1224</v>
      </c>
      <c r="GOD2207" s="582" t="s">
        <v>1224</v>
      </c>
      <c r="GOE2207" s="582" t="s">
        <v>1224</v>
      </c>
      <c r="GOF2207" s="582" t="s">
        <v>1224</v>
      </c>
      <c r="GOG2207" s="582" t="s">
        <v>1224</v>
      </c>
      <c r="GOH2207" s="582" t="s">
        <v>1224</v>
      </c>
      <c r="GOI2207" s="582" t="s">
        <v>1224</v>
      </c>
      <c r="GOJ2207" s="582" t="s">
        <v>1224</v>
      </c>
      <c r="GOK2207" s="582" t="s">
        <v>1224</v>
      </c>
      <c r="GOL2207" s="582" t="s">
        <v>1224</v>
      </c>
      <c r="GOM2207" s="582" t="s">
        <v>1224</v>
      </c>
      <c r="GON2207" s="582" t="s">
        <v>1224</v>
      </c>
      <c r="GOO2207" s="582" t="s">
        <v>1224</v>
      </c>
      <c r="GOP2207" s="582" t="s">
        <v>1224</v>
      </c>
      <c r="GOQ2207" s="582" t="s">
        <v>1224</v>
      </c>
      <c r="GOR2207" s="582" t="s">
        <v>1224</v>
      </c>
      <c r="GOS2207" s="582" t="s">
        <v>1224</v>
      </c>
      <c r="GOT2207" s="582" t="s">
        <v>1224</v>
      </c>
      <c r="GOU2207" s="582" t="s">
        <v>1224</v>
      </c>
      <c r="GOV2207" s="582" t="s">
        <v>1224</v>
      </c>
      <c r="GOW2207" s="582" t="s">
        <v>1224</v>
      </c>
      <c r="GOX2207" s="582" t="s">
        <v>1224</v>
      </c>
      <c r="GOY2207" s="582" t="s">
        <v>1224</v>
      </c>
      <c r="GOZ2207" s="582" t="s">
        <v>1224</v>
      </c>
      <c r="GPA2207" s="582" t="s">
        <v>1224</v>
      </c>
      <c r="GPB2207" s="582" t="s">
        <v>1224</v>
      </c>
      <c r="GPC2207" s="582" t="s">
        <v>1224</v>
      </c>
      <c r="GPD2207" s="582" t="s">
        <v>1224</v>
      </c>
      <c r="GPE2207" s="582" t="s">
        <v>1224</v>
      </c>
      <c r="GPF2207" s="582" t="s">
        <v>1224</v>
      </c>
      <c r="GPG2207" s="582" t="s">
        <v>1224</v>
      </c>
      <c r="GPH2207" s="582" t="s">
        <v>1224</v>
      </c>
      <c r="GPI2207" s="582" t="s">
        <v>1224</v>
      </c>
      <c r="GPJ2207" s="582" t="s">
        <v>1224</v>
      </c>
      <c r="GPK2207" s="582" t="s">
        <v>1224</v>
      </c>
      <c r="GPL2207" s="582" t="s">
        <v>1224</v>
      </c>
      <c r="GPM2207" s="582" t="s">
        <v>1224</v>
      </c>
      <c r="GPN2207" s="582" t="s">
        <v>1224</v>
      </c>
      <c r="GPO2207" s="582" t="s">
        <v>1224</v>
      </c>
      <c r="GPP2207" s="582" t="s">
        <v>1224</v>
      </c>
      <c r="GPQ2207" s="582" t="s">
        <v>1224</v>
      </c>
      <c r="GPR2207" s="582" t="s">
        <v>1224</v>
      </c>
      <c r="GPS2207" s="582" t="s">
        <v>1224</v>
      </c>
      <c r="GPT2207" s="582" t="s">
        <v>1224</v>
      </c>
      <c r="GPU2207" s="582" t="s">
        <v>1224</v>
      </c>
      <c r="GPV2207" s="582" t="s">
        <v>1224</v>
      </c>
      <c r="GPW2207" s="582" t="s">
        <v>1224</v>
      </c>
      <c r="GPX2207" s="582" t="s">
        <v>1224</v>
      </c>
      <c r="GPY2207" s="582" t="s">
        <v>1224</v>
      </c>
      <c r="GPZ2207" s="582" t="s">
        <v>1224</v>
      </c>
      <c r="GQA2207" s="582" t="s">
        <v>1224</v>
      </c>
      <c r="GQB2207" s="582" t="s">
        <v>1224</v>
      </c>
      <c r="GQC2207" s="582" t="s">
        <v>1224</v>
      </c>
      <c r="GQD2207" s="582" t="s">
        <v>1224</v>
      </c>
      <c r="GQE2207" s="582" t="s">
        <v>1224</v>
      </c>
      <c r="GQF2207" s="582" t="s">
        <v>1224</v>
      </c>
      <c r="GQG2207" s="582" t="s">
        <v>1224</v>
      </c>
      <c r="GQH2207" s="582" t="s">
        <v>1224</v>
      </c>
      <c r="GQI2207" s="582" t="s">
        <v>1224</v>
      </c>
      <c r="GQJ2207" s="582" t="s">
        <v>1224</v>
      </c>
      <c r="GQK2207" s="582" t="s">
        <v>1224</v>
      </c>
      <c r="GQL2207" s="582" t="s">
        <v>1224</v>
      </c>
      <c r="GQM2207" s="582" t="s">
        <v>1224</v>
      </c>
      <c r="GQN2207" s="582" t="s">
        <v>1224</v>
      </c>
      <c r="GQO2207" s="582" t="s">
        <v>1224</v>
      </c>
      <c r="GQP2207" s="582" t="s">
        <v>1224</v>
      </c>
      <c r="GQQ2207" s="582" t="s">
        <v>1224</v>
      </c>
      <c r="GQR2207" s="582" t="s">
        <v>1224</v>
      </c>
      <c r="GQS2207" s="582" t="s">
        <v>1224</v>
      </c>
      <c r="GQT2207" s="582" t="s">
        <v>1224</v>
      </c>
      <c r="GQU2207" s="582" t="s">
        <v>1224</v>
      </c>
      <c r="GQV2207" s="582" t="s">
        <v>1224</v>
      </c>
      <c r="GQW2207" s="582" t="s">
        <v>1224</v>
      </c>
      <c r="GQX2207" s="582" t="s">
        <v>1224</v>
      </c>
      <c r="GQY2207" s="582" t="s">
        <v>1224</v>
      </c>
      <c r="GQZ2207" s="582" t="s">
        <v>1224</v>
      </c>
      <c r="GRA2207" s="582" t="s">
        <v>1224</v>
      </c>
      <c r="GRB2207" s="582" t="s">
        <v>1224</v>
      </c>
      <c r="GRC2207" s="582" t="s">
        <v>1224</v>
      </c>
      <c r="GRD2207" s="582" t="s">
        <v>1224</v>
      </c>
      <c r="GRE2207" s="582" t="s">
        <v>1224</v>
      </c>
      <c r="GRF2207" s="582" t="s">
        <v>1224</v>
      </c>
      <c r="GRG2207" s="582" t="s">
        <v>1224</v>
      </c>
      <c r="GRH2207" s="582" t="s">
        <v>1224</v>
      </c>
      <c r="GRI2207" s="582" t="s">
        <v>1224</v>
      </c>
      <c r="GRJ2207" s="582" t="s">
        <v>1224</v>
      </c>
      <c r="GRK2207" s="582" t="s">
        <v>1224</v>
      </c>
      <c r="GRL2207" s="582" t="s">
        <v>1224</v>
      </c>
      <c r="GRM2207" s="582" t="s">
        <v>1224</v>
      </c>
      <c r="GRN2207" s="582" t="s">
        <v>1224</v>
      </c>
      <c r="GRO2207" s="582" t="s">
        <v>1224</v>
      </c>
      <c r="GRP2207" s="582" t="s">
        <v>1224</v>
      </c>
      <c r="GRQ2207" s="582" t="s">
        <v>1224</v>
      </c>
      <c r="GRR2207" s="582" t="s">
        <v>1224</v>
      </c>
      <c r="GRS2207" s="582" t="s">
        <v>1224</v>
      </c>
      <c r="GRT2207" s="582" t="s">
        <v>1224</v>
      </c>
      <c r="GRU2207" s="582" t="s">
        <v>1224</v>
      </c>
      <c r="GRV2207" s="582" t="s">
        <v>1224</v>
      </c>
      <c r="GRW2207" s="582" t="s">
        <v>1224</v>
      </c>
      <c r="GRX2207" s="582" t="s">
        <v>1224</v>
      </c>
      <c r="GRY2207" s="582" t="s">
        <v>1224</v>
      </c>
      <c r="GRZ2207" s="582" t="s">
        <v>1224</v>
      </c>
      <c r="GSA2207" s="582" t="s">
        <v>1224</v>
      </c>
      <c r="GSB2207" s="582" t="s">
        <v>1224</v>
      </c>
      <c r="GSC2207" s="582" t="s">
        <v>1224</v>
      </c>
      <c r="GSD2207" s="582" t="s">
        <v>1224</v>
      </c>
      <c r="GSE2207" s="582" t="s">
        <v>1224</v>
      </c>
      <c r="GSF2207" s="582" t="s">
        <v>1224</v>
      </c>
      <c r="GSG2207" s="582" t="s">
        <v>1224</v>
      </c>
      <c r="GSH2207" s="582" t="s">
        <v>1224</v>
      </c>
      <c r="GSI2207" s="582" t="s">
        <v>1224</v>
      </c>
      <c r="GSJ2207" s="582" t="s">
        <v>1224</v>
      </c>
      <c r="GSK2207" s="582" t="s">
        <v>1224</v>
      </c>
      <c r="GSL2207" s="582" t="s">
        <v>1224</v>
      </c>
      <c r="GSM2207" s="582" t="s">
        <v>1224</v>
      </c>
      <c r="GSN2207" s="582" t="s">
        <v>1224</v>
      </c>
      <c r="GSO2207" s="582" t="s">
        <v>1224</v>
      </c>
      <c r="GSP2207" s="582" t="s">
        <v>1224</v>
      </c>
      <c r="GSQ2207" s="582" t="s">
        <v>1224</v>
      </c>
      <c r="GSR2207" s="582" t="s">
        <v>1224</v>
      </c>
      <c r="GSS2207" s="582" t="s">
        <v>1224</v>
      </c>
      <c r="GST2207" s="582" t="s">
        <v>1224</v>
      </c>
      <c r="GSU2207" s="582" t="s">
        <v>1224</v>
      </c>
      <c r="GSV2207" s="582" t="s">
        <v>1224</v>
      </c>
      <c r="GSW2207" s="582" t="s">
        <v>1224</v>
      </c>
      <c r="GSX2207" s="582" t="s">
        <v>1224</v>
      </c>
      <c r="GSY2207" s="582" t="s">
        <v>1224</v>
      </c>
      <c r="GSZ2207" s="582" t="s">
        <v>1224</v>
      </c>
      <c r="GTA2207" s="582" t="s">
        <v>1224</v>
      </c>
      <c r="GTB2207" s="582" t="s">
        <v>1224</v>
      </c>
      <c r="GTC2207" s="582" t="s">
        <v>1224</v>
      </c>
      <c r="GTD2207" s="582" t="s">
        <v>1224</v>
      </c>
      <c r="GTE2207" s="582" t="s">
        <v>1224</v>
      </c>
      <c r="GTF2207" s="582" t="s">
        <v>1224</v>
      </c>
      <c r="GTG2207" s="582" t="s">
        <v>1224</v>
      </c>
      <c r="GTH2207" s="582" t="s">
        <v>1224</v>
      </c>
      <c r="GTI2207" s="582" t="s">
        <v>1224</v>
      </c>
      <c r="GTJ2207" s="582" t="s">
        <v>1224</v>
      </c>
      <c r="GTK2207" s="582" t="s">
        <v>1224</v>
      </c>
      <c r="GTL2207" s="582" t="s">
        <v>1224</v>
      </c>
      <c r="GTM2207" s="582" t="s">
        <v>1224</v>
      </c>
      <c r="GTN2207" s="582" t="s">
        <v>1224</v>
      </c>
      <c r="GTO2207" s="582" t="s">
        <v>1224</v>
      </c>
      <c r="GTP2207" s="582" t="s">
        <v>1224</v>
      </c>
      <c r="GTQ2207" s="582" t="s">
        <v>1224</v>
      </c>
      <c r="GTR2207" s="582" t="s">
        <v>1224</v>
      </c>
      <c r="GTS2207" s="582" t="s">
        <v>1224</v>
      </c>
      <c r="GTT2207" s="582" t="s">
        <v>1224</v>
      </c>
      <c r="GTU2207" s="582" t="s">
        <v>1224</v>
      </c>
      <c r="GTV2207" s="582" t="s">
        <v>1224</v>
      </c>
      <c r="GTW2207" s="582" t="s">
        <v>1224</v>
      </c>
      <c r="GTX2207" s="582" t="s">
        <v>1224</v>
      </c>
      <c r="GTY2207" s="582" t="s">
        <v>1224</v>
      </c>
      <c r="GTZ2207" s="582" t="s">
        <v>1224</v>
      </c>
      <c r="GUA2207" s="582" t="s">
        <v>1224</v>
      </c>
      <c r="GUB2207" s="582" t="s">
        <v>1224</v>
      </c>
      <c r="GUC2207" s="582" t="s">
        <v>1224</v>
      </c>
      <c r="GUD2207" s="582" t="s">
        <v>1224</v>
      </c>
      <c r="GUE2207" s="582" t="s">
        <v>1224</v>
      </c>
      <c r="GUF2207" s="582" t="s">
        <v>1224</v>
      </c>
      <c r="GUG2207" s="582" t="s">
        <v>1224</v>
      </c>
      <c r="GUH2207" s="582" t="s">
        <v>1224</v>
      </c>
      <c r="GUI2207" s="582" t="s">
        <v>1224</v>
      </c>
      <c r="GUJ2207" s="582" t="s">
        <v>1224</v>
      </c>
      <c r="GUK2207" s="582" t="s">
        <v>1224</v>
      </c>
      <c r="GUL2207" s="582" t="s">
        <v>1224</v>
      </c>
      <c r="GUM2207" s="582" t="s">
        <v>1224</v>
      </c>
      <c r="GUN2207" s="582" t="s">
        <v>1224</v>
      </c>
      <c r="GUO2207" s="582" t="s">
        <v>1224</v>
      </c>
      <c r="GUP2207" s="582" t="s">
        <v>1224</v>
      </c>
      <c r="GUQ2207" s="582" t="s">
        <v>1224</v>
      </c>
      <c r="GUR2207" s="582" t="s">
        <v>1224</v>
      </c>
      <c r="GUS2207" s="582" t="s">
        <v>1224</v>
      </c>
      <c r="GUT2207" s="582" t="s">
        <v>1224</v>
      </c>
      <c r="GUU2207" s="582" t="s">
        <v>1224</v>
      </c>
      <c r="GUV2207" s="582" t="s">
        <v>1224</v>
      </c>
      <c r="GUW2207" s="582" t="s">
        <v>1224</v>
      </c>
      <c r="GUX2207" s="582" t="s">
        <v>1224</v>
      </c>
      <c r="GUY2207" s="582" t="s">
        <v>1224</v>
      </c>
      <c r="GUZ2207" s="582" t="s">
        <v>1224</v>
      </c>
      <c r="GVA2207" s="582" t="s">
        <v>1224</v>
      </c>
      <c r="GVB2207" s="582" t="s">
        <v>1224</v>
      </c>
      <c r="GVC2207" s="582" t="s">
        <v>1224</v>
      </c>
      <c r="GVD2207" s="582" t="s">
        <v>1224</v>
      </c>
      <c r="GVE2207" s="582" t="s">
        <v>1224</v>
      </c>
      <c r="GVF2207" s="582" t="s">
        <v>1224</v>
      </c>
      <c r="GVG2207" s="582" t="s">
        <v>1224</v>
      </c>
      <c r="GVH2207" s="582" t="s">
        <v>1224</v>
      </c>
      <c r="GVI2207" s="582" t="s">
        <v>1224</v>
      </c>
      <c r="GVJ2207" s="582" t="s">
        <v>1224</v>
      </c>
      <c r="GVK2207" s="582" t="s">
        <v>1224</v>
      </c>
      <c r="GVL2207" s="582" t="s">
        <v>1224</v>
      </c>
      <c r="GVM2207" s="582" t="s">
        <v>1224</v>
      </c>
      <c r="GVN2207" s="582" t="s">
        <v>1224</v>
      </c>
      <c r="GVO2207" s="582" t="s">
        <v>1224</v>
      </c>
      <c r="GVP2207" s="582" t="s">
        <v>1224</v>
      </c>
      <c r="GVQ2207" s="582" t="s">
        <v>1224</v>
      </c>
      <c r="GVR2207" s="582" t="s">
        <v>1224</v>
      </c>
      <c r="GVS2207" s="582" t="s">
        <v>1224</v>
      </c>
      <c r="GVT2207" s="582" t="s">
        <v>1224</v>
      </c>
      <c r="GVU2207" s="582" t="s">
        <v>1224</v>
      </c>
      <c r="GVV2207" s="582" t="s">
        <v>1224</v>
      </c>
      <c r="GVW2207" s="582" t="s">
        <v>1224</v>
      </c>
      <c r="GVX2207" s="582" t="s">
        <v>1224</v>
      </c>
      <c r="GVY2207" s="582" t="s">
        <v>1224</v>
      </c>
      <c r="GVZ2207" s="582" t="s">
        <v>1224</v>
      </c>
      <c r="GWA2207" s="582" t="s">
        <v>1224</v>
      </c>
      <c r="GWB2207" s="582" t="s">
        <v>1224</v>
      </c>
      <c r="GWC2207" s="582" t="s">
        <v>1224</v>
      </c>
      <c r="GWD2207" s="582" t="s">
        <v>1224</v>
      </c>
      <c r="GWE2207" s="582" t="s">
        <v>1224</v>
      </c>
      <c r="GWF2207" s="582" t="s">
        <v>1224</v>
      </c>
      <c r="GWG2207" s="582" t="s">
        <v>1224</v>
      </c>
      <c r="GWH2207" s="582" t="s">
        <v>1224</v>
      </c>
      <c r="GWI2207" s="582" t="s">
        <v>1224</v>
      </c>
      <c r="GWJ2207" s="582" t="s">
        <v>1224</v>
      </c>
      <c r="GWK2207" s="582" t="s">
        <v>1224</v>
      </c>
      <c r="GWL2207" s="582" t="s">
        <v>1224</v>
      </c>
      <c r="GWM2207" s="582" t="s">
        <v>1224</v>
      </c>
      <c r="GWN2207" s="582" t="s">
        <v>1224</v>
      </c>
      <c r="GWO2207" s="582" t="s">
        <v>1224</v>
      </c>
      <c r="GWP2207" s="582" t="s">
        <v>1224</v>
      </c>
      <c r="GWQ2207" s="582" t="s">
        <v>1224</v>
      </c>
      <c r="GWR2207" s="582" t="s">
        <v>1224</v>
      </c>
      <c r="GWS2207" s="582" t="s">
        <v>1224</v>
      </c>
      <c r="GWT2207" s="582" t="s">
        <v>1224</v>
      </c>
      <c r="GWU2207" s="582" t="s">
        <v>1224</v>
      </c>
      <c r="GWV2207" s="582" t="s">
        <v>1224</v>
      </c>
      <c r="GWW2207" s="582" t="s">
        <v>1224</v>
      </c>
      <c r="GWX2207" s="582" t="s">
        <v>1224</v>
      </c>
      <c r="GWY2207" s="582" t="s">
        <v>1224</v>
      </c>
      <c r="GWZ2207" s="582" t="s">
        <v>1224</v>
      </c>
      <c r="GXA2207" s="582" t="s">
        <v>1224</v>
      </c>
      <c r="GXB2207" s="582" t="s">
        <v>1224</v>
      </c>
      <c r="GXC2207" s="582" t="s">
        <v>1224</v>
      </c>
      <c r="GXD2207" s="582" t="s">
        <v>1224</v>
      </c>
      <c r="GXE2207" s="582" t="s">
        <v>1224</v>
      </c>
      <c r="GXF2207" s="582" t="s">
        <v>1224</v>
      </c>
      <c r="GXG2207" s="582" t="s">
        <v>1224</v>
      </c>
      <c r="GXH2207" s="582" t="s">
        <v>1224</v>
      </c>
      <c r="GXI2207" s="582" t="s">
        <v>1224</v>
      </c>
      <c r="GXJ2207" s="582" t="s">
        <v>1224</v>
      </c>
      <c r="GXK2207" s="582" t="s">
        <v>1224</v>
      </c>
      <c r="GXL2207" s="582" t="s">
        <v>1224</v>
      </c>
      <c r="GXM2207" s="582" t="s">
        <v>1224</v>
      </c>
      <c r="GXN2207" s="582" t="s">
        <v>1224</v>
      </c>
      <c r="GXO2207" s="582" t="s">
        <v>1224</v>
      </c>
      <c r="GXP2207" s="582" t="s">
        <v>1224</v>
      </c>
      <c r="GXQ2207" s="582" t="s">
        <v>1224</v>
      </c>
      <c r="GXR2207" s="582" t="s">
        <v>1224</v>
      </c>
      <c r="GXS2207" s="582" t="s">
        <v>1224</v>
      </c>
      <c r="GXT2207" s="582" t="s">
        <v>1224</v>
      </c>
      <c r="GXU2207" s="582" t="s">
        <v>1224</v>
      </c>
      <c r="GXV2207" s="582" t="s">
        <v>1224</v>
      </c>
      <c r="GXW2207" s="582" t="s">
        <v>1224</v>
      </c>
      <c r="GXX2207" s="582" t="s">
        <v>1224</v>
      </c>
      <c r="GXY2207" s="582" t="s">
        <v>1224</v>
      </c>
      <c r="GXZ2207" s="582" t="s">
        <v>1224</v>
      </c>
      <c r="GYA2207" s="582" t="s">
        <v>1224</v>
      </c>
      <c r="GYB2207" s="582" t="s">
        <v>1224</v>
      </c>
      <c r="GYC2207" s="582" t="s">
        <v>1224</v>
      </c>
      <c r="GYD2207" s="582" t="s">
        <v>1224</v>
      </c>
      <c r="GYE2207" s="582" t="s">
        <v>1224</v>
      </c>
      <c r="GYF2207" s="582" t="s">
        <v>1224</v>
      </c>
      <c r="GYG2207" s="582" t="s">
        <v>1224</v>
      </c>
      <c r="GYH2207" s="582" t="s">
        <v>1224</v>
      </c>
      <c r="GYI2207" s="582" t="s">
        <v>1224</v>
      </c>
      <c r="GYJ2207" s="582" t="s">
        <v>1224</v>
      </c>
      <c r="GYK2207" s="582" t="s">
        <v>1224</v>
      </c>
      <c r="GYL2207" s="582" t="s">
        <v>1224</v>
      </c>
      <c r="GYM2207" s="582" t="s">
        <v>1224</v>
      </c>
      <c r="GYN2207" s="582" t="s">
        <v>1224</v>
      </c>
      <c r="GYO2207" s="582" t="s">
        <v>1224</v>
      </c>
      <c r="GYP2207" s="582" t="s">
        <v>1224</v>
      </c>
      <c r="GYQ2207" s="582" t="s">
        <v>1224</v>
      </c>
      <c r="GYR2207" s="582" t="s">
        <v>1224</v>
      </c>
      <c r="GYS2207" s="582" t="s">
        <v>1224</v>
      </c>
      <c r="GYT2207" s="582" t="s">
        <v>1224</v>
      </c>
      <c r="GYU2207" s="582" t="s">
        <v>1224</v>
      </c>
      <c r="GYV2207" s="582" t="s">
        <v>1224</v>
      </c>
      <c r="GYW2207" s="582" t="s">
        <v>1224</v>
      </c>
      <c r="GYX2207" s="582" t="s">
        <v>1224</v>
      </c>
      <c r="GYY2207" s="582" t="s">
        <v>1224</v>
      </c>
      <c r="GYZ2207" s="582" t="s">
        <v>1224</v>
      </c>
      <c r="GZA2207" s="582" t="s">
        <v>1224</v>
      </c>
      <c r="GZB2207" s="582" t="s">
        <v>1224</v>
      </c>
      <c r="GZC2207" s="582" t="s">
        <v>1224</v>
      </c>
      <c r="GZD2207" s="582" t="s">
        <v>1224</v>
      </c>
      <c r="GZE2207" s="582" t="s">
        <v>1224</v>
      </c>
      <c r="GZF2207" s="582" t="s">
        <v>1224</v>
      </c>
      <c r="GZG2207" s="582" t="s">
        <v>1224</v>
      </c>
      <c r="GZH2207" s="582" t="s">
        <v>1224</v>
      </c>
      <c r="GZI2207" s="582" t="s">
        <v>1224</v>
      </c>
      <c r="GZJ2207" s="582" t="s">
        <v>1224</v>
      </c>
      <c r="GZK2207" s="582" t="s">
        <v>1224</v>
      </c>
      <c r="GZL2207" s="582" t="s">
        <v>1224</v>
      </c>
      <c r="GZM2207" s="582" t="s">
        <v>1224</v>
      </c>
      <c r="GZN2207" s="582" t="s">
        <v>1224</v>
      </c>
      <c r="GZO2207" s="582" t="s">
        <v>1224</v>
      </c>
      <c r="GZP2207" s="582" t="s">
        <v>1224</v>
      </c>
      <c r="GZQ2207" s="582" t="s">
        <v>1224</v>
      </c>
      <c r="GZR2207" s="582" t="s">
        <v>1224</v>
      </c>
      <c r="GZS2207" s="582" t="s">
        <v>1224</v>
      </c>
      <c r="GZT2207" s="582" t="s">
        <v>1224</v>
      </c>
      <c r="GZU2207" s="582" t="s">
        <v>1224</v>
      </c>
      <c r="GZV2207" s="582" t="s">
        <v>1224</v>
      </c>
      <c r="GZW2207" s="582" t="s">
        <v>1224</v>
      </c>
      <c r="GZX2207" s="582" t="s">
        <v>1224</v>
      </c>
      <c r="GZY2207" s="582" t="s">
        <v>1224</v>
      </c>
      <c r="GZZ2207" s="582" t="s">
        <v>1224</v>
      </c>
      <c r="HAA2207" s="582" t="s">
        <v>1224</v>
      </c>
      <c r="HAB2207" s="582" t="s">
        <v>1224</v>
      </c>
      <c r="HAC2207" s="582" t="s">
        <v>1224</v>
      </c>
      <c r="HAD2207" s="582" t="s">
        <v>1224</v>
      </c>
      <c r="HAE2207" s="582" t="s">
        <v>1224</v>
      </c>
      <c r="HAF2207" s="582" t="s">
        <v>1224</v>
      </c>
      <c r="HAG2207" s="582" t="s">
        <v>1224</v>
      </c>
      <c r="HAH2207" s="582" t="s">
        <v>1224</v>
      </c>
      <c r="HAI2207" s="582" t="s">
        <v>1224</v>
      </c>
      <c r="HAJ2207" s="582" t="s">
        <v>1224</v>
      </c>
      <c r="HAK2207" s="582" t="s">
        <v>1224</v>
      </c>
      <c r="HAL2207" s="582" t="s">
        <v>1224</v>
      </c>
      <c r="HAM2207" s="582" t="s">
        <v>1224</v>
      </c>
      <c r="HAN2207" s="582" t="s">
        <v>1224</v>
      </c>
      <c r="HAO2207" s="582" t="s">
        <v>1224</v>
      </c>
      <c r="HAP2207" s="582" t="s">
        <v>1224</v>
      </c>
      <c r="HAQ2207" s="582" t="s">
        <v>1224</v>
      </c>
      <c r="HAR2207" s="582" t="s">
        <v>1224</v>
      </c>
      <c r="HAS2207" s="582" t="s">
        <v>1224</v>
      </c>
      <c r="HAT2207" s="582" t="s">
        <v>1224</v>
      </c>
      <c r="HAU2207" s="582" t="s">
        <v>1224</v>
      </c>
      <c r="HAV2207" s="582" t="s">
        <v>1224</v>
      </c>
      <c r="HAW2207" s="582" t="s">
        <v>1224</v>
      </c>
      <c r="HAX2207" s="582" t="s">
        <v>1224</v>
      </c>
      <c r="HAY2207" s="582" t="s">
        <v>1224</v>
      </c>
      <c r="HAZ2207" s="582" t="s">
        <v>1224</v>
      </c>
      <c r="HBA2207" s="582" t="s">
        <v>1224</v>
      </c>
      <c r="HBB2207" s="582" t="s">
        <v>1224</v>
      </c>
      <c r="HBC2207" s="582" t="s">
        <v>1224</v>
      </c>
      <c r="HBD2207" s="582" t="s">
        <v>1224</v>
      </c>
      <c r="HBE2207" s="582" t="s">
        <v>1224</v>
      </c>
      <c r="HBF2207" s="582" t="s">
        <v>1224</v>
      </c>
      <c r="HBG2207" s="582" t="s">
        <v>1224</v>
      </c>
      <c r="HBH2207" s="582" t="s">
        <v>1224</v>
      </c>
      <c r="HBI2207" s="582" t="s">
        <v>1224</v>
      </c>
      <c r="HBJ2207" s="582" t="s">
        <v>1224</v>
      </c>
      <c r="HBK2207" s="582" t="s">
        <v>1224</v>
      </c>
      <c r="HBL2207" s="582" t="s">
        <v>1224</v>
      </c>
      <c r="HBM2207" s="582" t="s">
        <v>1224</v>
      </c>
      <c r="HBN2207" s="582" t="s">
        <v>1224</v>
      </c>
      <c r="HBO2207" s="582" t="s">
        <v>1224</v>
      </c>
      <c r="HBP2207" s="582" t="s">
        <v>1224</v>
      </c>
      <c r="HBQ2207" s="582" t="s">
        <v>1224</v>
      </c>
      <c r="HBR2207" s="582" t="s">
        <v>1224</v>
      </c>
      <c r="HBS2207" s="582" t="s">
        <v>1224</v>
      </c>
      <c r="HBT2207" s="582" t="s">
        <v>1224</v>
      </c>
      <c r="HBU2207" s="582" t="s">
        <v>1224</v>
      </c>
      <c r="HBV2207" s="582" t="s">
        <v>1224</v>
      </c>
      <c r="HBW2207" s="582" t="s">
        <v>1224</v>
      </c>
      <c r="HBX2207" s="582" t="s">
        <v>1224</v>
      </c>
      <c r="HBY2207" s="582" t="s">
        <v>1224</v>
      </c>
      <c r="HBZ2207" s="582" t="s">
        <v>1224</v>
      </c>
      <c r="HCA2207" s="582" t="s">
        <v>1224</v>
      </c>
      <c r="HCB2207" s="582" t="s">
        <v>1224</v>
      </c>
      <c r="HCC2207" s="582" t="s">
        <v>1224</v>
      </c>
      <c r="HCD2207" s="582" t="s">
        <v>1224</v>
      </c>
      <c r="HCE2207" s="582" t="s">
        <v>1224</v>
      </c>
      <c r="HCF2207" s="582" t="s">
        <v>1224</v>
      </c>
      <c r="HCG2207" s="582" t="s">
        <v>1224</v>
      </c>
      <c r="HCH2207" s="582" t="s">
        <v>1224</v>
      </c>
      <c r="HCI2207" s="582" t="s">
        <v>1224</v>
      </c>
      <c r="HCJ2207" s="582" t="s">
        <v>1224</v>
      </c>
      <c r="HCK2207" s="582" t="s">
        <v>1224</v>
      </c>
      <c r="HCL2207" s="582" t="s">
        <v>1224</v>
      </c>
      <c r="HCM2207" s="582" t="s">
        <v>1224</v>
      </c>
      <c r="HCN2207" s="582" t="s">
        <v>1224</v>
      </c>
      <c r="HCO2207" s="582" t="s">
        <v>1224</v>
      </c>
      <c r="HCP2207" s="582" t="s">
        <v>1224</v>
      </c>
      <c r="HCQ2207" s="582" t="s">
        <v>1224</v>
      </c>
      <c r="HCR2207" s="582" t="s">
        <v>1224</v>
      </c>
      <c r="HCS2207" s="582" t="s">
        <v>1224</v>
      </c>
      <c r="HCT2207" s="582" t="s">
        <v>1224</v>
      </c>
      <c r="HCU2207" s="582" t="s">
        <v>1224</v>
      </c>
      <c r="HCV2207" s="582" t="s">
        <v>1224</v>
      </c>
      <c r="HCW2207" s="582" t="s">
        <v>1224</v>
      </c>
      <c r="HCX2207" s="582" t="s">
        <v>1224</v>
      </c>
      <c r="HCY2207" s="582" t="s">
        <v>1224</v>
      </c>
      <c r="HCZ2207" s="582" t="s">
        <v>1224</v>
      </c>
      <c r="HDA2207" s="582" t="s">
        <v>1224</v>
      </c>
      <c r="HDB2207" s="582" t="s">
        <v>1224</v>
      </c>
      <c r="HDC2207" s="582" t="s">
        <v>1224</v>
      </c>
      <c r="HDD2207" s="582" t="s">
        <v>1224</v>
      </c>
      <c r="HDE2207" s="582" t="s">
        <v>1224</v>
      </c>
      <c r="HDF2207" s="582" t="s">
        <v>1224</v>
      </c>
      <c r="HDG2207" s="582" t="s">
        <v>1224</v>
      </c>
      <c r="HDH2207" s="582" t="s">
        <v>1224</v>
      </c>
      <c r="HDI2207" s="582" t="s">
        <v>1224</v>
      </c>
      <c r="HDJ2207" s="582" t="s">
        <v>1224</v>
      </c>
      <c r="HDK2207" s="582" t="s">
        <v>1224</v>
      </c>
      <c r="HDL2207" s="582" t="s">
        <v>1224</v>
      </c>
      <c r="HDM2207" s="582" t="s">
        <v>1224</v>
      </c>
      <c r="HDN2207" s="582" t="s">
        <v>1224</v>
      </c>
      <c r="HDO2207" s="582" t="s">
        <v>1224</v>
      </c>
      <c r="HDP2207" s="582" t="s">
        <v>1224</v>
      </c>
      <c r="HDQ2207" s="582" t="s">
        <v>1224</v>
      </c>
      <c r="HDR2207" s="582" t="s">
        <v>1224</v>
      </c>
      <c r="HDS2207" s="582" t="s">
        <v>1224</v>
      </c>
      <c r="HDT2207" s="582" t="s">
        <v>1224</v>
      </c>
      <c r="HDU2207" s="582" t="s">
        <v>1224</v>
      </c>
      <c r="HDV2207" s="582" t="s">
        <v>1224</v>
      </c>
      <c r="HDW2207" s="582" t="s">
        <v>1224</v>
      </c>
      <c r="HDX2207" s="582" t="s">
        <v>1224</v>
      </c>
      <c r="HDY2207" s="582" t="s">
        <v>1224</v>
      </c>
      <c r="HDZ2207" s="582" t="s">
        <v>1224</v>
      </c>
      <c r="HEA2207" s="582" t="s">
        <v>1224</v>
      </c>
      <c r="HEB2207" s="582" t="s">
        <v>1224</v>
      </c>
      <c r="HEC2207" s="582" t="s">
        <v>1224</v>
      </c>
      <c r="HED2207" s="582" t="s">
        <v>1224</v>
      </c>
      <c r="HEE2207" s="582" t="s">
        <v>1224</v>
      </c>
      <c r="HEF2207" s="582" t="s">
        <v>1224</v>
      </c>
      <c r="HEG2207" s="582" t="s">
        <v>1224</v>
      </c>
      <c r="HEH2207" s="582" t="s">
        <v>1224</v>
      </c>
      <c r="HEI2207" s="582" t="s">
        <v>1224</v>
      </c>
      <c r="HEJ2207" s="582" t="s">
        <v>1224</v>
      </c>
      <c r="HEK2207" s="582" t="s">
        <v>1224</v>
      </c>
      <c r="HEL2207" s="582" t="s">
        <v>1224</v>
      </c>
      <c r="HEM2207" s="582" t="s">
        <v>1224</v>
      </c>
      <c r="HEN2207" s="582" t="s">
        <v>1224</v>
      </c>
      <c r="HEO2207" s="582" t="s">
        <v>1224</v>
      </c>
      <c r="HEP2207" s="582" t="s">
        <v>1224</v>
      </c>
      <c r="HEQ2207" s="582" t="s">
        <v>1224</v>
      </c>
      <c r="HER2207" s="582" t="s">
        <v>1224</v>
      </c>
      <c r="HES2207" s="582" t="s">
        <v>1224</v>
      </c>
      <c r="HET2207" s="582" t="s">
        <v>1224</v>
      </c>
      <c r="HEU2207" s="582" t="s">
        <v>1224</v>
      </c>
      <c r="HEV2207" s="582" t="s">
        <v>1224</v>
      </c>
      <c r="HEW2207" s="582" t="s">
        <v>1224</v>
      </c>
      <c r="HEX2207" s="582" t="s">
        <v>1224</v>
      </c>
      <c r="HEY2207" s="582" t="s">
        <v>1224</v>
      </c>
      <c r="HEZ2207" s="582" t="s">
        <v>1224</v>
      </c>
      <c r="HFA2207" s="582" t="s">
        <v>1224</v>
      </c>
      <c r="HFB2207" s="582" t="s">
        <v>1224</v>
      </c>
      <c r="HFC2207" s="582" t="s">
        <v>1224</v>
      </c>
      <c r="HFD2207" s="582" t="s">
        <v>1224</v>
      </c>
      <c r="HFE2207" s="582" t="s">
        <v>1224</v>
      </c>
      <c r="HFF2207" s="582" t="s">
        <v>1224</v>
      </c>
      <c r="HFG2207" s="582" t="s">
        <v>1224</v>
      </c>
      <c r="HFH2207" s="582" t="s">
        <v>1224</v>
      </c>
      <c r="HFI2207" s="582" t="s">
        <v>1224</v>
      </c>
      <c r="HFJ2207" s="582" t="s">
        <v>1224</v>
      </c>
      <c r="HFK2207" s="582" t="s">
        <v>1224</v>
      </c>
      <c r="HFL2207" s="582" t="s">
        <v>1224</v>
      </c>
      <c r="HFM2207" s="582" t="s">
        <v>1224</v>
      </c>
      <c r="HFN2207" s="582" t="s">
        <v>1224</v>
      </c>
      <c r="HFO2207" s="582" t="s">
        <v>1224</v>
      </c>
      <c r="HFP2207" s="582" t="s">
        <v>1224</v>
      </c>
      <c r="HFQ2207" s="582" t="s">
        <v>1224</v>
      </c>
      <c r="HFR2207" s="582" t="s">
        <v>1224</v>
      </c>
      <c r="HFS2207" s="582" t="s">
        <v>1224</v>
      </c>
      <c r="HFT2207" s="582" t="s">
        <v>1224</v>
      </c>
      <c r="HFU2207" s="582" t="s">
        <v>1224</v>
      </c>
      <c r="HFV2207" s="582" t="s">
        <v>1224</v>
      </c>
      <c r="HFW2207" s="582" t="s">
        <v>1224</v>
      </c>
      <c r="HFX2207" s="582" t="s">
        <v>1224</v>
      </c>
      <c r="HFY2207" s="582" t="s">
        <v>1224</v>
      </c>
      <c r="HFZ2207" s="582" t="s">
        <v>1224</v>
      </c>
      <c r="HGA2207" s="582" t="s">
        <v>1224</v>
      </c>
      <c r="HGB2207" s="582" t="s">
        <v>1224</v>
      </c>
      <c r="HGC2207" s="582" t="s">
        <v>1224</v>
      </c>
      <c r="HGD2207" s="582" t="s">
        <v>1224</v>
      </c>
      <c r="HGE2207" s="582" t="s">
        <v>1224</v>
      </c>
      <c r="HGF2207" s="582" t="s">
        <v>1224</v>
      </c>
      <c r="HGG2207" s="582" t="s">
        <v>1224</v>
      </c>
      <c r="HGH2207" s="582" t="s">
        <v>1224</v>
      </c>
      <c r="HGI2207" s="582" t="s">
        <v>1224</v>
      </c>
      <c r="HGJ2207" s="582" t="s">
        <v>1224</v>
      </c>
      <c r="HGK2207" s="582" t="s">
        <v>1224</v>
      </c>
      <c r="HGL2207" s="582" t="s">
        <v>1224</v>
      </c>
      <c r="HGM2207" s="582" t="s">
        <v>1224</v>
      </c>
      <c r="HGN2207" s="582" t="s">
        <v>1224</v>
      </c>
      <c r="HGO2207" s="582" t="s">
        <v>1224</v>
      </c>
      <c r="HGP2207" s="582" t="s">
        <v>1224</v>
      </c>
      <c r="HGQ2207" s="582" t="s">
        <v>1224</v>
      </c>
      <c r="HGR2207" s="582" t="s">
        <v>1224</v>
      </c>
      <c r="HGS2207" s="582" t="s">
        <v>1224</v>
      </c>
      <c r="HGT2207" s="582" t="s">
        <v>1224</v>
      </c>
      <c r="HGU2207" s="582" t="s">
        <v>1224</v>
      </c>
      <c r="HGV2207" s="582" t="s">
        <v>1224</v>
      </c>
      <c r="HGW2207" s="582" t="s">
        <v>1224</v>
      </c>
      <c r="HGX2207" s="582" t="s">
        <v>1224</v>
      </c>
      <c r="HGY2207" s="582" t="s">
        <v>1224</v>
      </c>
      <c r="HGZ2207" s="582" t="s">
        <v>1224</v>
      </c>
      <c r="HHA2207" s="582" t="s">
        <v>1224</v>
      </c>
      <c r="HHB2207" s="582" t="s">
        <v>1224</v>
      </c>
      <c r="HHC2207" s="582" t="s">
        <v>1224</v>
      </c>
      <c r="HHD2207" s="582" t="s">
        <v>1224</v>
      </c>
      <c r="HHE2207" s="582" t="s">
        <v>1224</v>
      </c>
      <c r="HHF2207" s="582" t="s">
        <v>1224</v>
      </c>
      <c r="HHG2207" s="582" t="s">
        <v>1224</v>
      </c>
      <c r="HHH2207" s="582" t="s">
        <v>1224</v>
      </c>
      <c r="HHI2207" s="582" t="s">
        <v>1224</v>
      </c>
      <c r="HHJ2207" s="582" t="s">
        <v>1224</v>
      </c>
      <c r="HHK2207" s="582" t="s">
        <v>1224</v>
      </c>
      <c r="HHL2207" s="582" t="s">
        <v>1224</v>
      </c>
      <c r="HHM2207" s="582" t="s">
        <v>1224</v>
      </c>
      <c r="HHN2207" s="582" t="s">
        <v>1224</v>
      </c>
      <c r="HHO2207" s="582" t="s">
        <v>1224</v>
      </c>
      <c r="HHP2207" s="582" t="s">
        <v>1224</v>
      </c>
      <c r="HHQ2207" s="582" t="s">
        <v>1224</v>
      </c>
      <c r="HHR2207" s="582" t="s">
        <v>1224</v>
      </c>
      <c r="HHS2207" s="582" t="s">
        <v>1224</v>
      </c>
      <c r="HHT2207" s="582" t="s">
        <v>1224</v>
      </c>
      <c r="HHU2207" s="582" t="s">
        <v>1224</v>
      </c>
      <c r="HHV2207" s="582" t="s">
        <v>1224</v>
      </c>
      <c r="HHW2207" s="582" t="s">
        <v>1224</v>
      </c>
      <c r="HHX2207" s="582" t="s">
        <v>1224</v>
      </c>
      <c r="HHY2207" s="582" t="s">
        <v>1224</v>
      </c>
      <c r="HHZ2207" s="582" t="s">
        <v>1224</v>
      </c>
      <c r="HIA2207" s="582" t="s">
        <v>1224</v>
      </c>
      <c r="HIB2207" s="582" t="s">
        <v>1224</v>
      </c>
      <c r="HIC2207" s="582" t="s">
        <v>1224</v>
      </c>
      <c r="HID2207" s="582" t="s">
        <v>1224</v>
      </c>
      <c r="HIE2207" s="582" t="s">
        <v>1224</v>
      </c>
      <c r="HIF2207" s="582" t="s">
        <v>1224</v>
      </c>
      <c r="HIG2207" s="582" t="s">
        <v>1224</v>
      </c>
      <c r="HIH2207" s="582" t="s">
        <v>1224</v>
      </c>
      <c r="HII2207" s="582" t="s">
        <v>1224</v>
      </c>
      <c r="HIJ2207" s="582" t="s">
        <v>1224</v>
      </c>
      <c r="HIK2207" s="582" t="s">
        <v>1224</v>
      </c>
      <c r="HIL2207" s="582" t="s">
        <v>1224</v>
      </c>
      <c r="HIM2207" s="582" t="s">
        <v>1224</v>
      </c>
      <c r="HIN2207" s="582" t="s">
        <v>1224</v>
      </c>
      <c r="HIO2207" s="582" t="s">
        <v>1224</v>
      </c>
      <c r="HIP2207" s="582" t="s">
        <v>1224</v>
      </c>
      <c r="HIQ2207" s="582" t="s">
        <v>1224</v>
      </c>
      <c r="HIR2207" s="582" t="s">
        <v>1224</v>
      </c>
      <c r="HIS2207" s="582" t="s">
        <v>1224</v>
      </c>
      <c r="HIT2207" s="582" t="s">
        <v>1224</v>
      </c>
      <c r="HIU2207" s="582" t="s">
        <v>1224</v>
      </c>
      <c r="HIV2207" s="582" t="s">
        <v>1224</v>
      </c>
      <c r="HIW2207" s="582" t="s">
        <v>1224</v>
      </c>
      <c r="HIX2207" s="582" t="s">
        <v>1224</v>
      </c>
      <c r="HIY2207" s="582" t="s">
        <v>1224</v>
      </c>
      <c r="HIZ2207" s="582" t="s">
        <v>1224</v>
      </c>
      <c r="HJA2207" s="582" t="s">
        <v>1224</v>
      </c>
      <c r="HJB2207" s="582" t="s">
        <v>1224</v>
      </c>
      <c r="HJC2207" s="582" t="s">
        <v>1224</v>
      </c>
      <c r="HJD2207" s="582" t="s">
        <v>1224</v>
      </c>
      <c r="HJE2207" s="582" t="s">
        <v>1224</v>
      </c>
      <c r="HJF2207" s="582" t="s">
        <v>1224</v>
      </c>
      <c r="HJG2207" s="582" t="s">
        <v>1224</v>
      </c>
      <c r="HJH2207" s="582" t="s">
        <v>1224</v>
      </c>
      <c r="HJI2207" s="582" t="s">
        <v>1224</v>
      </c>
      <c r="HJJ2207" s="582" t="s">
        <v>1224</v>
      </c>
      <c r="HJK2207" s="582" t="s">
        <v>1224</v>
      </c>
      <c r="HJL2207" s="582" t="s">
        <v>1224</v>
      </c>
      <c r="HJM2207" s="582" t="s">
        <v>1224</v>
      </c>
      <c r="HJN2207" s="582" t="s">
        <v>1224</v>
      </c>
      <c r="HJO2207" s="582" t="s">
        <v>1224</v>
      </c>
      <c r="HJP2207" s="582" t="s">
        <v>1224</v>
      </c>
      <c r="HJQ2207" s="582" t="s">
        <v>1224</v>
      </c>
      <c r="HJR2207" s="582" t="s">
        <v>1224</v>
      </c>
      <c r="HJS2207" s="582" t="s">
        <v>1224</v>
      </c>
      <c r="HJT2207" s="582" t="s">
        <v>1224</v>
      </c>
      <c r="HJU2207" s="582" t="s">
        <v>1224</v>
      </c>
      <c r="HJV2207" s="582" t="s">
        <v>1224</v>
      </c>
      <c r="HJW2207" s="582" t="s">
        <v>1224</v>
      </c>
      <c r="HJX2207" s="582" t="s">
        <v>1224</v>
      </c>
      <c r="HJY2207" s="582" t="s">
        <v>1224</v>
      </c>
      <c r="HJZ2207" s="582" t="s">
        <v>1224</v>
      </c>
      <c r="HKA2207" s="582" t="s">
        <v>1224</v>
      </c>
      <c r="HKB2207" s="582" t="s">
        <v>1224</v>
      </c>
      <c r="HKC2207" s="582" t="s">
        <v>1224</v>
      </c>
      <c r="HKD2207" s="582" t="s">
        <v>1224</v>
      </c>
      <c r="HKE2207" s="582" t="s">
        <v>1224</v>
      </c>
      <c r="HKF2207" s="582" t="s">
        <v>1224</v>
      </c>
      <c r="HKG2207" s="582" t="s">
        <v>1224</v>
      </c>
      <c r="HKH2207" s="582" t="s">
        <v>1224</v>
      </c>
      <c r="HKI2207" s="582" t="s">
        <v>1224</v>
      </c>
      <c r="HKJ2207" s="582" t="s">
        <v>1224</v>
      </c>
      <c r="HKK2207" s="582" t="s">
        <v>1224</v>
      </c>
      <c r="HKL2207" s="582" t="s">
        <v>1224</v>
      </c>
      <c r="HKM2207" s="582" t="s">
        <v>1224</v>
      </c>
      <c r="HKN2207" s="582" t="s">
        <v>1224</v>
      </c>
      <c r="HKO2207" s="582" t="s">
        <v>1224</v>
      </c>
      <c r="HKP2207" s="582" t="s">
        <v>1224</v>
      </c>
      <c r="HKQ2207" s="582" t="s">
        <v>1224</v>
      </c>
      <c r="HKR2207" s="582" t="s">
        <v>1224</v>
      </c>
      <c r="HKS2207" s="582" t="s">
        <v>1224</v>
      </c>
      <c r="HKT2207" s="582" t="s">
        <v>1224</v>
      </c>
      <c r="HKU2207" s="582" t="s">
        <v>1224</v>
      </c>
      <c r="HKV2207" s="582" t="s">
        <v>1224</v>
      </c>
      <c r="HKW2207" s="582" t="s">
        <v>1224</v>
      </c>
      <c r="HKX2207" s="582" t="s">
        <v>1224</v>
      </c>
      <c r="HKY2207" s="582" t="s">
        <v>1224</v>
      </c>
      <c r="HKZ2207" s="582" t="s">
        <v>1224</v>
      </c>
      <c r="HLA2207" s="582" t="s">
        <v>1224</v>
      </c>
      <c r="HLB2207" s="582" t="s">
        <v>1224</v>
      </c>
      <c r="HLC2207" s="582" t="s">
        <v>1224</v>
      </c>
      <c r="HLD2207" s="582" t="s">
        <v>1224</v>
      </c>
      <c r="HLE2207" s="582" t="s">
        <v>1224</v>
      </c>
      <c r="HLF2207" s="582" t="s">
        <v>1224</v>
      </c>
      <c r="HLG2207" s="582" t="s">
        <v>1224</v>
      </c>
      <c r="HLH2207" s="582" t="s">
        <v>1224</v>
      </c>
      <c r="HLI2207" s="582" t="s">
        <v>1224</v>
      </c>
      <c r="HLJ2207" s="582" t="s">
        <v>1224</v>
      </c>
      <c r="HLK2207" s="582" t="s">
        <v>1224</v>
      </c>
      <c r="HLL2207" s="582" t="s">
        <v>1224</v>
      </c>
      <c r="HLM2207" s="582" t="s">
        <v>1224</v>
      </c>
      <c r="HLN2207" s="582" t="s">
        <v>1224</v>
      </c>
      <c r="HLO2207" s="582" t="s">
        <v>1224</v>
      </c>
      <c r="HLP2207" s="582" t="s">
        <v>1224</v>
      </c>
      <c r="HLQ2207" s="582" t="s">
        <v>1224</v>
      </c>
      <c r="HLR2207" s="582" t="s">
        <v>1224</v>
      </c>
      <c r="HLS2207" s="582" t="s">
        <v>1224</v>
      </c>
      <c r="HLT2207" s="582" t="s">
        <v>1224</v>
      </c>
      <c r="HLU2207" s="582" t="s">
        <v>1224</v>
      </c>
      <c r="HLV2207" s="582" t="s">
        <v>1224</v>
      </c>
      <c r="HLW2207" s="582" t="s">
        <v>1224</v>
      </c>
      <c r="HLX2207" s="582" t="s">
        <v>1224</v>
      </c>
      <c r="HLY2207" s="582" t="s">
        <v>1224</v>
      </c>
      <c r="HLZ2207" s="582" t="s">
        <v>1224</v>
      </c>
      <c r="HMA2207" s="582" t="s">
        <v>1224</v>
      </c>
      <c r="HMB2207" s="582" t="s">
        <v>1224</v>
      </c>
      <c r="HMC2207" s="582" t="s">
        <v>1224</v>
      </c>
      <c r="HMD2207" s="582" t="s">
        <v>1224</v>
      </c>
      <c r="HME2207" s="582" t="s">
        <v>1224</v>
      </c>
      <c r="HMF2207" s="582" t="s">
        <v>1224</v>
      </c>
      <c r="HMG2207" s="582" t="s">
        <v>1224</v>
      </c>
      <c r="HMH2207" s="582" t="s">
        <v>1224</v>
      </c>
      <c r="HMI2207" s="582" t="s">
        <v>1224</v>
      </c>
      <c r="HMJ2207" s="582" t="s">
        <v>1224</v>
      </c>
      <c r="HMK2207" s="582" t="s">
        <v>1224</v>
      </c>
      <c r="HML2207" s="582" t="s">
        <v>1224</v>
      </c>
      <c r="HMM2207" s="582" t="s">
        <v>1224</v>
      </c>
      <c r="HMN2207" s="582" t="s">
        <v>1224</v>
      </c>
      <c r="HMO2207" s="582" t="s">
        <v>1224</v>
      </c>
      <c r="HMP2207" s="582" t="s">
        <v>1224</v>
      </c>
      <c r="HMQ2207" s="582" t="s">
        <v>1224</v>
      </c>
      <c r="HMR2207" s="582" t="s">
        <v>1224</v>
      </c>
      <c r="HMS2207" s="582" t="s">
        <v>1224</v>
      </c>
      <c r="HMT2207" s="582" t="s">
        <v>1224</v>
      </c>
      <c r="HMU2207" s="582" t="s">
        <v>1224</v>
      </c>
      <c r="HMV2207" s="582" t="s">
        <v>1224</v>
      </c>
      <c r="HMW2207" s="582" t="s">
        <v>1224</v>
      </c>
      <c r="HMX2207" s="582" t="s">
        <v>1224</v>
      </c>
      <c r="HMY2207" s="582" t="s">
        <v>1224</v>
      </c>
      <c r="HMZ2207" s="582" t="s">
        <v>1224</v>
      </c>
      <c r="HNA2207" s="582" t="s">
        <v>1224</v>
      </c>
      <c r="HNB2207" s="582" t="s">
        <v>1224</v>
      </c>
      <c r="HNC2207" s="582" t="s">
        <v>1224</v>
      </c>
      <c r="HND2207" s="582" t="s">
        <v>1224</v>
      </c>
      <c r="HNE2207" s="582" t="s">
        <v>1224</v>
      </c>
      <c r="HNF2207" s="582" t="s">
        <v>1224</v>
      </c>
      <c r="HNG2207" s="582" t="s">
        <v>1224</v>
      </c>
      <c r="HNH2207" s="582" t="s">
        <v>1224</v>
      </c>
      <c r="HNI2207" s="582" t="s">
        <v>1224</v>
      </c>
      <c r="HNJ2207" s="582" t="s">
        <v>1224</v>
      </c>
      <c r="HNK2207" s="582" t="s">
        <v>1224</v>
      </c>
      <c r="HNL2207" s="582" t="s">
        <v>1224</v>
      </c>
      <c r="HNM2207" s="582" t="s">
        <v>1224</v>
      </c>
      <c r="HNN2207" s="582" t="s">
        <v>1224</v>
      </c>
      <c r="HNO2207" s="582" t="s">
        <v>1224</v>
      </c>
      <c r="HNP2207" s="582" t="s">
        <v>1224</v>
      </c>
      <c r="HNQ2207" s="582" t="s">
        <v>1224</v>
      </c>
      <c r="HNR2207" s="582" t="s">
        <v>1224</v>
      </c>
      <c r="HNS2207" s="582" t="s">
        <v>1224</v>
      </c>
      <c r="HNT2207" s="582" t="s">
        <v>1224</v>
      </c>
      <c r="HNU2207" s="582" t="s">
        <v>1224</v>
      </c>
      <c r="HNV2207" s="582" t="s">
        <v>1224</v>
      </c>
      <c r="HNW2207" s="582" t="s">
        <v>1224</v>
      </c>
      <c r="HNX2207" s="582" t="s">
        <v>1224</v>
      </c>
      <c r="HNY2207" s="582" t="s">
        <v>1224</v>
      </c>
      <c r="HNZ2207" s="582" t="s">
        <v>1224</v>
      </c>
      <c r="HOA2207" s="582" t="s">
        <v>1224</v>
      </c>
      <c r="HOB2207" s="582" t="s">
        <v>1224</v>
      </c>
      <c r="HOC2207" s="582" t="s">
        <v>1224</v>
      </c>
      <c r="HOD2207" s="582" t="s">
        <v>1224</v>
      </c>
      <c r="HOE2207" s="582" t="s">
        <v>1224</v>
      </c>
      <c r="HOF2207" s="582" t="s">
        <v>1224</v>
      </c>
      <c r="HOG2207" s="582" t="s">
        <v>1224</v>
      </c>
      <c r="HOH2207" s="582" t="s">
        <v>1224</v>
      </c>
      <c r="HOI2207" s="582" t="s">
        <v>1224</v>
      </c>
      <c r="HOJ2207" s="582" t="s">
        <v>1224</v>
      </c>
      <c r="HOK2207" s="582" t="s">
        <v>1224</v>
      </c>
      <c r="HOL2207" s="582" t="s">
        <v>1224</v>
      </c>
      <c r="HOM2207" s="582" t="s">
        <v>1224</v>
      </c>
      <c r="HON2207" s="582" t="s">
        <v>1224</v>
      </c>
      <c r="HOO2207" s="582" t="s">
        <v>1224</v>
      </c>
      <c r="HOP2207" s="582" t="s">
        <v>1224</v>
      </c>
      <c r="HOQ2207" s="582" t="s">
        <v>1224</v>
      </c>
      <c r="HOR2207" s="582" t="s">
        <v>1224</v>
      </c>
      <c r="HOS2207" s="582" t="s">
        <v>1224</v>
      </c>
      <c r="HOT2207" s="582" t="s">
        <v>1224</v>
      </c>
      <c r="HOU2207" s="582" t="s">
        <v>1224</v>
      </c>
      <c r="HOV2207" s="582" t="s">
        <v>1224</v>
      </c>
      <c r="HOW2207" s="582" t="s">
        <v>1224</v>
      </c>
      <c r="HOX2207" s="582" t="s">
        <v>1224</v>
      </c>
      <c r="HOY2207" s="582" t="s">
        <v>1224</v>
      </c>
      <c r="HOZ2207" s="582" t="s">
        <v>1224</v>
      </c>
      <c r="HPA2207" s="582" t="s">
        <v>1224</v>
      </c>
      <c r="HPB2207" s="582" t="s">
        <v>1224</v>
      </c>
      <c r="HPC2207" s="582" t="s">
        <v>1224</v>
      </c>
      <c r="HPD2207" s="582" t="s">
        <v>1224</v>
      </c>
      <c r="HPE2207" s="582" t="s">
        <v>1224</v>
      </c>
      <c r="HPF2207" s="582" t="s">
        <v>1224</v>
      </c>
      <c r="HPG2207" s="582" t="s">
        <v>1224</v>
      </c>
      <c r="HPH2207" s="582" t="s">
        <v>1224</v>
      </c>
      <c r="HPI2207" s="582" t="s">
        <v>1224</v>
      </c>
      <c r="HPJ2207" s="582" t="s">
        <v>1224</v>
      </c>
      <c r="HPK2207" s="582" t="s">
        <v>1224</v>
      </c>
      <c r="HPL2207" s="582" t="s">
        <v>1224</v>
      </c>
      <c r="HPM2207" s="582" t="s">
        <v>1224</v>
      </c>
      <c r="HPN2207" s="582" t="s">
        <v>1224</v>
      </c>
      <c r="HPO2207" s="582" t="s">
        <v>1224</v>
      </c>
      <c r="HPP2207" s="582" t="s">
        <v>1224</v>
      </c>
      <c r="HPQ2207" s="582" t="s">
        <v>1224</v>
      </c>
      <c r="HPR2207" s="582" t="s">
        <v>1224</v>
      </c>
      <c r="HPS2207" s="582" t="s">
        <v>1224</v>
      </c>
      <c r="HPT2207" s="582" t="s">
        <v>1224</v>
      </c>
      <c r="HPU2207" s="582" t="s">
        <v>1224</v>
      </c>
      <c r="HPV2207" s="582" t="s">
        <v>1224</v>
      </c>
      <c r="HPW2207" s="582" t="s">
        <v>1224</v>
      </c>
      <c r="HPX2207" s="582" t="s">
        <v>1224</v>
      </c>
      <c r="HPY2207" s="582" t="s">
        <v>1224</v>
      </c>
      <c r="HPZ2207" s="582" t="s">
        <v>1224</v>
      </c>
      <c r="HQA2207" s="582" t="s">
        <v>1224</v>
      </c>
      <c r="HQB2207" s="582" t="s">
        <v>1224</v>
      </c>
      <c r="HQC2207" s="582" t="s">
        <v>1224</v>
      </c>
      <c r="HQD2207" s="582" t="s">
        <v>1224</v>
      </c>
      <c r="HQE2207" s="582" t="s">
        <v>1224</v>
      </c>
      <c r="HQF2207" s="582" t="s">
        <v>1224</v>
      </c>
      <c r="HQG2207" s="582" t="s">
        <v>1224</v>
      </c>
      <c r="HQH2207" s="582" t="s">
        <v>1224</v>
      </c>
      <c r="HQI2207" s="582" t="s">
        <v>1224</v>
      </c>
      <c r="HQJ2207" s="582" t="s">
        <v>1224</v>
      </c>
      <c r="HQK2207" s="582" t="s">
        <v>1224</v>
      </c>
      <c r="HQL2207" s="582" t="s">
        <v>1224</v>
      </c>
      <c r="HQM2207" s="582" t="s">
        <v>1224</v>
      </c>
      <c r="HQN2207" s="582" t="s">
        <v>1224</v>
      </c>
      <c r="HQO2207" s="582" t="s">
        <v>1224</v>
      </c>
      <c r="HQP2207" s="582" t="s">
        <v>1224</v>
      </c>
      <c r="HQQ2207" s="582" t="s">
        <v>1224</v>
      </c>
      <c r="HQR2207" s="582" t="s">
        <v>1224</v>
      </c>
      <c r="HQS2207" s="582" t="s">
        <v>1224</v>
      </c>
      <c r="HQT2207" s="582" t="s">
        <v>1224</v>
      </c>
      <c r="HQU2207" s="582" t="s">
        <v>1224</v>
      </c>
      <c r="HQV2207" s="582" t="s">
        <v>1224</v>
      </c>
      <c r="HQW2207" s="582" t="s">
        <v>1224</v>
      </c>
      <c r="HQX2207" s="582" t="s">
        <v>1224</v>
      </c>
      <c r="HQY2207" s="582" t="s">
        <v>1224</v>
      </c>
      <c r="HQZ2207" s="582" t="s">
        <v>1224</v>
      </c>
      <c r="HRA2207" s="582" t="s">
        <v>1224</v>
      </c>
      <c r="HRB2207" s="582" t="s">
        <v>1224</v>
      </c>
      <c r="HRC2207" s="582" t="s">
        <v>1224</v>
      </c>
      <c r="HRD2207" s="582" t="s">
        <v>1224</v>
      </c>
      <c r="HRE2207" s="582" t="s">
        <v>1224</v>
      </c>
      <c r="HRF2207" s="582" t="s">
        <v>1224</v>
      </c>
      <c r="HRG2207" s="582" t="s">
        <v>1224</v>
      </c>
      <c r="HRH2207" s="582" t="s">
        <v>1224</v>
      </c>
      <c r="HRI2207" s="582" t="s">
        <v>1224</v>
      </c>
      <c r="HRJ2207" s="582" t="s">
        <v>1224</v>
      </c>
      <c r="HRK2207" s="582" t="s">
        <v>1224</v>
      </c>
      <c r="HRL2207" s="582" t="s">
        <v>1224</v>
      </c>
      <c r="HRM2207" s="582" t="s">
        <v>1224</v>
      </c>
      <c r="HRN2207" s="582" t="s">
        <v>1224</v>
      </c>
      <c r="HRO2207" s="582" t="s">
        <v>1224</v>
      </c>
      <c r="HRP2207" s="582" t="s">
        <v>1224</v>
      </c>
      <c r="HRQ2207" s="582" t="s">
        <v>1224</v>
      </c>
      <c r="HRR2207" s="582" t="s">
        <v>1224</v>
      </c>
      <c r="HRS2207" s="582" t="s">
        <v>1224</v>
      </c>
      <c r="HRT2207" s="582" t="s">
        <v>1224</v>
      </c>
      <c r="HRU2207" s="582" t="s">
        <v>1224</v>
      </c>
      <c r="HRV2207" s="582" t="s">
        <v>1224</v>
      </c>
      <c r="HRW2207" s="582" t="s">
        <v>1224</v>
      </c>
      <c r="HRX2207" s="582" t="s">
        <v>1224</v>
      </c>
      <c r="HRY2207" s="582" t="s">
        <v>1224</v>
      </c>
      <c r="HRZ2207" s="582" t="s">
        <v>1224</v>
      </c>
      <c r="HSA2207" s="582" t="s">
        <v>1224</v>
      </c>
      <c r="HSB2207" s="582" t="s">
        <v>1224</v>
      </c>
      <c r="HSC2207" s="582" t="s">
        <v>1224</v>
      </c>
      <c r="HSD2207" s="582" t="s">
        <v>1224</v>
      </c>
      <c r="HSE2207" s="582" t="s">
        <v>1224</v>
      </c>
      <c r="HSF2207" s="582" t="s">
        <v>1224</v>
      </c>
      <c r="HSG2207" s="582" t="s">
        <v>1224</v>
      </c>
      <c r="HSH2207" s="582" t="s">
        <v>1224</v>
      </c>
      <c r="HSI2207" s="582" t="s">
        <v>1224</v>
      </c>
      <c r="HSJ2207" s="582" t="s">
        <v>1224</v>
      </c>
      <c r="HSK2207" s="582" t="s">
        <v>1224</v>
      </c>
      <c r="HSL2207" s="582" t="s">
        <v>1224</v>
      </c>
      <c r="HSM2207" s="582" t="s">
        <v>1224</v>
      </c>
      <c r="HSN2207" s="582" t="s">
        <v>1224</v>
      </c>
      <c r="HSO2207" s="582" t="s">
        <v>1224</v>
      </c>
      <c r="HSP2207" s="582" t="s">
        <v>1224</v>
      </c>
      <c r="HSQ2207" s="582" t="s">
        <v>1224</v>
      </c>
      <c r="HSR2207" s="582" t="s">
        <v>1224</v>
      </c>
      <c r="HSS2207" s="582" t="s">
        <v>1224</v>
      </c>
      <c r="HST2207" s="582" t="s">
        <v>1224</v>
      </c>
      <c r="HSU2207" s="582" t="s">
        <v>1224</v>
      </c>
      <c r="HSV2207" s="582" t="s">
        <v>1224</v>
      </c>
      <c r="HSW2207" s="582" t="s">
        <v>1224</v>
      </c>
      <c r="HSX2207" s="582" t="s">
        <v>1224</v>
      </c>
      <c r="HSY2207" s="582" t="s">
        <v>1224</v>
      </c>
      <c r="HSZ2207" s="582" t="s">
        <v>1224</v>
      </c>
      <c r="HTA2207" s="582" t="s">
        <v>1224</v>
      </c>
      <c r="HTB2207" s="582" t="s">
        <v>1224</v>
      </c>
      <c r="HTC2207" s="582" t="s">
        <v>1224</v>
      </c>
      <c r="HTD2207" s="582" t="s">
        <v>1224</v>
      </c>
      <c r="HTE2207" s="582" t="s">
        <v>1224</v>
      </c>
      <c r="HTF2207" s="582" t="s">
        <v>1224</v>
      </c>
      <c r="HTG2207" s="582" t="s">
        <v>1224</v>
      </c>
      <c r="HTH2207" s="582" t="s">
        <v>1224</v>
      </c>
      <c r="HTI2207" s="582" t="s">
        <v>1224</v>
      </c>
      <c r="HTJ2207" s="582" t="s">
        <v>1224</v>
      </c>
      <c r="HTK2207" s="582" t="s">
        <v>1224</v>
      </c>
      <c r="HTL2207" s="582" t="s">
        <v>1224</v>
      </c>
      <c r="HTM2207" s="582" t="s">
        <v>1224</v>
      </c>
      <c r="HTN2207" s="582" t="s">
        <v>1224</v>
      </c>
      <c r="HTO2207" s="582" t="s">
        <v>1224</v>
      </c>
      <c r="HTP2207" s="582" t="s">
        <v>1224</v>
      </c>
      <c r="HTQ2207" s="582" t="s">
        <v>1224</v>
      </c>
      <c r="HTR2207" s="582" t="s">
        <v>1224</v>
      </c>
      <c r="HTS2207" s="582" t="s">
        <v>1224</v>
      </c>
      <c r="HTT2207" s="582" t="s">
        <v>1224</v>
      </c>
      <c r="HTU2207" s="582" t="s">
        <v>1224</v>
      </c>
      <c r="HTV2207" s="582" t="s">
        <v>1224</v>
      </c>
      <c r="HTW2207" s="582" t="s">
        <v>1224</v>
      </c>
      <c r="HTX2207" s="582" t="s">
        <v>1224</v>
      </c>
      <c r="HTY2207" s="582" t="s">
        <v>1224</v>
      </c>
      <c r="HTZ2207" s="582" t="s">
        <v>1224</v>
      </c>
      <c r="HUA2207" s="582" t="s">
        <v>1224</v>
      </c>
      <c r="HUB2207" s="582" t="s">
        <v>1224</v>
      </c>
      <c r="HUC2207" s="582" t="s">
        <v>1224</v>
      </c>
      <c r="HUD2207" s="582" t="s">
        <v>1224</v>
      </c>
      <c r="HUE2207" s="582" t="s">
        <v>1224</v>
      </c>
      <c r="HUF2207" s="582" t="s">
        <v>1224</v>
      </c>
      <c r="HUG2207" s="582" t="s">
        <v>1224</v>
      </c>
      <c r="HUH2207" s="582" t="s">
        <v>1224</v>
      </c>
      <c r="HUI2207" s="582" t="s">
        <v>1224</v>
      </c>
      <c r="HUJ2207" s="582" t="s">
        <v>1224</v>
      </c>
      <c r="HUK2207" s="582" t="s">
        <v>1224</v>
      </c>
      <c r="HUL2207" s="582" t="s">
        <v>1224</v>
      </c>
      <c r="HUM2207" s="582" t="s">
        <v>1224</v>
      </c>
      <c r="HUN2207" s="582" t="s">
        <v>1224</v>
      </c>
      <c r="HUO2207" s="582" t="s">
        <v>1224</v>
      </c>
      <c r="HUP2207" s="582" t="s">
        <v>1224</v>
      </c>
      <c r="HUQ2207" s="582" t="s">
        <v>1224</v>
      </c>
      <c r="HUR2207" s="582" t="s">
        <v>1224</v>
      </c>
      <c r="HUS2207" s="582" t="s">
        <v>1224</v>
      </c>
      <c r="HUT2207" s="582" t="s">
        <v>1224</v>
      </c>
      <c r="HUU2207" s="582" t="s">
        <v>1224</v>
      </c>
      <c r="HUV2207" s="582" t="s">
        <v>1224</v>
      </c>
      <c r="HUW2207" s="582" t="s">
        <v>1224</v>
      </c>
      <c r="HUX2207" s="582" t="s">
        <v>1224</v>
      </c>
      <c r="HUY2207" s="582" t="s">
        <v>1224</v>
      </c>
      <c r="HUZ2207" s="582" t="s">
        <v>1224</v>
      </c>
      <c r="HVA2207" s="582" t="s">
        <v>1224</v>
      </c>
      <c r="HVB2207" s="582" t="s">
        <v>1224</v>
      </c>
      <c r="HVC2207" s="582" t="s">
        <v>1224</v>
      </c>
      <c r="HVD2207" s="582" t="s">
        <v>1224</v>
      </c>
      <c r="HVE2207" s="582" t="s">
        <v>1224</v>
      </c>
      <c r="HVF2207" s="582" t="s">
        <v>1224</v>
      </c>
      <c r="HVG2207" s="582" t="s">
        <v>1224</v>
      </c>
      <c r="HVH2207" s="582" t="s">
        <v>1224</v>
      </c>
      <c r="HVI2207" s="582" t="s">
        <v>1224</v>
      </c>
      <c r="HVJ2207" s="582" t="s">
        <v>1224</v>
      </c>
      <c r="HVK2207" s="582" t="s">
        <v>1224</v>
      </c>
      <c r="HVL2207" s="582" t="s">
        <v>1224</v>
      </c>
      <c r="HVM2207" s="582" t="s">
        <v>1224</v>
      </c>
      <c r="HVN2207" s="582" t="s">
        <v>1224</v>
      </c>
      <c r="HVO2207" s="582" t="s">
        <v>1224</v>
      </c>
      <c r="HVP2207" s="582" t="s">
        <v>1224</v>
      </c>
      <c r="HVQ2207" s="582" t="s">
        <v>1224</v>
      </c>
      <c r="HVR2207" s="582" t="s">
        <v>1224</v>
      </c>
      <c r="HVS2207" s="582" t="s">
        <v>1224</v>
      </c>
      <c r="HVT2207" s="582" t="s">
        <v>1224</v>
      </c>
      <c r="HVU2207" s="582" t="s">
        <v>1224</v>
      </c>
      <c r="HVV2207" s="582" t="s">
        <v>1224</v>
      </c>
      <c r="HVW2207" s="582" t="s">
        <v>1224</v>
      </c>
      <c r="HVX2207" s="582" t="s">
        <v>1224</v>
      </c>
      <c r="HVY2207" s="582" t="s">
        <v>1224</v>
      </c>
      <c r="HVZ2207" s="582" t="s">
        <v>1224</v>
      </c>
      <c r="HWA2207" s="582" t="s">
        <v>1224</v>
      </c>
      <c r="HWB2207" s="582" t="s">
        <v>1224</v>
      </c>
      <c r="HWC2207" s="582" t="s">
        <v>1224</v>
      </c>
      <c r="HWD2207" s="582" t="s">
        <v>1224</v>
      </c>
      <c r="HWE2207" s="582" t="s">
        <v>1224</v>
      </c>
      <c r="HWF2207" s="582" t="s">
        <v>1224</v>
      </c>
      <c r="HWG2207" s="582" t="s">
        <v>1224</v>
      </c>
      <c r="HWH2207" s="582" t="s">
        <v>1224</v>
      </c>
      <c r="HWI2207" s="582" t="s">
        <v>1224</v>
      </c>
      <c r="HWJ2207" s="582" t="s">
        <v>1224</v>
      </c>
      <c r="HWK2207" s="582" t="s">
        <v>1224</v>
      </c>
      <c r="HWL2207" s="582" t="s">
        <v>1224</v>
      </c>
      <c r="HWM2207" s="582" t="s">
        <v>1224</v>
      </c>
      <c r="HWN2207" s="582" t="s">
        <v>1224</v>
      </c>
      <c r="HWO2207" s="582" t="s">
        <v>1224</v>
      </c>
      <c r="HWP2207" s="582" t="s">
        <v>1224</v>
      </c>
      <c r="HWQ2207" s="582" t="s">
        <v>1224</v>
      </c>
      <c r="HWR2207" s="582" t="s">
        <v>1224</v>
      </c>
      <c r="HWS2207" s="582" t="s">
        <v>1224</v>
      </c>
      <c r="HWT2207" s="582" t="s">
        <v>1224</v>
      </c>
      <c r="HWU2207" s="582" t="s">
        <v>1224</v>
      </c>
      <c r="HWV2207" s="582" t="s">
        <v>1224</v>
      </c>
      <c r="HWW2207" s="582" t="s">
        <v>1224</v>
      </c>
      <c r="HWX2207" s="582" t="s">
        <v>1224</v>
      </c>
      <c r="HWY2207" s="582" t="s">
        <v>1224</v>
      </c>
      <c r="HWZ2207" s="582" t="s">
        <v>1224</v>
      </c>
      <c r="HXA2207" s="582" t="s">
        <v>1224</v>
      </c>
      <c r="HXB2207" s="582" t="s">
        <v>1224</v>
      </c>
      <c r="HXC2207" s="582" t="s">
        <v>1224</v>
      </c>
      <c r="HXD2207" s="582" t="s">
        <v>1224</v>
      </c>
      <c r="HXE2207" s="582" t="s">
        <v>1224</v>
      </c>
      <c r="HXF2207" s="582" t="s">
        <v>1224</v>
      </c>
      <c r="HXG2207" s="582" t="s">
        <v>1224</v>
      </c>
      <c r="HXH2207" s="582" t="s">
        <v>1224</v>
      </c>
      <c r="HXI2207" s="582" t="s">
        <v>1224</v>
      </c>
      <c r="HXJ2207" s="582" t="s">
        <v>1224</v>
      </c>
      <c r="HXK2207" s="582" t="s">
        <v>1224</v>
      </c>
      <c r="HXL2207" s="582" t="s">
        <v>1224</v>
      </c>
      <c r="HXM2207" s="582" t="s">
        <v>1224</v>
      </c>
      <c r="HXN2207" s="582" t="s">
        <v>1224</v>
      </c>
      <c r="HXO2207" s="582" t="s">
        <v>1224</v>
      </c>
      <c r="HXP2207" s="582" t="s">
        <v>1224</v>
      </c>
      <c r="HXQ2207" s="582" t="s">
        <v>1224</v>
      </c>
      <c r="HXR2207" s="582" t="s">
        <v>1224</v>
      </c>
      <c r="HXS2207" s="582" t="s">
        <v>1224</v>
      </c>
      <c r="HXT2207" s="582" t="s">
        <v>1224</v>
      </c>
      <c r="HXU2207" s="582" t="s">
        <v>1224</v>
      </c>
      <c r="HXV2207" s="582" t="s">
        <v>1224</v>
      </c>
      <c r="HXW2207" s="582" t="s">
        <v>1224</v>
      </c>
      <c r="HXX2207" s="582" t="s">
        <v>1224</v>
      </c>
      <c r="HXY2207" s="582" t="s">
        <v>1224</v>
      </c>
      <c r="HXZ2207" s="582" t="s">
        <v>1224</v>
      </c>
      <c r="HYA2207" s="582" t="s">
        <v>1224</v>
      </c>
      <c r="HYB2207" s="582" t="s">
        <v>1224</v>
      </c>
      <c r="HYC2207" s="582" t="s">
        <v>1224</v>
      </c>
      <c r="HYD2207" s="582" t="s">
        <v>1224</v>
      </c>
      <c r="HYE2207" s="582" t="s">
        <v>1224</v>
      </c>
      <c r="HYF2207" s="582" t="s">
        <v>1224</v>
      </c>
      <c r="HYG2207" s="582" t="s">
        <v>1224</v>
      </c>
      <c r="HYH2207" s="582" t="s">
        <v>1224</v>
      </c>
      <c r="HYI2207" s="582" t="s">
        <v>1224</v>
      </c>
      <c r="HYJ2207" s="582" t="s">
        <v>1224</v>
      </c>
      <c r="HYK2207" s="582" t="s">
        <v>1224</v>
      </c>
      <c r="HYL2207" s="582" t="s">
        <v>1224</v>
      </c>
      <c r="HYM2207" s="582" t="s">
        <v>1224</v>
      </c>
      <c r="HYN2207" s="582" t="s">
        <v>1224</v>
      </c>
      <c r="HYO2207" s="582" t="s">
        <v>1224</v>
      </c>
      <c r="HYP2207" s="582" t="s">
        <v>1224</v>
      </c>
      <c r="HYQ2207" s="582" t="s">
        <v>1224</v>
      </c>
      <c r="HYR2207" s="582" t="s">
        <v>1224</v>
      </c>
      <c r="HYS2207" s="582" t="s">
        <v>1224</v>
      </c>
      <c r="HYT2207" s="582" t="s">
        <v>1224</v>
      </c>
      <c r="HYU2207" s="582" t="s">
        <v>1224</v>
      </c>
      <c r="HYV2207" s="582" t="s">
        <v>1224</v>
      </c>
      <c r="HYW2207" s="582" t="s">
        <v>1224</v>
      </c>
      <c r="HYX2207" s="582" t="s">
        <v>1224</v>
      </c>
      <c r="HYY2207" s="582" t="s">
        <v>1224</v>
      </c>
      <c r="HYZ2207" s="582" t="s">
        <v>1224</v>
      </c>
      <c r="HZA2207" s="582" t="s">
        <v>1224</v>
      </c>
      <c r="HZB2207" s="582" t="s">
        <v>1224</v>
      </c>
      <c r="HZC2207" s="582" t="s">
        <v>1224</v>
      </c>
      <c r="HZD2207" s="582" t="s">
        <v>1224</v>
      </c>
      <c r="HZE2207" s="582" t="s">
        <v>1224</v>
      </c>
      <c r="HZF2207" s="582" t="s">
        <v>1224</v>
      </c>
      <c r="HZG2207" s="582" t="s">
        <v>1224</v>
      </c>
      <c r="HZH2207" s="582" t="s">
        <v>1224</v>
      </c>
      <c r="HZI2207" s="582" t="s">
        <v>1224</v>
      </c>
      <c r="HZJ2207" s="582" t="s">
        <v>1224</v>
      </c>
      <c r="HZK2207" s="582" t="s">
        <v>1224</v>
      </c>
      <c r="HZL2207" s="582" t="s">
        <v>1224</v>
      </c>
      <c r="HZM2207" s="582" t="s">
        <v>1224</v>
      </c>
      <c r="HZN2207" s="582" t="s">
        <v>1224</v>
      </c>
      <c r="HZO2207" s="582" t="s">
        <v>1224</v>
      </c>
      <c r="HZP2207" s="582" t="s">
        <v>1224</v>
      </c>
      <c r="HZQ2207" s="582" t="s">
        <v>1224</v>
      </c>
      <c r="HZR2207" s="582" t="s">
        <v>1224</v>
      </c>
      <c r="HZS2207" s="582" t="s">
        <v>1224</v>
      </c>
      <c r="HZT2207" s="582" t="s">
        <v>1224</v>
      </c>
      <c r="HZU2207" s="582" t="s">
        <v>1224</v>
      </c>
      <c r="HZV2207" s="582" t="s">
        <v>1224</v>
      </c>
      <c r="HZW2207" s="582" t="s">
        <v>1224</v>
      </c>
      <c r="HZX2207" s="582" t="s">
        <v>1224</v>
      </c>
      <c r="HZY2207" s="582" t="s">
        <v>1224</v>
      </c>
      <c r="HZZ2207" s="582" t="s">
        <v>1224</v>
      </c>
      <c r="IAA2207" s="582" t="s">
        <v>1224</v>
      </c>
      <c r="IAB2207" s="582" t="s">
        <v>1224</v>
      </c>
      <c r="IAC2207" s="582" t="s">
        <v>1224</v>
      </c>
      <c r="IAD2207" s="582" t="s">
        <v>1224</v>
      </c>
      <c r="IAE2207" s="582" t="s">
        <v>1224</v>
      </c>
      <c r="IAF2207" s="582" t="s">
        <v>1224</v>
      </c>
      <c r="IAG2207" s="582" t="s">
        <v>1224</v>
      </c>
      <c r="IAH2207" s="582" t="s">
        <v>1224</v>
      </c>
      <c r="IAI2207" s="582" t="s">
        <v>1224</v>
      </c>
      <c r="IAJ2207" s="582" t="s">
        <v>1224</v>
      </c>
      <c r="IAK2207" s="582" t="s">
        <v>1224</v>
      </c>
      <c r="IAL2207" s="582" t="s">
        <v>1224</v>
      </c>
      <c r="IAM2207" s="582" t="s">
        <v>1224</v>
      </c>
      <c r="IAN2207" s="582" t="s">
        <v>1224</v>
      </c>
      <c r="IAO2207" s="582" t="s">
        <v>1224</v>
      </c>
      <c r="IAP2207" s="582" t="s">
        <v>1224</v>
      </c>
      <c r="IAQ2207" s="582" t="s">
        <v>1224</v>
      </c>
      <c r="IAR2207" s="582" t="s">
        <v>1224</v>
      </c>
      <c r="IAS2207" s="582" t="s">
        <v>1224</v>
      </c>
      <c r="IAT2207" s="582" t="s">
        <v>1224</v>
      </c>
      <c r="IAU2207" s="582" t="s">
        <v>1224</v>
      </c>
      <c r="IAV2207" s="582" t="s">
        <v>1224</v>
      </c>
      <c r="IAW2207" s="582" t="s">
        <v>1224</v>
      </c>
      <c r="IAX2207" s="582" t="s">
        <v>1224</v>
      </c>
      <c r="IAY2207" s="582" t="s">
        <v>1224</v>
      </c>
      <c r="IAZ2207" s="582" t="s">
        <v>1224</v>
      </c>
      <c r="IBA2207" s="582" t="s">
        <v>1224</v>
      </c>
      <c r="IBB2207" s="582" t="s">
        <v>1224</v>
      </c>
      <c r="IBC2207" s="582" t="s">
        <v>1224</v>
      </c>
      <c r="IBD2207" s="582" t="s">
        <v>1224</v>
      </c>
      <c r="IBE2207" s="582" t="s">
        <v>1224</v>
      </c>
      <c r="IBF2207" s="582" t="s">
        <v>1224</v>
      </c>
      <c r="IBG2207" s="582" t="s">
        <v>1224</v>
      </c>
      <c r="IBH2207" s="582" t="s">
        <v>1224</v>
      </c>
      <c r="IBI2207" s="582" t="s">
        <v>1224</v>
      </c>
      <c r="IBJ2207" s="582" t="s">
        <v>1224</v>
      </c>
      <c r="IBK2207" s="582" t="s">
        <v>1224</v>
      </c>
      <c r="IBL2207" s="582" t="s">
        <v>1224</v>
      </c>
      <c r="IBM2207" s="582" t="s">
        <v>1224</v>
      </c>
      <c r="IBN2207" s="582" t="s">
        <v>1224</v>
      </c>
      <c r="IBO2207" s="582" t="s">
        <v>1224</v>
      </c>
      <c r="IBP2207" s="582" t="s">
        <v>1224</v>
      </c>
      <c r="IBQ2207" s="582" t="s">
        <v>1224</v>
      </c>
      <c r="IBR2207" s="582" t="s">
        <v>1224</v>
      </c>
      <c r="IBS2207" s="582" t="s">
        <v>1224</v>
      </c>
      <c r="IBT2207" s="582" t="s">
        <v>1224</v>
      </c>
      <c r="IBU2207" s="582" t="s">
        <v>1224</v>
      </c>
      <c r="IBV2207" s="582" t="s">
        <v>1224</v>
      </c>
      <c r="IBW2207" s="582" t="s">
        <v>1224</v>
      </c>
      <c r="IBX2207" s="582" t="s">
        <v>1224</v>
      </c>
      <c r="IBY2207" s="582" t="s">
        <v>1224</v>
      </c>
      <c r="IBZ2207" s="582" t="s">
        <v>1224</v>
      </c>
      <c r="ICA2207" s="582" t="s">
        <v>1224</v>
      </c>
      <c r="ICB2207" s="582" t="s">
        <v>1224</v>
      </c>
      <c r="ICC2207" s="582" t="s">
        <v>1224</v>
      </c>
      <c r="ICD2207" s="582" t="s">
        <v>1224</v>
      </c>
      <c r="ICE2207" s="582" t="s">
        <v>1224</v>
      </c>
      <c r="ICF2207" s="582" t="s">
        <v>1224</v>
      </c>
      <c r="ICG2207" s="582" t="s">
        <v>1224</v>
      </c>
      <c r="ICH2207" s="582" t="s">
        <v>1224</v>
      </c>
      <c r="ICI2207" s="582" t="s">
        <v>1224</v>
      </c>
      <c r="ICJ2207" s="582" t="s">
        <v>1224</v>
      </c>
      <c r="ICK2207" s="582" t="s">
        <v>1224</v>
      </c>
      <c r="ICL2207" s="582" t="s">
        <v>1224</v>
      </c>
      <c r="ICM2207" s="582" t="s">
        <v>1224</v>
      </c>
      <c r="ICN2207" s="582" t="s">
        <v>1224</v>
      </c>
      <c r="ICO2207" s="582" t="s">
        <v>1224</v>
      </c>
      <c r="ICP2207" s="582" t="s">
        <v>1224</v>
      </c>
      <c r="ICQ2207" s="582" t="s">
        <v>1224</v>
      </c>
      <c r="ICR2207" s="582" t="s">
        <v>1224</v>
      </c>
      <c r="ICS2207" s="582" t="s">
        <v>1224</v>
      </c>
      <c r="ICT2207" s="582" t="s">
        <v>1224</v>
      </c>
      <c r="ICU2207" s="582" t="s">
        <v>1224</v>
      </c>
      <c r="ICV2207" s="582" t="s">
        <v>1224</v>
      </c>
      <c r="ICW2207" s="582" t="s">
        <v>1224</v>
      </c>
      <c r="ICX2207" s="582" t="s">
        <v>1224</v>
      </c>
      <c r="ICY2207" s="582" t="s">
        <v>1224</v>
      </c>
      <c r="ICZ2207" s="582" t="s">
        <v>1224</v>
      </c>
      <c r="IDA2207" s="582" t="s">
        <v>1224</v>
      </c>
      <c r="IDB2207" s="582" t="s">
        <v>1224</v>
      </c>
      <c r="IDC2207" s="582" t="s">
        <v>1224</v>
      </c>
      <c r="IDD2207" s="582" t="s">
        <v>1224</v>
      </c>
      <c r="IDE2207" s="582" t="s">
        <v>1224</v>
      </c>
      <c r="IDF2207" s="582" t="s">
        <v>1224</v>
      </c>
      <c r="IDG2207" s="582" t="s">
        <v>1224</v>
      </c>
      <c r="IDH2207" s="582" t="s">
        <v>1224</v>
      </c>
      <c r="IDI2207" s="582" t="s">
        <v>1224</v>
      </c>
      <c r="IDJ2207" s="582" t="s">
        <v>1224</v>
      </c>
      <c r="IDK2207" s="582" t="s">
        <v>1224</v>
      </c>
      <c r="IDL2207" s="582" t="s">
        <v>1224</v>
      </c>
      <c r="IDM2207" s="582" t="s">
        <v>1224</v>
      </c>
      <c r="IDN2207" s="582" t="s">
        <v>1224</v>
      </c>
      <c r="IDO2207" s="582" t="s">
        <v>1224</v>
      </c>
      <c r="IDP2207" s="582" t="s">
        <v>1224</v>
      </c>
      <c r="IDQ2207" s="582" t="s">
        <v>1224</v>
      </c>
      <c r="IDR2207" s="582" t="s">
        <v>1224</v>
      </c>
      <c r="IDS2207" s="582" t="s">
        <v>1224</v>
      </c>
      <c r="IDT2207" s="582" t="s">
        <v>1224</v>
      </c>
      <c r="IDU2207" s="582" t="s">
        <v>1224</v>
      </c>
      <c r="IDV2207" s="582" t="s">
        <v>1224</v>
      </c>
      <c r="IDW2207" s="582" t="s">
        <v>1224</v>
      </c>
      <c r="IDX2207" s="582" t="s">
        <v>1224</v>
      </c>
      <c r="IDY2207" s="582" t="s">
        <v>1224</v>
      </c>
      <c r="IDZ2207" s="582" t="s">
        <v>1224</v>
      </c>
      <c r="IEA2207" s="582" t="s">
        <v>1224</v>
      </c>
      <c r="IEB2207" s="582" t="s">
        <v>1224</v>
      </c>
      <c r="IEC2207" s="582" t="s">
        <v>1224</v>
      </c>
      <c r="IED2207" s="582" t="s">
        <v>1224</v>
      </c>
      <c r="IEE2207" s="582" t="s">
        <v>1224</v>
      </c>
      <c r="IEF2207" s="582" t="s">
        <v>1224</v>
      </c>
      <c r="IEG2207" s="582" t="s">
        <v>1224</v>
      </c>
      <c r="IEH2207" s="582" t="s">
        <v>1224</v>
      </c>
      <c r="IEI2207" s="582" t="s">
        <v>1224</v>
      </c>
      <c r="IEJ2207" s="582" t="s">
        <v>1224</v>
      </c>
      <c r="IEK2207" s="582" t="s">
        <v>1224</v>
      </c>
      <c r="IEL2207" s="582" t="s">
        <v>1224</v>
      </c>
      <c r="IEM2207" s="582" t="s">
        <v>1224</v>
      </c>
      <c r="IEN2207" s="582" t="s">
        <v>1224</v>
      </c>
      <c r="IEO2207" s="582" t="s">
        <v>1224</v>
      </c>
      <c r="IEP2207" s="582" t="s">
        <v>1224</v>
      </c>
      <c r="IEQ2207" s="582" t="s">
        <v>1224</v>
      </c>
      <c r="IER2207" s="582" t="s">
        <v>1224</v>
      </c>
      <c r="IES2207" s="582" t="s">
        <v>1224</v>
      </c>
      <c r="IET2207" s="582" t="s">
        <v>1224</v>
      </c>
      <c r="IEU2207" s="582" t="s">
        <v>1224</v>
      </c>
      <c r="IEV2207" s="582" t="s">
        <v>1224</v>
      </c>
      <c r="IEW2207" s="582" t="s">
        <v>1224</v>
      </c>
      <c r="IEX2207" s="582" t="s">
        <v>1224</v>
      </c>
      <c r="IEY2207" s="582" t="s">
        <v>1224</v>
      </c>
      <c r="IEZ2207" s="582" t="s">
        <v>1224</v>
      </c>
      <c r="IFA2207" s="582" t="s">
        <v>1224</v>
      </c>
      <c r="IFB2207" s="582" t="s">
        <v>1224</v>
      </c>
      <c r="IFC2207" s="582" t="s">
        <v>1224</v>
      </c>
      <c r="IFD2207" s="582" t="s">
        <v>1224</v>
      </c>
      <c r="IFE2207" s="582" t="s">
        <v>1224</v>
      </c>
      <c r="IFF2207" s="582" t="s">
        <v>1224</v>
      </c>
      <c r="IFG2207" s="582" t="s">
        <v>1224</v>
      </c>
      <c r="IFH2207" s="582" t="s">
        <v>1224</v>
      </c>
      <c r="IFI2207" s="582" t="s">
        <v>1224</v>
      </c>
      <c r="IFJ2207" s="582" t="s">
        <v>1224</v>
      </c>
      <c r="IFK2207" s="582" t="s">
        <v>1224</v>
      </c>
      <c r="IFL2207" s="582" t="s">
        <v>1224</v>
      </c>
      <c r="IFM2207" s="582" t="s">
        <v>1224</v>
      </c>
      <c r="IFN2207" s="582" t="s">
        <v>1224</v>
      </c>
      <c r="IFO2207" s="582" t="s">
        <v>1224</v>
      </c>
      <c r="IFP2207" s="582" t="s">
        <v>1224</v>
      </c>
      <c r="IFQ2207" s="582" t="s">
        <v>1224</v>
      </c>
      <c r="IFR2207" s="582" t="s">
        <v>1224</v>
      </c>
      <c r="IFS2207" s="582" t="s">
        <v>1224</v>
      </c>
      <c r="IFT2207" s="582" t="s">
        <v>1224</v>
      </c>
      <c r="IFU2207" s="582" t="s">
        <v>1224</v>
      </c>
      <c r="IFV2207" s="582" t="s">
        <v>1224</v>
      </c>
      <c r="IFW2207" s="582" t="s">
        <v>1224</v>
      </c>
      <c r="IFX2207" s="582" t="s">
        <v>1224</v>
      </c>
      <c r="IFY2207" s="582" t="s">
        <v>1224</v>
      </c>
      <c r="IFZ2207" s="582" t="s">
        <v>1224</v>
      </c>
      <c r="IGA2207" s="582" t="s">
        <v>1224</v>
      </c>
      <c r="IGB2207" s="582" t="s">
        <v>1224</v>
      </c>
      <c r="IGC2207" s="582" t="s">
        <v>1224</v>
      </c>
      <c r="IGD2207" s="582" t="s">
        <v>1224</v>
      </c>
      <c r="IGE2207" s="582" t="s">
        <v>1224</v>
      </c>
      <c r="IGF2207" s="582" t="s">
        <v>1224</v>
      </c>
      <c r="IGG2207" s="582" t="s">
        <v>1224</v>
      </c>
      <c r="IGH2207" s="582" t="s">
        <v>1224</v>
      </c>
      <c r="IGI2207" s="582" t="s">
        <v>1224</v>
      </c>
      <c r="IGJ2207" s="582" t="s">
        <v>1224</v>
      </c>
      <c r="IGK2207" s="582" t="s">
        <v>1224</v>
      </c>
      <c r="IGL2207" s="582" t="s">
        <v>1224</v>
      </c>
      <c r="IGM2207" s="582" t="s">
        <v>1224</v>
      </c>
      <c r="IGN2207" s="582" t="s">
        <v>1224</v>
      </c>
      <c r="IGO2207" s="582" t="s">
        <v>1224</v>
      </c>
      <c r="IGP2207" s="582" t="s">
        <v>1224</v>
      </c>
      <c r="IGQ2207" s="582" t="s">
        <v>1224</v>
      </c>
      <c r="IGR2207" s="582" t="s">
        <v>1224</v>
      </c>
      <c r="IGS2207" s="582" t="s">
        <v>1224</v>
      </c>
      <c r="IGT2207" s="582" t="s">
        <v>1224</v>
      </c>
      <c r="IGU2207" s="582" t="s">
        <v>1224</v>
      </c>
      <c r="IGV2207" s="582" t="s">
        <v>1224</v>
      </c>
      <c r="IGW2207" s="582" t="s">
        <v>1224</v>
      </c>
      <c r="IGX2207" s="582" t="s">
        <v>1224</v>
      </c>
      <c r="IGY2207" s="582" t="s">
        <v>1224</v>
      </c>
      <c r="IGZ2207" s="582" t="s">
        <v>1224</v>
      </c>
      <c r="IHA2207" s="582" t="s">
        <v>1224</v>
      </c>
      <c r="IHB2207" s="582" t="s">
        <v>1224</v>
      </c>
      <c r="IHC2207" s="582" t="s">
        <v>1224</v>
      </c>
      <c r="IHD2207" s="582" t="s">
        <v>1224</v>
      </c>
      <c r="IHE2207" s="582" t="s">
        <v>1224</v>
      </c>
      <c r="IHF2207" s="582" t="s">
        <v>1224</v>
      </c>
      <c r="IHG2207" s="582" t="s">
        <v>1224</v>
      </c>
      <c r="IHH2207" s="582" t="s">
        <v>1224</v>
      </c>
      <c r="IHI2207" s="582" t="s">
        <v>1224</v>
      </c>
      <c r="IHJ2207" s="582" t="s">
        <v>1224</v>
      </c>
      <c r="IHK2207" s="582" t="s">
        <v>1224</v>
      </c>
      <c r="IHL2207" s="582" t="s">
        <v>1224</v>
      </c>
      <c r="IHM2207" s="582" t="s">
        <v>1224</v>
      </c>
      <c r="IHN2207" s="582" t="s">
        <v>1224</v>
      </c>
      <c r="IHO2207" s="582" t="s">
        <v>1224</v>
      </c>
      <c r="IHP2207" s="582" t="s">
        <v>1224</v>
      </c>
      <c r="IHQ2207" s="582" t="s">
        <v>1224</v>
      </c>
      <c r="IHR2207" s="582" t="s">
        <v>1224</v>
      </c>
      <c r="IHS2207" s="582" t="s">
        <v>1224</v>
      </c>
      <c r="IHT2207" s="582" t="s">
        <v>1224</v>
      </c>
      <c r="IHU2207" s="582" t="s">
        <v>1224</v>
      </c>
      <c r="IHV2207" s="582" t="s">
        <v>1224</v>
      </c>
      <c r="IHW2207" s="582" t="s">
        <v>1224</v>
      </c>
      <c r="IHX2207" s="582" t="s">
        <v>1224</v>
      </c>
      <c r="IHY2207" s="582" t="s">
        <v>1224</v>
      </c>
      <c r="IHZ2207" s="582" t="s">
        <v>1224</v>
      </c>
      <c r="IIA2207" s="582" t="s">
        <v>1224</v>
      </c>
      <c r="IIB2207" s="582" t="s">
        <v>1224</v>
      </c>
      <c r="IIC2207" s="582" t="s">
        <v>1224</v>
      </c>
      <c r="IID2207" s="582" t="s">
        <v>1224</v>
      </c>
      <c r="IIE2207" s="582" t="s">
        <v>1224</v>
      </c>
      <c r="IIF2207" s="582" t="s">
        <v>1224</v>
      </c>
      <c r="IIG2207" s="582" t="s">
        <v>1224</v>
      </c>
      <c r="IIH2207" s="582" t="s">
        <v>1224</v>
      </c>
      <c r="III2207" s="582" t="s">
        <v>1224</v>
      </c>
      <c r="IIJ2207" s="582" t="s">
        <v>1224</v>
      </c>
      <c r="IIK2207" s="582" t="s">
        <v>1224</v>
      </c>
      <c r="IIL2207" s="582" t="s">
        <v>1224</v>
      </c>
      <c r="IIM2207" s="582" t="s">
        <v>1224</v>
      </c>
      <c r="IIN2207" s="582" t="s">
        <v>1224</v>
      </c>
      <c r="IIO2207" s="582" t="s">
        <v>1224</v>
      </c>
      <c r="IIP2207" s="582" t="s">
        <v>1224</v>
      </c>
      <c r="IIQ2207" s="582" t="s">
        <v>1224</v>
      </c>
      <c r="IIR2207" s="582" t="s">
        <v>1224</v>
      </c>
      <c r="IIS2207" s="582" t="s">
        <v>1224</v>
      </c>
      <c r="IIT2207" s="582" t="s">
        <v>1224</v>
      </c>
      <c r="IIU2207" s="582" t="s">
        <v>1224</v>
      </c>
      <c r="IIV2207" s="582" t="s">
        <v>1224</v>
      </c>
      <c r="IIW2207" s="582" t="s">
        <v>1224</v>
      </c>
      <c r="IIX2207" s="582" t="s">
        <v>1224</v>
      </c>
      <c r="IIY2207" s="582" t="s">
        <v>1224</v>
      </c>
      <c r="IIZ2207" s="582" t="s">
        <v>1224</v>
      </c>
      <c r="IJA2207" s="582" t="s">
        <v>1224</v>
      </c>
      <c r="IJB2207" s="582" t="s">
        <v>1224</v>
      </c>
      <c r="IJC2207" s="582" t="s">
        <v>1224</v>
      </c>
      <c r="IJD2207" s="582" t="s">
        <v>1224</v>
      </c>
      <c r="IJE2207" s="582" t="s">
        <v>1224</v>
      </c>
      <c r="IJF2207" s="582" t="s">
        <v>1224</v>
      </c>
      <c r="IJG2207" s="582" t="s">
        <v>1224</v>
      </c>
      <c r="IJH2207" s="582" t="s">
        <v>1224</v>
      </c>
      <c r="IJI2207" s="582" t="s">
        <v>1224</v>
      </c>
      <c r="IJJ2207" s="582" t="s">
        <v>1224</v>
      </c>
      <c r="IJK2207" s="582" t="s">
        <v>1224</v>
      </c>
      <c r="IJL2207" s="582" t="s">
        <v>1224</v>
      </c>
      <c r="IJM2207" s="582" t="s">
        <v>1224</v>
      </c>
      <c r="IJN2207" s="582" t="s">
        <v>1224</v>
      </c>
      <c r="IJO2207" s="582" t="s">
        <v>1224</v>
      </c>
      <c r="IJP2207" s="582" t="s">
        <v>1224</v>
      </c>
      <c r="IJQ2207" s="582" t="s">
        <v>1224</v>
      </c>
      <c r="IJR2207" s="582" t="s">
        <v>1224</v>
      </c>
      <c r="IJS2207" s="582" t="s">
        <v>1224</v>
      </c>
      <c r="IJT2207" s="582" t="s">
        <v>1224</v>
      </c>
      <c r="IJU2207" s="582" t="s">
        <v>1224</v>
      </c>
      <c r="IJV2207" s="582" t="s">
        <v>1224</v>
      </c>
      <c r="IJW2207" s="582" t="s">
        <v>1224</v>
      </c>
      <c r="IJX2207" s="582" t="s">
        <v>1224</v>
      </c>
      <c r="IJY2207" s="582" t="s">
        <v>1224</v>
      </c>
      <c r="IJZ2207" s="582" t="s">
        <v>1224</v>
      </c>
      <c r="IKA2207" s="582" t="s">
        <v>1224</v>
      </c>
      <c r="IKB2207" s="582" t="s">
        <v>1224</v>
      </c>
      <c r="IKC2207" s="582" t="s">
        <v>1224</v>
      </c>
      <c r="IKD2207" s="582" t="s">
        <v>1224</v>
      </c>
      <c r="IKE2207" s="582" t="s">
        <v>1224</v>
      </c>
      <c r="IKF2207" s="582" t="s">
        <v>1224</v>
      </c>
      <c r="IKG2207" s="582" t="s">
        <v>1224</v>
      </c>
      <c r="IKH2207" s="582" t="s">
        <v>1224</v>
      </c>
      <c r="IKI2207" s="582" t="s">
        <v>1224</v>
      </c>
      <c r="IKJ2207" s="582" t="s">
        <v>1224</v>
      </c>
      <c r="IKK2207" s="582" t="s">
        <v>1224</v>
      </c>
      <c r="IKL2207" s="582" t="s">
        <v>1224</v>
      </c>
      <c r="IKM2207" s="582" t="s">
        <v>1224</v>
      </c>
      <c r="IKN2207" s="582" t="s">
        <v>1224</v>
      </c>
      <c r="IKO2207" s="582" t="s">
        <v>1224</v>
      </c>
      <c r="IKP2207" s="582" t="s">
        <v>1224</v>
      </c>
      <c r="IKQ2207" s="582" t="s">
        <v>1224</v>
      </c>
      <c r="IKR2207" s="582" t="s">
        <v>1224</v>
      </c>
      <c r="IKS2207" s="582" t="s">
        <v>1224</v>
      </c>
      <c r="IKT2207" s="582" t="s">
        <v>1224</v>
      </c>
      <c r="IKU2207" s="582" t="s">
        <v>1224</v>
      </c>
      <c r="IKV2207" s="582" t="s">
        <v>1224</v>
      </c>
      <c r="IKW2207" s="582" t="s">
        <v>1224</v>
      </c>
      <c r="IKX2207" s="582" t="s">
        <v>1224</v>
      </c>
      <c r="IKY2207" s="582" t="s">
        <v>1224</v>
      </c>
      <c r="IKZ2207" s="582" t="s">
        <v>1224</v>
      </c>
      <c r="ILA2207" s="582" t="s">
        <v>1224</v>
      </c>
      <c r="ILB2207" s="582" t="s">
        <v>1224</v>
      </c>
      <c r="ILC2207" s="582" t="s">
        <v>1224</v>
      </c>
      <c r="ILD2207" s="582" t="s">
        <v>1224</v>
      </c>
      <c r="ILE2207" s="582" t="s">
        <v>1224</v>
      </c>
      <c r="ILF2207" s="582" t="s">
        <v>1224</v>
      </c>
      <c r="ILG2207" s="582" t="s">
        <v>1224</v>
      </c>
      <c r="ILH2207" s="582" t="s">
        <v>1224</v>
      </c>
      <c r="ILI2207" s="582" t="s">
        <v>1224</v>
      </c>
      <c r="ILJ2207" s="582" t="s">
        <v>1224</v>
      </c>
      <c r="ILK2207" s="582" t="s">
        <v>1224</v>
      </c>
      <c r="ILL2207" s="582" t="s">
        <v>1224</v>
      </c>
      <c r="ILM2207" s="582" t="s">
        <v>1224</v>
      </c>
      <c r="ILN2207" s="582" t="s">
        <v>1224</v>
      </c>
      <c r="ILO2207" s="582" t="s">
        <v>1224</v>
      </c>
      <c r="ILP2207" s="582" t="s">
        <v>1224</v>
      </c>
      <c r="ILQ2207" s="582" t="s">
        <v>1224</v>
      </c>
      <c r="ILR2207" s="582" t="s">
        <v>1224</v>
      </c>
      <c r="ILS2207" s="582" t="s">
        <v>1224</v>
      </c>
      <c r="ILT2207" s="582" t="s">
        <v>1224</v>
      </c>
      <c r="ILU2207" s="582" t="s">
        <v>1224</v>
      </c>
      <c r="ILV2207" s="582" t="s">
        <v>1224</v>
      </c>
      <c r="ILW2207" s="582" t="s">
        <v>1224</v>
      </c>
      <c r="ILX2207" s="582" t="s">
        <v>1224</v>
      </c>
      <c r="ILY2207" s="582" t="s">
        <v>1224</v>
      </c>
      <c r="ILZ2207" s="582" t="s">
        <v>1224</v>
      </c>
      <c r="IMA2207" s="582" t="s">
        <v>1224</v>
      </c>
      <c r="IMB2207" s="582" t="s">
        <v>1224</v>
      </c>
      <c r="IMC2207" s="582" t="s">
        <v>1224</v>
      </c>
      <c r="IMD2207" s="582" t="s">
        <v>1224</v>
      </c>
      <c r="IME2207" s="582" t="s">
        <v>1224</v>
      </c>
      <c r="IMF2207" s="582" t="s">
        <v>1224</v>
      </c>
      <c r="IMG2207" s="582" t="s">
        <v>1224</v>
      </c>
      <c r="IMH2207" s="582" t="s">
        <v>1224</v>
      </c>
      <c r="IMI2207" s="582" t="s">
        <v>1224</v>
      </c>
      <c r="IMJ2207" s="582" t="s">
        <v>1224</v>
      </c>
      <c r="IMK2207" s="582" t="s">
        <v>1224</v>
      </c>
      <c r="IML2207" s="582" t="s">
        <v>1224</v>
      </c>
      <c r="IMM2207" s="582" t="s">
        <v>1224</v>
      </c>
      <c r="IMN2207" s="582" t="s">
        <v>1224</v>
      </c>
      <c r="IMO2207" s="582" t="s">
        <v>1224</v>
      </c>
      <c r="IMP2207" s="582" t="s">
        <v>1224</v>
      </c>
      <c r="IMQ2207" s="582" t="s">
        <v>1224</v>
      </c>
      <c r="IMR2207" s="582" t="s">
        <v>1224</v>
      </c>
      <c r="IMS2207" s="582" t="s">
        <v>1224</v>
      </c>
      <c r="IMT2207" s="582" t="s">
        <v>1224</v>
      </c>
      <c r="IMU2207" s="582" t="s">
        <v>1224</v>
      </c>
      <c r="IMV2207" s="582" t="s">
        <v>1224</v>
      </c>
      <c r="IMW2207" s="582" t="s">
        <v>1224</v>
      </c>
      <c r="IMX2207" s="582" t="s">
        <v>1224</v>
      </c>
      <c r="IMY2207" s="582" t="s">
        <v>1224</v>
      </c>
      <c r="IMZ2207" s="582" t="s">
        <v>1224</v>
      </c>
      <c r="INA2207" s="582" t="s">
        <v>1224</v>
      </c>
      <c r="INB2207" s="582" t="s">
        <v>1224</v>
      </c>
      <c r="INC2207" s="582" t="s">
        <v>1224</v>
      </c>
      <c r="IND2207" s="582" t="s">
        <v>1224</v>
      </c>
      <c r="INE2207" s="582" t="s">
        <v>1224</v>
      </c>
      <c r="INF2207" s="582" t="s">
        <v>1224</v>
      </c>
      <c r="ING2207" s="582" t="s">
        <v>1224</v>
      </c>
      <c r="INH2207" s="582" t="s">
        <v>1224</v>
      </c>
      <c r="INI2207" s="582" t="s">
        <v>1224</v>
      </c>
      <c r="INJ2207" s="582" t="s">
        <v>1224</v>
      </c>
      <c r="INK2207" s="582" t="s">
        <v>1224</v>
      </c>
      <c r="INL2207" s="582" t="s">
        <v>1224</v>
      </c>
      <c r="INM2207" s="582" t="s">
        <v>1224</v>
      </c>
      <c r="INN2207" s="582" t="s">
        <v>1224</v>
      </c>
      <c r="INO2207" s="582" t="s">
        <v>1224</v>
      </c>
      <c r="INP2207" s="582" t="s">
        <v>1224</v>
      </c>
      <c r="INQ2207" s="582" t="s">
        <v>1224</v>
      </c>
      <c r="INR2207" s="582" t="s">
        <v>1224</v>
      </c>
      <c r="INS2207" s="582" t="s">
        <v>1224</v>
      </c>
      <c r="INT2207" s="582" t="s">
        <v>1224</v>
      </c>
      <c r="INU2207" s="582" t="s">
        <v>1224</v>
      </c>
      <c r="INV2207" s="582" t="s">
        <v>1224</v>
      </c>
      <c r="INW2207" s="582" t="s">
        <v>1224</v>
      </c>
      <c r="INX2207" s="582" t="s">
        <v>1224</v>
      </c>
      <c r="INY2207" s="582" t="s">
        <v>1224</v>
      </c>
      <c r="INZ2207" s="582" t="s">
        <v>1224</v>
      </c>
      <c r="IOA2207" s="582" t="s">
        <v>1224</v>
      </c>
      <c r="IOB2207" s="582" t="s">
        <v>1224</v>
      </c>
      <c r="IOC2207" s="582" t="s">
        <v>1224</v>
      </c>
      <c r="IOD2207" s="582" t="s">
        <v>1224</v>
      </c>
      <c r="IOE2207" s="582" t="s">
        <v>1224</v>
      </c>
      <c r="IOF2207" s="582" t="s">
        <v>1224</v>
      </c>
      <c r="IOG2207" s="582" t="s">
        <v>1224</v>
      </c>
      <c r="IOH2207" s="582" t="s">
        <v>1224</v>
      </c>
      <c r="IOI2207" s="582" t="s">
        <v>1224</v>
      </c>
      <c r="IOJ2207" s="582" t="s">
        <v>1224</v>
      </c>
      <c r="IOK2207" s="582" t="s">
        <v>1224</v>
      </c>
      <c r="IOL2207" s="582" t="s">
        <v>1224</v>
      </c>
      <c r="IOM2207" s="582" t="s">
        <v>1224</v>
      </c>
      <c r="ION2207" s="582" t="s">
        <v>1224</v>
      </c>
      <c r="IOO2207" s="582" t="s">
        <v>1224</v>
      </c>
      <c r="IOP2207" s="582" t="s">
        <v>1224</v>
      </c>
      <c r="IOQ2207" s="582" t="s">
        <v>1224</v>
      </c>
      <c r="IOR2207" s="582" t="s">
        <v>1224</v>
      </c>
      <c r="IOS2207" s="582" t="s">
        <v>1224</v>
      </c>
      <c r="IOT2207" s="582" t="s">
        <v>1224</v>
      </c>
      <c r="IOU2207" s="582" t="s">
        <v>1224</v>
      </c>
      <c r="IOV2207" s="582" t="s">
        <v>1224</v>
      </c>
      <c r="IOW2207" s="582" t="s">
        <v>1224</v>
      </c>
      <c r="IOX2207" s="582" t="s">
        <v>1224</v>
      </c>
      <c r="IOY2207" s="582" t="s">
        <v>1224</v>
      </c>
      <c r="IOZ2207" s="582" t="s">
        <v>1224</v>
      </c>
      <c r="IPA2207" s="582" t="s">
        <v>1224</v>
      </c>
      <c r="IPB2207" s="582" t="s">
        <v>1224</v>
      </c>
      <c r="IPC2207" s="582" t="s">
        <v>1224</v>
      </c>
      <c r="IPD2207" s="582" t="s">
        <v>1224</v>
      </c>
      <c r="IPE2207" s="582" t="s">
        <v>1224</v>
      </c>
      <c r="IPF2207" s="582" t="s">
        <v>1224</v>
      </c>
      <c r="IPG2207" s="582" t="s">
        <v>1224</v>
      </c>
      <c r="IPH2207" s="582" t="s">
        <v>1224</v>
      </c>
      <c r="IPI2207" s="582" t="s">
        <v>1224</v>
      </c>
      <c r="IPJ2207" s="582" t="s">
        <v>1224</v>
      </c>
      <c r="IPK2207" s="582" t="s">
        <v>1224</v>
      </c>
      <c r="IPL2207" s="582" t="s">
        <v>1224</v>
      </c>
      <c r="IPM2207" s="582" t="s">
        <v>1224</v>
      </c>
      <c r="IPN2207" s="582" t="s">
        <v>1224</v>
      </c>
      <c r="IPO2207" s="582" t="s">
        <v>1224</v>
      </c>
      <c r="IPP2207" s="582" t="s">
        <v>1224</v>
      </c>
      <c r="IPQ2207" s="582" t="s">
        <v>1224</v>
      </c>
      <c r="IPR2207" s="582" t="s">
        <v>1224</v>
      </c>
      <c r="IPS2207" s="582" t="s">
        <v>1224</v>
      </c>
      <c r="IPT2207" s="582" t="s">
        <v>1224</v>
      </c>
      <c r="IPU2207" s="582" t="s">
        <v>1224</v>
      </c>
      <c r="IPV2207" s="582" t="s">
        <v>1224</v>
      </c>
      <c r="IPW2207" s="582" t="s">
        <v>1224</v>
      </c>
      <c r="IPX2207" s="582" t="s">
        <v>1224</v>
      </c>
      <c r="IPY2207" s="582" t="s">
        <v>1224</v>
      </c>
      <c r="IPZ2207" s="582" t="s">
        <v>1224</v>
      </c>
      <c r="IQA2207" s="582" t="s">
        <v>1224</v>
      </c>
      <c r="IQB2207" s="582" t="s">
        <v>1224</v>
      </c>
      <c r="IQC2207" s="582" t="s">
        <v>1224</v>
      </c>
      <c r="IQD2207" s="582" t="s">
        <v>1224</v>
      </c>
      <c r="IQE2207" s="582" t="s">
        <v>1224</v>
      </c>
      <c r="IQF2207" s="582" t="s">
        <v>1224</v>
      </c>
      <c r="IQG2207" s="582" t="s">
        <v>1224</v>
      </c>
      <c r="IQH2207" s="582" t="s">
        <v>1224</v>
      </c>
      <c r="IQI2207" s="582" t="s">
        <v>1224</v>
      </c>
      <c r="IQJ2207" s="582" t="s">
        <v>1224</v>
      </c>
      <c r="IQK2207" s="582" t="s">
        <v>1224</v>
      </c>
      <c r="IQL2207" s="582" t="s">
        <v>1224</v>
      </c>
      <c r="IQM2207" s="582" t="s">
        <v>1224</v>
      </c>
      <c r="IQN2207" s="582" t="s">
        <v>1224</v>
      </c>
      <c r="IQO2207" s="582" t="s">
        <v>1224</v>
      </c>
      <c r="IQP2207" s="582" t="s">
        <v>1224</v>
      </c>
      <c r="IQQ2207" s="582" t="s">
        <v>1224</v>
      </c>
      <c r="IQR2207" s="582" t="s">
        <v>1224</v>
      </c>
      <c r="IQS2207" s="582" t="s">
        <v>1224</v>
      </c>
      <c r="IQT2207" s="582" t="s">
        <v>1224</v>
      </c>
      <c r="IQU2207" s="582" t="s">
        <v>1224</v>
      </c>
      <c r="IQV2207" s="582" t="s">
        <v>1224</v>
      </c>
      <c r="IQW2207" s="582" t="s">
        <v>1224</v>
      </c>
      <c r="IQX2207" s="582" t="s">
        <v>1224</v>
      </c>
      <c r="IQY2207" s="582" t="s">
        <v>1224</v>
      </c>
      <c r="IQZ2207" s="582" t="s">
        <v>1224</v>
      </c>
      <c r="IRA2207" s="582" t="s">
        <v>1224</v>
      </c>
      <c r="IRB2207" s="582" t="s">
        <v>1224</v>
      </c>
      <c r="IRC2207" s="582" t="s">
        <v>1224</v>
      </c>
      <c r="IRD2207" s="582" t="s">
        <v>1224</v>
      </c>
      <c r="IRE2207" s="582" t="s">
        <v>1224</v>
      </c>
      <c r="IRF2207" s="582" t="s">
        <v>1224</v>
      </c>
      <c r="IRG2207" s="582" t="s">
        <v>1224</v>
      </c>
      <c r="IRH2207" s="582" t="s">
        <v>1224</v>
      </c>
      <c r="IRI2207" s="582" t="s">
        <v>1224</v>
      </c>
      <c r="IRJ2207" s="582" t="s">
        <v>1224</v>
      </c>
      <c r="IRK2207" s="582" t="s">
        <v>1224</v>
      </c>
      <c r="IRL2207" s="582" t="s">
        <v>1224</v>
      </c>
      <c r="IRM2207" s="582" t="s">
        <v>1224</v>
      </c>
      <c r="IRN2207" s="582" t="s">
        <v>1224</v>
      </c>
      <c r="IRO2207" s="582" t="s">
        <v>1224</v>
      </c>
      <c r="IRP2207" s="582" t="s">
        <v>1224</v>
      </c>
      <c r="IRQ2207" s="582" t="s">
        <v>1224</v>
      </c>
      <c r="IRR2207" s="582" t="s">
        <v>1224</v>
      </c>
      <c r="IRS2207" s="582" t="s">
        <v>1224</v>
      </c>
      <c r="IRT2207" s="582" t="s">
        <v>1224</v>
      </c>
      <c r="IRU2207" s="582" t="s">
        <v>1224</v>
      </c>
      <c r="IRV2207" s="582" t="s">
        <v>1224</v>
      </c>
      <c r="IRW2207" s="582" t="s">
        <v>1224</v>
      </c>
      <c r="IRX2207" s="582" t="s">
        <v>1224</v>
      </c>
      <c r="IRY2207" s="582" t="s">
        <v>1224</v>
      </c>
      <c r="IRZ2207" s="582" t="s">
        <v>1224</v>
      </c>
      <c r="ISA2207" s="582" t="s">
        <v>1224</v>
      </c>
      <c r="ISB2207" s="582" t="s">
        <v>1224</v>
      </c>
      <c r="ISC2207" s="582" t="s">
        <v>1224</v>
      </c>
      <c r="ISD2207" s="582" t="s">
        <v>1224</v>
      </c>
      <c r="ISE2207" s="582" t="s">
        <v>1224</v>
      </c>
      <c r="ISF2207" s="582" t="s">
        <v>1224</v>
      </c>
      <c r="ISG2207" s="582" t="s">
        <v>1224</v>
      </c>
      <c r="ISH2207" s="582" t="s">
        <v>1224</v>
      </c>
      <c r="ISI2207" s="582" t="s">
        <v>1224</v>
      </c>
      <c r="ISJ2207" s="582" t="s">
        <v>1224</v>
      </c>
      <c r="ISK2207" s="582" t="s">
        <v>1224</v>
      </c>
      <c r="ISL2207" s="582" t="s">
        <v>1224</v>
      </c>
      <c r="ISM2207" s="582" t="s">
        <v>1224</v>
      </c>
      <c r="ISN2207" s="582" t="s">
        <v>1224</v>
      </c>
      <c r="ISO2207" s="582" t="s">
        <v>1224</v>
      </c>
      <c r="ISP2207" s="582" t="s">
        <v>1224</v>
      </c>
      <c r="ISQ2207" s="582" t="s">
        <v>1224</v>
      </c>
      <c r="ISR2207" s="582" t="s">
        <v>1224</v>
      </c>
      <c r="ISS2207" s="582" t="s">
        <v>1224</v>
      </c>
      <c r="IST2207" s="582" t="s">
        <v>1224</v>
      </c>
      <c r="ISU2207" s="582" t="s">
        <v>1224</v>
      </c>
      <c r="ISV2207" s="582" t="s">
        <v>1224</v>
      </c>
      <c r="ISW2207" s="582" t="s">
        <v>1224</v>
      </c>
      <c r="ISX2207" s="582" t="s">
        <v>1224</v>
      </c>
      <c r="ISY2207" s="582" t="s">
        <v>1224</v>
      </c>
      <c r="ISZ2207" s="582" t="s">
        <v>1224</v>
      </c>
      <c r="ITA2207" s="582" t="s">
        <v>1224</v>
      </c>
      <c r="ITB2207" s="582" t="s">
        <v>1224</v>
      </c>
      <c r="ITC2207" s="582" t="s">
        <v>1224</v>
      </c>
      <c r="ITD2207" s="582" t="s">
        <v>1224</v>
      </c>
      <c r="ITE2207" s="582" t="s">
        <v>1224</v>
      </c>
      <c r="ITF2207" s="582" t="s">
        <v>1224</v>
      </c>
      <c r="ITG2207" s="582" t="s">
        <v>1224</v>
      </c>
      <c r="ITH2207" s="582" t="s">
        <v>1224</v>
      </c>
      <c r="ITI2207" s="582" t="s">
        <v>1224</v>
      </c>
      <c r="ITJ2207" s="582" t="s">
        <v>1224</v>
      </c>
      <c r="ITK2207" s="582" t="s">
        <v>1224</v>
      </c>
      <c r="ITL2207" s="582" t="s">
        <v>1224</v>
      </c>
      <c r="ITM2207" s="582" t="s">
        <v>1224</v>
      </c>
      <c r="ITN2207" s="582" t="s">
        <v>1224</v>
      </c>
      <c r="ITO2207" s="582" t="s">
        <v>1224</v>
      </c>
      <c r="ITP2207" s="582" t="s">
        <v>1224</v>
      </c>
      <c r="ITQ2207" s="582" t="s">
        <v>1224</v>
      </c>
      <c r="ITR2207" s="582" t="s">
        <v>1224</v>
      </c>
      <c r="ITS2207" s="582" t="s">
        <v>1224</v>
      </c>
      <c r="ITT2207" s="582" t="s">
        <v>1224</v>
      </c>
      <c r="ITU2207" s="582" t="s">
        <v>1224</v>
      </c>
      <c r="ITV2207" s="582" t="s">
        <v>1224</v>
      </c>
      <c r="ITW2207" s="582" t="s">
        <v>1224</v>
      </c>
      <c r="ITX2207" s="582" t="s">
        <v>1224</v>
      </c>
      <c r="ITY2207" s="582" t="s">
        <v>1224</v>
      </c>
      <c r="ITZ2207" s="582" t="s">
        <v>1224</v>
      </c>
      <c r="IUA2207" s="582" t="s">
        <v>1224</v>
      </c>
      <c r="IUB2207" s="582" t="s">
        <v>1224</v>
      </c>
      <c r="IUC2207" s="582" t="s">
        <v>1224</v>
      </c>
      <c r="IUD2207" s="582" t="s">
        <v>1224</v>
      </c>
      <c r="IUE2207" s="582" t="s">
        <v>1224</v>
      </c>
      <c r="IUF2207" s="582" t="s">
        <v>1224</v>
      </c>
      <c r="IUG2207" s="582" t="s">
        <v>1224</v>
      </c>
      <c r="IUH2207" s="582" t="s">
        <v>1224</v>
      </c>
      <c r="IUI2207" s="582" t="s">
        <v>1224</v>
      </c>
      <c r="IUJ2207" s="582" t="s">
        <v>1224</v>
      </c>
      <c r="IUK2207" s="582" t="s">
        <v>1224</v>
      </c>
      <c r="IUL2207" s="582" t="s">
        <v>1224</v>
      </c>
      <c r="IUM2207" s="582" t="s">
        <v>1224</v>
      </c>
      <c r="IUN2207" s="582" t="s">
        <v>1224</v>
      </c>
      <c r="IUO2207" s="582" t="s">
        <v>1224</v>
      </c>
      <c r="IUP2207" s="582" t="s">
        <v>1224</v>
      </c>
      <c r="IUQ2207" s="582" t="s">
        <v>1224</v>
      </c>
      <c r="IUR2207" s="582" t="s">
        <v>1224</v>
      </c>
      <c r="IUS2207" s="582" t="s">
        <v>1224</v>
      </c>
      <c r="IUT2207" s="582" t="s">
        <v>1224</v>
      </c>
      <c r="IUU2207" s="582" t="s">
        <v>1224</v>
      </c>
      <c r="IUV2207" s="582" t="s">
        <v>1224</v>
      </c>
      <c r="IUW2207" s="582" t="s">
        <v>1224</v>
      </c>
      <c r="IUX2207" s="582" t="s">
        <v>1224</v>
      </c>
      <c r="IUY2207" s="582" t="s">
        <v>1224</v>
      </c>
      <c r="IUZ2207" s="582" t="s">
        <v>1224</v>
      </c>
      <c r="IVA2207" s="582" t="s">
        <v>1224</v>
      </c>
      <c r="IVB2207" s="582" t="s">
        <v>1224</v>
      </c>
      <c r="IVC2207" s="582" t="s">
        <v>1224</v>
      </c>
      <c r="IVD2207" s="582" t="s">
        <v>1224</v>
      </c>
      <c r="IVE2207" s="582" t="s">
        <v>1224</v>
      </c>
      <c r="IVF2207" s="582" t="s">
        <v>1224</v>
      </c>
      <c r="IVG2207" s="582" t="s">
        <v>1224</v>
      </c>
      <c r="IVH2207" s="582" t="s">
        <v>1224</v>
      </c>
      <c r="IVI2207" s="582" t="s">
        <v>1224</v>
      </c>
      <c r="IVJ2207" s="582" t="s">
        <v>1224</v>
      </c>
      <c r="IVK2207" s="582" t="s">
        <v>1224</v>
      </c>
      <c r="IVL2207" s="582" t="s">
        <v>1224</v>
      </c>
      <c r="IVM2207" s="582" t="s">
        <v>1224</v>
      </c>
      <c r="IVN2207" s="582" t="s">
        <v>1224</v>
      </c>
      <c r="IVO2207" s="582" t="s">
        <v>1224</v>
      </c>
      <c r="IVP2207" s="582" t="s">
        <v>1224</v>
      </c>
      <c r="IVQ2207" s="582" t="s">
        <v>1224</v>
      </c>
      <c r="IVR2207" s="582" t="s">
        <v>1224</v>
      </c>
      <c r="IVS2207" s="582" t="s">
        <v>1224</v>
      </c>
      <c r="IVT2207" s="582" t="s">
        <v>1224</v>
      </c>
      <c r="IVU2207" s="582" t="s">
        <v>1224</v>
      </c>
      <c r="IVV2207" s="582" t="s">
        <v>1224</v>
      </c>
      <c r="IVW2207" s="582" t="s">
        <v>1224</v>
      </c>
      <c r="IVX2207" s="582" t="s">
        <v>1224</v>
      </c>
      <c r="IVY2207" s="582" t="s">
        <v>1224</v>
      </c>
      <c r="IVZ2207" s="582" t="s">
        <v>1224</v>
      </c>
      <c r="IWA2207" s="582" t="s">
        <v>1224</v>
      </c>
      <c r="IWB2207" s="582" t="s">
        <v>1224</v>
      </c>
      <c r="IWC2207" s="582" t="s">
        <v>1224</v>
      </c>
      <c r="IWD2207" s="582" t="s">
        <v>1224</v>
      </c>
      <c r="IWE2207" s="582" t="s">
        <v>1224</v>
      </c>
      <c r="IWF2207" s="582" t="s">
        <v>1224</v>
      </c>
      <c r="IWG2207" s="582" t="s">
        <v>1224</v>
      </c>
      <c r="IWH2207" s="582" t="s">
        <v>1224</v>
      </c>
      <c r="IWI2207" s="582" t="s">
        <v>1224</v>
      </c>
      <c r="IWJ2207" s="582" t="s">
        <v>1224</v>
      </c>
      <c r="IWK2207" s="582" t="s">
        <v>1224</v>
      </c>
      <c r="IWL2207" s="582" t="s">
        <v>1224</v>
      </c>
      <c r="IWM2207" s="582" t="s">
        <v>1224</v>
      </c>
      <c r="IWN2207" s="582" t="s">
        <v>1224</v>
      </c>
      <c r="IWO2207" s="582" t="s">
        <v>1224</v>
      </c>
      <c r="IWP2207" s="582" t="s">
        <v>1224</v>
      </c>
      <c r="IWQ2207" s="582" t="s">
        <v>1224</v>
      </c>
      <c r="IWR2207" s="582" t="s">
        <v>1224</v>
      </c>
      <c r="IWS2207" s="582" t="s">
        <v>1224</v>
      </c>
      <c r="IWT2207" s="582" t="s">
        <v>1224</v>
      </c>
      <c r="IWU2207" s="582" t="s">
        <v>1224</v>
      </c>
      <c r="IWV2207" s="582" t="s">
        <v>1224</v>
      </c>
      <c r="IWW2207" s="582" t="s">
        <v>1224</v>
      </c>
      <c r="IWX2207" s="582" t="s">
        <v>1224</v>
      </c>
      <c r="IWY2207" s="582" t="s">
        <v>1224</v>
      </c>
      <c r="IWZ2207" s="582" t="s">
        <v>1224</v>
      </c>
      <c r="IXA2207" s="582" t="s">
        <v>1224</v>
      </c>
      <c r="IXB2207" s="582" t="s">
        <v>1224</v>
      </c>
      <c r="IXC2207" s="582" t="s">
        <v>1224</v>
      </c>
      <c r="IXD2207" s="582" t="s">
        <v>1224</v>
      </c>
      <c r="IXE2207" s="582" t="s">
        <v>1224</v>
      </c>
      <c r="IXF2207" s="582" t="s">
        <v>1224</v>
      </c>
      <c r="IXG2207" s="582" t="s">
        <v>1224</v>
      </c>
      <c r="IXH2207" s="582" t="s">
        <v>1224</v>
      </c>
      <c r="IXI2207" s="582" t="s">
        <v>1224</v>
      </c>
      <c r="IXJ2207" s="582" t="s">
        <v>1224</v>
      </c>
      <c r="IXK2207" s="582" t="s">
        <v>1224</v>
      </c>
      <c r="IXL2207" s="582" t="s">
        <v>1224</v>
      </c>
      <c r="IXM2207" s="582" t="s">
        <v>1224</v>
      </c>
      <c r="IXN2207" s="582" t="s">
        <v>1224</v>
      </c>
      <c r="IXO2207" s="582" t="s">
        <v>1224</v>
      </c>
      <c r="IXP2207" s="582" t="s">
        <v>1224</v>
      </c>
      <c r="IXQ2207" s="582" t="s">
        <v>1224</v>
      </c>
      <c r="IXR2207" s="582" t="s">
        <v>1224</v>
      </c>
      <c r="IXS2207" s="582" t="s">
        <v>1224</v>
      </c>
      <c r="IXT2207" s="582" t="s">
        <v>1224</v>
      </c>
      <c r="IXU2207" s="582" t="s">
        <v>1224</v>
      </c>
      <c r="IXV2207" s="582" t="s">
        <v>1224</v>
      </c>
      <c r="IXW2207" s="582" t="s">
        <v>1224</v>
      </c>
      <c r="IXX2207" s="582" t="s">
        <v>1224</v>
      </c>
      <c r="IXY2207" s="582" t="s">
        <v>1224</v>
      </c>
      <c r="IXZ2207" s="582" t="s">
        <v>1224</v>
      </c>
      <c r="IYA2207" s="582" t="s">
        <v>1224</v>
      </c>
      <c r="IYB2207" s="582" t="s">
        <v>1224</v>
      </c>
      <c r="IYC2207" s="582" t="s">
        <v>1224</v>
      </c>
      <c r="IYD2207" s="582" t="s">
        <v>1224</v>
      </c>
      <c r="IYE2207" s="582" t="s">
        <v>1224</v>
      </c>
      <c r="IYF2207" s="582" t="s">
        <v>1224</v>
      </c>
      <c r="IYG2207" s="582" t="s">
        <v>1224</v>
      </c>
      <c r="IYH2207" s="582" t="s">
        <v>1224</v>
      </c>
      <c r="IYI2207" s="582" t="s">
        <v>1224</v>
      </c>
      <c r="IYJ2207" s="582" t="s">
        <v>1224</v>
      </c>
      <c r="IYK2207" s="582" t="s">
        <v>1224</v>
      </c>
      <c r="IYL2207" s="582" t="s">
        <v>1224</v>
      </c>
      <c r="IYM2207" s="582" t="s">
        <v>1224</v>
      </c>
      <c r="IYN2207" s="582" t="s">
        <v>1224</v>
      </c>
      <c r="IYO2207" s="582" t="s">
        <v>1224</v>
      </c>
      <c r="IYP2207" s="582" t="s">
        <v>1224</v>
      </c>
      <c r="IYQ2207" s="582" t="s">
        <v>1224</v>
      </c>
      <c r="IYR2207" s="582" t="s">
        <v>1224</v>
      </c>
      <c r="IYS2207" s="582" t="s">
        <v>1224</v>
      </c>
      <c r="IYT2207" s="582" t="s">
        <v>1224</v>
      </c>
      <c r="IYU2207" s="582" t="s">
        <v>1224</v>
      </c>
      <c r="IYV2207" s="582" t="s">
        <v>1224</v>
      </c>
      <c r="IYW2207" s="582" t="s">
        <v>1224</v>
      </c>
      <c r="IYX2207" s="582" t="s">
        <v>1224</v>
      </c>
      <c r="IYY2207" s="582" t="s">
        <v>1224</v>
      </c>
      <c r="IYZ2207" s="582" t="s">
        <v>1224</v>
      </c>
      <c r="IZA2207" s="582" t="s">
        <v>1224</v>
      </c>
      <c r="IZB2207" s="582" t="s">
        <v>1224</v>
      </c>
      <c r="IZC2207" s="582" t="s">
        <v>1224</v>
      </c>
      <c r="IZD2207" s="582" t="s">
        <v>1224</v>
      </c>
      <c r="IZE2207" s="582" t="s">
        <v>1224</v>
      </c>
      <c r="IZF2207" s="582" t="s">
        <v>1224</v>
      </c>
      <c r="IZG2207" s="582" t="s">
        <v>1224</v>
      </c>
      <c r="IZH2207" s="582" t="s">
        <v>1224</v>
      </c>
      <c r="IZI2207" s="582" t="s">
        <v>1224</v>
      </c>
      <c r="IZJ2207" s="582" t="s">
        <v>1224</v>
      </c>
      <c r="IZK2207" s="582" t="s">
        <v>1224</v>
      </c>
      <c r="IZL2207" s="582" t="s">
        <v>1224</v>
      </c>
      <c r="IZM2207" s="582" t="s">
        <v>1224</v>
      </c>
      <c r="IZN2207" s="582" t="s">
        <v>1224</v>
      </c>
      <c r="IZO2207" s="582" t="s">
        <v>1224</v>
      </c>
      <c r="IZP2207" s="582" t="s">
        <v>1224</v>
      </c>
      <c r="IZQ2207" s="582" t="s">
        <v>1224</v>
      </c>
      <c r="IZR2207" s="582" t="s">
        <v>1224</v>
      </c>
      <c r="IZS2207" s="582" t="s">
        <v>1224</v>
      </c>
      <c r="IZT2207" s="582" t="s">
        <v>1224</v>
      </c>
      <c r="IZU2207" s="582" t="s">
        <v>1224</v>
      </c>
      <c r="IZV2207" s="582" t="s">
        <v>1224</v>
      </c>
      <c r="IZW2207" s="582" t="s">
        <v>1224</v>
      </c>
      <c r="IZX2207" s="582" t="s">
        <v>1224</v>
      </c>
      <c r="IZY2207" s="582" t="s">
        <v>1224</v>
      </c>
      <c r="IZZ2207" s="582" t="s">
        <v>1224</v>
      </c>
      <c r="JAA2207" s="582" t="s">
        <v>1224</v>
      </c>
      <c r="JAB2207" s="582" t="s">
        <v>1224</v>
      </c>
      <c r="JAC2207" s="582" t="s">
        <v>1224</v>
      </c>
      <c r="JAD2207" s="582" t="s">
        <v>1224</v>
      </c>
      <c r="JAE2207" s="582" t="s">
        <v>1224</v>
      </c>
      <c r="JAF2207" s="582" t="s">
        <v>1224</v>
      </c>
      <c r="JAG2207" s="582" t="s">
        <v>1224</v>
      </c>
      <c r="JAH2207" s="582" t="s">
        <v>1224</v>
      </c>
      <c r="JAI2207" s="582" t="s">
        <v>1224</v>
      </c>
      <c r="JAJ2207" s="582" t="s">
        <v>1224</v>
      </c>
      <c r="JAK2207" s="582" t="s">
        <v>1224</v>
      </c>
      <c r="JAL2207" s="582" t="s">
        <v>1224</v>
      </c>
      <c r="JAM2207" s="582" t="s">
        <v>1224</v>
      </c>
      <c r="JAN2207" s="582" t="s">
        <v>1224</v>
      </c>
      <c r="JAO2207" s="582" t="s">
        <v>1224</v>
      </c>
      <c r="JAP2207" s="582" t="s">
        <v>1224</v>
      </c>
      <c r="JAQ2207" s="582" t="s">
        <v>1224</v>
      </c>
      <c r="JAR2207" s="582" t="s">
        <v>1224</v>
      </c>
      <c r="JAS2207" s="582" t="s">
        <v>1224</v>
      </c>
      <c r="JAT2207" s="582" t="s">
        <v>1224</v>
      </c>
      <c r="JAU2207" s="582" t="s">
        <v>1224</v>
      </c>
      <c r="JAV2207" s="582" t="s">
        <v>1224</v>
      </c>
      <c r="JAW2207" s="582" t="s">
        <v>1224</v>
      </c>
      <c r="JAX2207" s="582" t="s">
        <v>1224</v>
      </c>
      <c r="JAY2207" s="582" t="s">
        <v>1224</v>
      </c>
      <c r="JAZ2207" s="582" t="s">
        <v>1224</v>
      </c>
      <c r="JBA2207" s="582" t="s">
        <v>1224</v>
      </c>
      <c r="JBB2207" s="582" t="s">
        <v>1224</v>
      </c>
      <c r="JBC2207" s="582" t="s">
        <v>1224</v>
      </c>
      <c r="JBD2207" s="582" t="s">
        <v>1224</v>
      </c>
      <c r="JBE2207" s="582" t="s">
        <v>1224</v>
      </c>
      <c r="JBF2207" s="582" t="s">
        <v>1224</v>
      </c>
      <c r="JBG2207" s="582" t="s">
        <v>1224</v>
      </c>
      <c r="JBH2207" s="582" t="s">
        <v>1224</v>
      </c>
      <c r="JBI2207" s="582" t="s">
        <v>1224</v>
      </c>
      <c r="JBJ2207" s="582" t="s">
        <v>1224</v>
      </c>
      <c r="JBK2207" s="582" t="s">
        <v>1224</v>
      </c>
      <c r="JBL2207" s="582" t="s">
        <v>1224</v>
      </c>
      <c r="JBM2207" s="582" t="s">
        <v>1224</v>
      </c>
      <c r="JBN2207" s="582" t="s">
        <v>1224</v>
      </c>
      <c r="JBO2207" s="582" t="s">
        <v>1224</v>
      </c>
      <c r="JBP2207" s="582" t="s">
        <v>1224</v>
      </c>
      <c r="JBQ2207" s="582" t="s">
        <v>1224</v>
      </c>
      <c r="JBR2207" s="582" t="s">
        <v>1224</v>
      </c>
      <c r="JBS2207" s="582" t="s">
        <v>1224</v>
      </c>
      <c r="JBT2207" s="582" t="s">
        <v>1224</v>
      </c>
      <c r="JBU2207" s="582" t="s">
        <v>1224</v>
      </c>
      <c r="JBV2207" s="582" t="s">
        <v>1224</v>
      </c>
      <c r="JBW2207" s="582" t="s">
        <v>1224</v>
      </c>
      <c r="JBX2207" s="582" t="s">
        <v>1224</v>
      </c>
      <c r="JBY2207" s="582" t="s">
        <v>1224</v>
      </c>
      <c r="JBZ2207" s="582" t="s">
        <v>1224</v>
      </c>
      <c r="JCA2207" s="582" t="s">
        <v>1224</v>
      </c>
      <c r="JCB2207" s="582" t="s">
        <v>1224</v>
      </c>
      <c r="JCC2207" s="582" t="s">
        <v>1224</v>
      </c>
      <c r="JCD2207" s="582" t="s">
        <v>1224</v>
      </c>
      <c r="JCE2207" s="582" t="s">
        <v>1224</v>
      </c>
      <c r="JCF2207" s="582" t="s">
        <v>1224</v>
      </c>
      <c r="JCG2207" s="582" t="s">
        <v>1224</v>
      </c>
      <c r="JCH2207" s="582" t="s">
        <v>1224</v>
      </c>
      <c r="JCI2207" s="582" t="s">
        <v>1224</v>
      </c>
      <c r="JCJ2207" s="582" t="s">
        <v>1224</v>
      </c>
      <c r="JCK2207" s="582" t="s">
        <v>1224</v>
      </c>
      <c r="JCL2207" s="582" t="s">
        <v>1224</v>
      </c>
      <c r="JCM2207" s="582" t="s">
        <v>1224</v>
      </c>
      <c r="JCN2207" s="582" t="s">
        <v>1224</v>
      </c>
      <c r="JCO2207" s="582" t="s">
        <v>1224</v>
      </c>
      <c r="JCP2207" s="582" t="s">
        <v>1224</v>
      </c>
      <c r="JCQ2207" s="582" t="s">
        <v>1224</v>
      </c>
      <c r="JCR2207" s="582" t="s">
        <v>1224</v>
      </c>
      <c r="JCS2207" s="582" t="s">
        <v>1224</v>
      </c>
      <c r="JCT2207" s="582" t="s">
        <v>1224</v>
      </c>
      <c r="JCU2207" s="582" t="s">
        <v>1224</v>
      </c>
      <c r="JCV2207" s="582" t="s">
        <v>1224</v>
      </c>
      <c r="JCW2207" s="582" t="s">
        <v>1224</v>
      </c>
      <c r="JCX2207" s="582" t="s">
        <v>1224</v>
      </c>
      <c r="JCY2207" s="582" t="s">
        <v>1224</v>
      </c>
      <c r="JCZ2207" s="582" t="s">
        <v>1224</v>
      </c>
      <c r="JDA2207" s="582" t="s">
        <v>1224</v>
      </c>
      <c r="JDB2207" s="582" t="s">
        <v>1224</v>
      </c>
      <c r="JDC2207" s="582" t="s">
        <v>1224</v>
      </c>
      <c r="JDD2207" s="582" t="s">
        <v>1224</v>
      </c>
      <c r="JDE2207" s="582" t="s">
        <v>1224</v>
      </c>
      <c r="JDF2207" s="582" t="s">
        <v>1224</v>
      </c>
      <c r="JDG2207" s="582" t="s">
        <v>1224</v>
      </c>
      <c r="JDH2207" s="582" t="s">
        <v>1224</v>
      </c>
      <c r="JDI2207" s="582" t="s">
        <v>1224</v>
      </c>
      <c r="JDJ2207" s="582" t="s">
        <v>1224</v>
      </c>
      <c r="JDK2207" s="582" t="s">
        <v>1224</v>
      </c>
      <c r="JDL2207" s="582" t="s">
        <v>1224</v>
      </c>
      <c r="JDM2207" s="582" t="s">
        <v>1224</v>
      </c>
      <c r="JDN2207" s="582" t="s">
        <v>1224</v>
      </c>
      <c r="JDO2207" s="582" t="s">
        <v>1224</v>
      </c>
      <c r="JDP2207" s="582" t="s">
        <v>1224</v>
      </c>
      <c r="JDQ2207" s="582" t="s">
        <v>1224</v>
      </c>
      <c r="JDR2207" s="582" t="s">
        <v>1224</v>
      </c>
      <c r="JDS2207" s="582" t="s">
        <v>1224</v>
      </c>
      <c r="JDT2207" s="582" t="s">
        <v>1224</v>
      </c>
      <c r="JDU2207" s="582" t="s">
        <v>1224</v>
      </c>
      <c r="JDV2207" s="582" t="s">
        <v>1224</v>
      </c>
      <c r="JDW2207" s="582" t="s">
        <v>1224</v>
      </c>
      <c r="JDX2207" s="582" t="s">
        <v>1224</v>
      </c>
      <c r="JDY2207" s="582" t="s">
        <v>1224</v>
      </c>
      <c r="JDZ2207" s="582" t="s">
        <v>1224</v>
      </c>
      <c r="JEA2207" s="582" t="s">
        <v>1224</v>
      </c>
      <c r="JEB2207" s="582" t="s">
        <v>1224</v>
      </c>
      <c r="JEC2207" s="582" t="s">
        <v>1224</v>
      </c>
      <c r="JED2207" s="582" t="s">
        <v>1224</v>
      </c>
      <c r="JEE2207" s="582" t="s">
        <v>1224</v>
      </c>
      <c r="JEF2207" s="582" t="s">
        <v>1224</v>
      </c>
      <c r="JEG2207" s="582" t="s">
        <v>1224</v>
      </c>
      <c r="JEH2207" s="582" t="s">
        <v>1224</v>
      </c>
      <c r="JEI2207" s="582" t="s">
        <v>1224</v>
      </c>
      <c r="JEJ2207" s="582" t="s">
        <v>1224</v>
      </c>
      <c r="JEK2207" s="582" t="s">
        <v>1224</v>
      </c>
      <c r="JEL2207" s="582" t="s">
        <v>1224</v>
      </c>
      <c r="JEM2207" s="582" t="s">
        <v>1224</v>
      </c>
      <c r="JEN2207" s="582" t="s">
        <v>1224</v>
      </c>
      <c r="JEO2207" s="582" t="s">
        <v>1224</v>
      </c>
      <c r="JEP2207" s="582" t="s">
        <v>1224</v>
      </c>
      <c r="JEQ2207" s="582" t="s">
        <v>1224</v>
      </c>
      <c r="JER2207" s="582" t="s">
        <v>1224</v>
      </c>
      <c r="JES2207" s="582" t="s">
        <v>1224</v>
      </c>
      <c r="JET2207" s="582" t="s">
        <v>1224</v>
      </c>
      <c r="JEU2207" s="582" t="s">
        <v>1224</v>
      </c>
      <c r="JEV2207" s="582" t="s">
        <v>1224</v>
      </c>
      <c r="JEW2207" s="582" t="s">
        <v>1224</v>
      </c>
      <c r="JEX2207" s="582" t="s">
        <v>1224</v>
      </c>
      <c r="JEY2207" s="582" t="s">
        <v>1224</v>
      </c>
      <c r="JEZ2207" s="582" t="s">
        <v>1224</v>
      </c>
      <c r="JFA2207" s="582" t="s">
        <v>1224</v>
      </c>
      <c r="JFB2207" s="582" t="s">
        <v>1224</v>
      </c>
      <c r="JFC2207" s="582" t="s">
        <v>1224</v>
      </c>
      <c r="JFD2207" s="582" t="s">
        <v>1224</v>
      </c>
      <c r="JFE2207" s="582" t="s">
        <v>1224</v>
      </c>
      <c r="JFF2207" s="582" t="s">
        <v>1224</v>
      </c>
      <c r="JFG2207" s="582" t="s">
        <v>1224</v>
      </c>
      <c r="JFH2207" s="582" t="s">
        <v>1224</v>
      </c>
      <c r="JFI2207" s="582" t="s">
        <v>1224</v>
      </c>
      <c r="JFJ2207" s="582" t="s">
        <v>1224</v>
      </c>
      <c r="JFK2207" s="582" t="s">
        <v>1224</v>
      </c>
      <c r="JFL2207" s="582" t="s">
        <v>1224</v>
      </c>
      <c r="JFM2207" s="582" t="s">
        <v>1224</v>
      </c>
      <c r="JFN2207" s="582" t="s">
        <v>1224</v>
      </c>
      <c r="JFO2207" s="582" t="s">
        <v>1224</v>
      </c>
      <c r="JFP2207" s="582" t="s">
        <v>1224</v>
      </c>
      <c r="JFQ2207" s="582" t="s">
        <v>1224</v>
      </c>
      <c r="JFR2207" s="582" t="s">
        <v>1224</v>
      </c>
      <c r="JFS2207" s="582" t="s">
        <v>1224</v>
      </c>
      <c r="JFT2207" s="582" t="s">
        <v>1224</v>
      </c>
      <c r="JFU2207" s="582" t="s">
        <v>1224</v>
      </c>
      <c r="JFV2207" s="582" t="s">
        <v>1224</v>
      </c>
      <c r="JFW2207" s="582" t="s">
        <v>1224</v>
      </c>
      <c r="JFX2207" s="582" t="s">
        <v>1224</v>
      </c>
      <c r="JFY2207" s="582" t="s">
        <v>1224</v>
      </c>
      <c r="JFZ2207" s="582" t="s">
        <v>1224</v>
      </c>
      <c r="JGA2207" s="582" t="s">
        <v>1224</v>
      </c>
      <c r="JGB2207" s="582" t="s">
        <v>1224</v>
      </c>
      <c r="JGC2207" s="582" t="s">
        <v>1224</v>
      </c>
      <c r="JGD2207" s="582" t="s">
        <v>1224</v>
      </c>
      <c r="JGE2207" s="582" t="s">
        <v>1224</v>
      </c>
      <c r="JGF2207" s="582" t="s">
        <v>1224</v>
      </c>
      <c r="JGG2207" s="582" t="s">
        <v>1224</v>
      </c>
      <c r="JGH2207" s="582" t="s">
        <v>1224</v>
      </c>
      <c r="JGI2207" s="582" t="s">
        <v>1224</v>
      </c>
      <c r="JGJ2207" s="582" t="s">
        <v>1224</v>
      </c>
      <c r="JGK2207" s="582" t="s">
        <v>1224</v>
      </c>
      <c r="JGL2207" s="582" t="s">
        <v>1224</v>
      </c>
      <c r="JGM2207" s="582" t="s">
        <v>1224</v>
      </c>
      <c r="JGN2207" s="582" t="s">
        <v>1224</v>
      </c>
      <c r="JGO2207" s="582" t="s">
        <v>1224</v>
      </c>
      <c r="JGP2207" s="582" t="s">
        <v>1224</v>
      </c>
      <c r="JGQ2207" s="582" t="s">
        <v>1224</v>
      </c>
      <c r="JGR2207" s="582" t="s">
        <v>1224</v>
      </c>
      <c r="JGS2207" s="582" t="s">
        <v>1224</v>
      </c>
      <c r="JGT2207" s="582" t="s">
        <v>1224</v>
      </c>
      <c r="JGU2207" s="582" t="s">
        <v>1224</v>
      </c>
      <c r="JGV2207" s="582" t="s">
        <v>1224</v>
      </c>
      <c r="JGW2207" s="582" t="s">
        <v>1224</v>
      </c>
      <c r="JGX2207" s="582" t="s">
        <v>1224</v>
      </c>
      <c r="JGY2207" s="582" t="s">
        <v>1224</v>
      </c>
      <c r="JGZ2207" s="582" t="s">
        <v>1224</v>
      </c>
      <c r="JHA2207" s="582" t="s">
        <v>1224</v>
      </c>
      <c r="JHB2207" s="582" t="s">
        <v>1224</v>
      </c>
      <c r="JHC2207" s="582" t="s">
        <v>1224</v>
      </c>
      <c r="JHD2207" s="582" t="s">
        <v>1224</v>
      </c>
      <c r="JHE2207" s="582" t="s">
        <v>1224</v>
      </c>
      <c r="JHF2207" s="582" t="s">
        <v>1224</v>
      </c>
      <c r="JHG2207" s="582" t="s">
        <v>1224</v>
      </c>
      <c r="JHH2207" s="582" t="s">
        <v>1224</v>
      </c>
      <c r="JHI2207" s="582" t="s">
        <v>1224</v>
      </c>
      <c r="JHJ2207" s="582" t="s">
        <v>1224</v>
      </c>
      <c r="JHK2207" s="582" t="s">
        <v>1224</v>
      </c>
      <c r="JHL2207" s="582" t="s">
        <v>1224</v>
      </c>
      <c r="JHM2207" s="582" t="s">
        <v>1224</v>
      </c>
      <c r="JHN2207" s="582" t="s">
        <v>1224</v>
      </c>
      <c r="JHO2207" s="582" t="s">
        <v>1224</v>
      </c>
      <c r="JHP2207" s="582" t="s">
        <v>1224</v>
      </c>
      <c r="JHQ2207" s="582" t="s">
        <v>1224</v>
      </c>
      <c r="JHR2207" s="582" t="s">
        <v>1224</v>
      </c>
      <c r="JHS2207" s="582" t="s">
        <v>1224</v>
      </c>
      <c r="JHT2207" s="582" t="s">
        <v>1224</v>
      </c>
      <c r="JHU2207" s="582" t="s">
        <v>1224</v>
      </c>
      <c r="JHV2207" s="582" t="s">
        <v>1224</v>
      </c>
      <c r="JHW2207" s="582" t="s">
        <v>1224</v>
      </c>
      <c r="JHX2207" s="582" t="s">
        <v>1224</v>
      </c>
      <c r="JHY2207" s="582" t="s">
        <v>1224</v>
      </c>
      <c r="JHZ2207" s="582" t="s">
        <v>1224</v>
      </c>
      <c r="JIA2207" s="582" t="s">
        <v>1224</v>
      </c>
      <c r="JIB2207" s="582" t="s">
        <v>1224</v>
      </c>
      <c r="JIC2207" s="582" t="s">
        <v>1224</v>
      </c>
      <c r="JID2207" s="582" t="s">
        <v>1224</v>
      </c>
      <c r="JIE2207" s="582" t="s">
        <v>1224</v>
      </c>
      <c r="JIF2207" s="582" t="s">
        <v>1224</v>
      </c>
      <c r="JIG2207" s="582" t="s">
        <v>1224</v>
      </c>
      <c r="JIH2207" s="582" t="s">
        <v>1224</v>
      </c>
      <c r="JII2207" s="582" t="s">
        <v>1224</v>
      </c>
      <c r="JIJ2207" s="582" t="s">
        <v>1224</v>
      </c>
      <c r="JIK2207" s="582" t="s">
        <v>1224</v>
      </c>
      <c r="JIL2207" s="582" t="s">
        <v>1224</v>
      </c>
      <c r="JIM2207" s="582" t="s">
        <v>1224</v>
      </c>
      <c r="JIN2207" s="582" t="s">
        <v>1224</v>
      </c>
      <c r="JIO2207" s="582" t="s">
        <v>1224</v>
      </c>
      <c r="JIP2207" s="582" t="s">
        <v>1224</v>
      </c>
      <c r="JIQ2207" s="582" t="s">
        <v>1224</v>
      </c>
      <c r="JIR2207" s="582" t="s">
        <v>1224</v>
      </c>
      <c r="JIS2207" s="582" t="s">
        <v>1224</v>
      </c>
      <c r="JIT2207" s="582" t="s">
        <v>1224</v>
      </c>
      <c r="JIU2207" s="582" t="s">
        <v>1224</v>
      </c>
      <c r="JIV2207" s="582" t="s">
        <v>1224</v>
      </c>
      <c r="JIW2207" s="582" t="s">
        <v>1224</v>
      </c>
      <c r="JIX2207" s="582" t="s">
        <v>1224</v>
      </c>
      <c r="JIY2207" s="582" t="s">
        <v>1224</v>
      </c>
      <c r="JIZ2207" s="582" t="s">
        <v>1224</v>
      </c>
      <c r="JJA2207" s="582" t="s">
        <v>1224</v>
      </c>
      <c r="JJB2207" s="582" t="s">
        <v>1224</v>
      </c>
      <c r="JJC2207" s="582" t="s">
        <v>1224</v>
      </c>
      <c r="JJD2207" s="582" t="s">
        <v>1224</v>
      </c>
      <c r="JJE2207" s="582" t="s">
        <v>1224</v>
      </c>
      <c r="JJF2207" s="582" t="s">
        <v>1224</v>
      </c>
      <c r="JJG2207" s="582" t="s">
        <v>1224</v>
      </c>
      <c r="JJH2207" s="582" t="s">
        <v>1224</v>
      </c>
      <c r="JJI2207" s="582" t="s">
        <v>1224</v>
      </c>
      <c r="JJJ2207" s="582" t="s">
        <v>1224</v>
      </c>
      <c r="JJK2207" s="582" t="s">
        <v>1224</v>
      </c>
      <c r="JJL2207" s="582" t="s">
        <v>1224</v>
      </c>
      <c r="JJM2207" s="582" t="s">
        <v>1224</v>
      </c>
      <c r="JJN2207" s="582" t="s">
        <v>1224</v>
      </c>
      <c r="JJO2207" s="582" t="s">
        <v>1224</v>
      </c>
      <c r="JJP2207" s="582" t="s">
        <v>1224</v>
      </c>
      <c r="JJQ2207" s="582" t="s">
        <v>1224</v>
      </c>
      <c r="JJR2207" s="582" t="s">
        <v>1224</v>
      </c>
      <c r="JJS2207" s="582" t="s">
        <v>1224</v>
      </c>
      <c r="JJT2207" s="582" t="s">
        <v>1224</v>
      </c>
      <c r="JJU2207" s="582" t="s">
        <v>1224</v>
      </c>
      <c r="JJV2207" s="582" t="s">
        <v>1224</v>
      </c>
      <c r="JJW2207" s="582" t="s">
        <v>1224</v>
      </c>
      <c r="JJX2207" s="582" t="s">
        <v>1224</v>
      </c>
      <c r="JJY2207" s="582" t="s">
        <v>1224</v>
      </c>
      <c r="JJZ2207" s="582" t="s">
        <v>1224</v>
      </c>
      <c r="JKA2207" s="582" t="s">
        <v>1224</v>
      </c>
      <c r="JKB2207" s="582" t="s">
        <v>1224</v>
      </c>
      <c r="JKC2207" s="582" t="s">
        <v>1224</v>
      </c>
      <c r="JKD2207" s="582" t="s">
        <v>1224</v>
      </c>
      <c r="JKE2207" s="582" t="s">
        <v>1224</v>
      </c>
      <c r="JKF2207" s="582" t="s">
        <v>1224</v>
      </c>
      <c r="JKG2207" s="582" t="s">
        <v>1224</v>
      </c>
      <c r="JKH2207" s="582" t="s">
        <v>1224</v>
      </c>
      <c r="JKI2207" s="582" t="s">
        <v>1224</v>
      </c>
      <c r="JKJ2207" s="582" t="s">
        <v>1224</v>
      </c>
      <c r="JKK2207" s="582" t="s">
        <v>1224</v>
      </c>
      <c r="JKL2207" s="582" t="s">
        <v>1224</v>
      </c>
      <c r="JKM2207" s="582" t="s">
        <v>1224</v>
      </c>
      <c r="JKN2207" s="582" t="s">
        <v>1224</v>
      </c>
      <c r="JKO2207" s="582" t="s">
        <v>1224</v>
      </c>
      <c r="JKP2207" s="582" t="s">
        <v>1224</v>
      </c>
      <c r="JKQ2207" s="582" t="s">
        <v>1224</v>
      </c>
      <c r="JKR2207" s="582" t="s">
        <v>1224</v>
      </c>
      <c r="JKS2207" s="582" t="s">
        <v>1224</v>
      </c>
      <c r="JKT2207" s="582" t="s">
        <v>1224</v>
      </c>
      <c r="JKU2207" s="582" t="s">
        <v>1224</v>
      </c>
      <c r="JKV2207" s="582" t="s">
        <v>1224</v>
      </c>
      <c r="JKW2207" s="582" t="s">
        <v>1224</v>
      </c>
      <c r="JKX2207" s="582" t="s">
        <v>1224</v>
      </c>
      <c r="JKY2207" s="582" t="s">
        <v>1224</v>
      </c>
      <c r="JKZ2207" s="582" t="s">
        <v>1224</v>
      </c>
      <c r="JLA2207" s="582" t="s">
        <v>1224</v>
      </c>
      <c r="JLB2207" s="582" t="s">
        <v>1224</v>
      </c>
      <c r="JLC2207" s="582" t="s">
        <v>1224</v>
      </c>
      <c r="JLD2207" s="582" t="s">
        <v>1224</v>
      </c>
      <c r="JLE2207" s="582" t="s">
        <v>1224</v>
      </c>
      <c r="JLF2207" s="582" t="s">
        <v>1224</v>
      </c>
      <c r="JLG2207" s="582" t="s">
        <v>1224</v>
      </c>
      <c r="JLH2207" s="582" t="s">
        <v>1224</v>
      </c>
      <c r="JLI2207" s="582" t="s">
        <v>1224</v>
      </c>
      <c r="JLJ2207" s="582" t="s">
        <v>1224</v>
      </c>
      <c r="JLK2207" s="582" t="s">
        <v>1224</v>
      </c>
      <c r="JLL2207" s="582" t="s">
        <v>1224</v>
      </c>
      <c r="JLM2207" s="582" t="s">
        <v>1224</v>
      </c>
      <c r="JLN2207" s="582" t="s">
        <v>1224</v>
      </c>
      <c r="JLO2207" s="582" t="s">
        <v>1224</v>
      </c>
      <c r="JLP2207" s="582" t="s">
        <v>1224</v>
      </c>
      <c r="JLQ2207" s="582" t="s">
        <v>1224</v>
      </c>
      <c r="JLR2207" s="582" t="s">
        <v>1224</v>
      </c>
      <c r="JLS2207" s="582" t="s">
        <v>1224</v>
      </c>
      <c r="JLT2207" s="582" t="s">
        <v>1224</v>
      </c>
      <c r="JLU2207" s="582" t="s">
        <v>1224</v>
      </c>
      <c r="JLV2207" s="582" t="s">
        <v>1224</v>
      </c>
      <c r="JLW2207" s="582" t="s">
        <v>1224</v>
      </c>
      <c r="JLX2207" s="582" t="s">
        <v>1224</v>
      </c>
      <c r="JLY2207" s="582" t="s">
        <v>1224</v>
      </c>
      <c r="JLZ2207" s="582" t="s">
        <v>1224</v>
      </c>
      <c r="JMA2207" s="582" t="s">
        <v>1224</v>
      </c>
      <c r="JMB2207" s="582" t="s">
        <v>1224</v>
      </c>
      <c r="JMC2207" s="582" t="s">
        <v>1224</v>
      </c>
      <c r="JMD2207" s="582" t="s">
        <v>1224</v>
      </c>
      <c r="JME2207" s="582" t="s">
        <v>1224</v>
      </c>
      <c r="JMF2207" s="582" t="s">
        <v>1224</v>
      </c>
      <c r="JMG2207" s="582" t="s">
        <v>1224</v>
      </c>
      <c r="JMH2207" s="582" t="s">
        <v>1224</v>
      </c>
      <c r="JMI2207" s="582" t="s">
        <v>1224</v>
      </c>
      <c r="JMJ2207" s="582" t="s">
        <v>1224</v>
      </c>
      <c r="JMK2207" s="582" t="s">
        <v>1224</v>
      </c>
      <c r="JML2207" s="582" t="s">
        <v>1224</v>
      </c>
      <c r="JMM2207" s="582" t="s">
        <v>1224</v>
      </c>
      <c r="JMN2207" s="582" t="s">
        <v>1224</v>
      </c>
      <c r="JMO2207" s="582" t="s">
        <v>1224</v>
      </c>
      <c r="JMP2207" s="582" t="s">
        <v>1224</v>
      </c>
      <c r="JMQ2207" s="582" t="s">
        <v>1224</v>
      </c>
      <c r="JMR2207" s="582" t="s">
        <v>1224</v>
      </c>
      <c r="JMS2207" s="582" t="s">
        <v>1224</v>
      </c>
      <c r="JMT2207" s="582" t="s">
        <v>1224</v>
      </c>
      <c r="JMU2207" s="582" t="s">
        <v>1224</v>
      </c>
      <c r="JMV2207" s="582" t="s">
        <v>1224</v>
      </c>
      <c r="JMW2207" s="582" t="s">
        <v>1224</v>
      </c>
      <c r="JMX2207" s="582" t="s">
        <v>1224</v>
      </c>
      <c r="JMY2207" s="582" t="s">
        <v>1224</v>
      </c>
      <c r="JMZ2207" s="582" t="s">
        <v>1224</v>
      </c>
      <c r="JNA2207" s="582" t="s">
        <v>1224</v>
      </c>
      <c r="JNB2207" s="582" t="s">
        <v>1224</v>
      </c>
      <c r="JNC2207" s="582" t="s">
        <v>1224</v>
      </c>
      <c r="JND2207" s="582" t="s">
        <v>1224</v>
      </c>
      <c r="JNE2207" s="582" t="s">
        <v>1224</v>
      </c>
      <c r="JNF2207" s="582" t="s">
        <v>1224</v>
      </c>
      <c r="JNG2207" s="582" t="s">
        <v>1224</v>
      </c>
      <c r="JNH2207" s="582" t="s">
        <v>1224</v>
      </c>
      <c r="JNI2207" s="582" t="s">
        <v>1224</v>
      </c>
      <c r="JNJ2207" s="582" t="s">
        <v>1224</v>
      </c>
      <c r="JNK2207" s="582" t="s">
        <v>1224</v>
      </c>
      <c r="JNL2207" s="582" t="s">
        <v>1224</v>
      </c>
      <c r="JNM2207" s="582" t="s">
        <v>1224</v>
      </c>
      <c r="JNN2207" s="582" t="s">
        <v>1224</v>
      </c>
      <c r="JNO2207" s="582" t="s">
        <v>1224</v>
      </c>
      <c r="JNP2207" s="582" t="s">
        <v>1224</v>
      </c>
      <c r="JNQ2207" s="582" t="s">
        <v>1224</v>
      </c>
      <c r="JNR2207" s="582" t="s">
        <v>1224</v>
      </c>
      <c r="JNS2207" s="582" t="s">
        <v>1224</v>
      </c>
      <c r="JNT2207" s="582" t="s">
        <v>1224</v>
      </c>
      <c r="JNU2207" s="582" t="s">
        <v>1224</v>
      </c>
      <c r="JNV2207" s="582" t="s">
        <v>1224</v>
      </c>
      <c r="JNW2207" s="582" t="s">
        <v>1224</v>
      </c>
      <c r="JNX2207" s="582" t="s">
        <v>1224</v>
      </c>
      <c r="JNY2207" s="582" t="s">
        <v>1224</v>
      </c>
      <c r="JNZ2207" s="582" t="s">
        <v>1224</v>
      </c>
      <c r="JOA2207" s="582" t="s">
        <v>1224</v>
      </c>
      <c r="JOB2207" s="582" t="s">
        <v>1224</v>
      </c>
      <c r="JOC2207" s="582" t="s">
        <v>1224</v>
      </c>
      <c r="JOD2207" s="582" t="s">
        <v>1224</v>
      </c>
      <c r="JOE2207" s="582" t="s">
        <v>1224</v>
      </c>
      <c r="JOF2207" s="582" t="s">
        <v>1224</v>
      </c>
      <c r="JOG2207" s="582" t="s">
        <v>1224</v>
      </c>
      <c r="JOH2207" s="582" t="s">
        <v>1224</v>
      </c>
      <c r="JOI2207" s="582" t="s">
        <v>1224</v>
      </c>
      <c r="JOJ2207" s="582" t="s">
        <v>1224</v>
      </c>
      <c r="JOK2207" s="582" t="s">
        <v>1224</v>
      </c>
      <c r="JOL2207" s="582" t="s">
        <v>1224</v>
      </c>
      <c r="JOM2207" s="582" t="s">
        <v>1224</v>
      </c>
      <c r="JON2207" s="582" t="s">
        <v>1224</v>
      </c>
      <c r="JOO2207" s="582" t="s">
        <v>1224</v>
      </c>
      <c r="JOP2207" s="582" t="s">
        <v>1224</v>
      </c>
      <c r="JOQ2207" s="582" t="s">
        <v>1224</v>
      </c>
      <c r="JOR2207" s="582" t="s">
        <v>1224</v>
      </c>
      <c r="JOS2207" s="582" t="s">
        <v>1224</v>
      </c>
      <c r="JOT2207" s="582" t="s">
        <v>1224</v>
      </c>
      <c r="JOU2207" s="582" t="s">
        <v>1224</v>
      </c>
      <c r="JOV2207" s="582" t="s">
        <v>1224</v>
      </c>
      <c r="JOW2207" s="582" t="s">
        <v>1224</v>
      </c>
      <c r="JOX2207" s="582" t="s">
        <v>1224</v>
      </c>
      <c r="JOY2207" s="582" t="s">
        <v>1224</v>
      </c>
      <c r="JOZ2207" s="582" t="s">
        <v>1224</v>
      </c>
      <c r="JPA2207" s="582" t="s">
        <v>1224</v>
      </c>
      <c r="JPB2207" s="582" t="s">
        <v>1224</v>
      </c>
      <c r="JPC2207" s="582" t="s">
        <v>1224</v>
      </c>
      <c r="JPD2207" s="582" t="s">
        <v>1224</v>
      </c>
      <c r="JPE2207" s="582" t="s">
        <v>1224</v>
      </c>
      <c r="JPF2207" s="582" t="s">
        <v>1224</v>
      </c>
      <c r="JPG2207" s="582" t="s">
        <v>1224</v>
      </c>
      <c r="JPH2207" s="582" t="s">
        <v>1224</v>
      </c>
      <c r="JPI2207" s="582" t="s">
        <v>1224</v>
      </c>
      <c r="JPJ2207" s="582" t="s">
        <v>1224</v>
      </c>
      <c r="JPK2207" s="582" t="s">
        <v>1224</v>
      </c>
      <c r="JPL2207" s="582" t="s">
        <v>1224</v>
      </c>
      <c r="JPM2207" s="582" t="s">
        <v>1224</v>
      </c>
      <c r="JPN2207" s="582" t="s">
        <v>1224</v>
      </c>
      <c r="JPO2207" s="582" t="s">
        <v>1224</v>
      </c>
      <c r="JPP2207" s="582" t="s">
        <v>1224</v>
      </c>
      <c r="JPQ2207" s="582" t="s">
        <v>1224</v>
      </c>
      <c r="JPR2207" s="582" t="s">
        <v>1224</v>
      </c>
      <c r="JPS2207" s="582" t="s">
        <v>1224</v>
      </c>
      <c r="JPT2207" s="582" t="s">
        <v>1224</v>
      </c>
      <c r="JPU2207" s="582" t="s">
        <v>1224</v>
      </c>
      <c r="JPV2207" s="582" t="s">
        <v>1224</v>
      </c>
      <c r="JPW2207" s="582" t="s">
        <v>1224</v>
      </c>
      <c r="JPX2207" s="582" t="s">
        <v>1224</v>
      </c>
      <c r="JPY2207" s="582" t="s">
        <v>1224</v>
      </c>
      <c r="JPZ2207" s="582" t="s">
        <v>1224</v>
      </c>
      <c r="JQA2207" s="582" t="s">
        <v>1224</v>
      </c>
      <c r="JQB2207" s="582" t="s">
        <v>1224</v>
      </c>
      <c r="JQC2207" s="582" t="s">
        <v>1224</v>
      </c>
      <c r="JQD2207" s="582" t="s">
        <v>1224</v>
      </c>
      <c r="JQE2207" s="582" t="s">
        <v>1224</v>
      </c>
      <c r="JQF2207" s="582" t="s">
        <v>1224</v>
      </c>
      <c r="JQG2207" s="582" t="s">
        <v>1224</v>
      </c>
      <c r="JQH2207" s="582" t="s">
        <v>1224</v>
      </c>
      <c r="JQI2207" s="582" t="s">
        <v>1224</v>
      </c>
      <c r="JQJ2207" s="582" t="s">
        <v>1224</v>
      </c>
      <c r="JQK2207" s="582" t="s">
        <v>1224</v>
      </c>
      <c r="JQL2207" s="582" t="s">
        <v>1224</v>
      </c>
      <c r="JQM2207" s="582" t="s">
        <v>1224</v>
      </c>
      <c r="JQN2207" s="582" t="s">
        <v>1224</v>
      </c>
      <c r="JQO2207" s="582" t="s">
        <v>1224</v>
      </c>
      <c r="JQP2207" s="582" t="s">
        <v>1224</v>
      </c>
      <c r="JQQ2207" s="582" t="s">
        <v>1224</v>
      </c>
      <c r="JQR2207" s="582" t="s">
        <v>1224</v>
      </c>
      <c r="JQS2207" s="582" t="s">
        <v>1224</v>
      </c>
      <c r="JQT2207" s="582" t="s">
        <v>1224</v>
      </c>
      <c r="JQU2207" s="582" t="s">
        <v>1224</v>
      </c>
      <c r="JQV2207" s="582" t="s">
        <v>1224</v>
      </c>
      <c r="JQW2207" s="582" t="s">
        <v>1224</v>
      </c>
      <c r="JQX2207" s="582" t="s">
        <v>1224</v>
      </c>
      <c r="JQY2207" s="582" t="s">
        <v>1224</v>
      </c>
      <c r="JQZ2207" s="582" t="s">
        <v>1224</v>
      </c>
      <c r="JRA2207" s="582" t="s">
        <v>1224</v>
      </c>
      <c r="JRB2207" s="582" t="s">
        <v>1224</v>
      </c>
      <c r="JRC2207" s="582" t="s">
        <v>1224</v>
      </c>
      <c r="JRD2207" s="582" t="s">
        <v>1224</v>
      </c>
      <c r="JRE2207" s="582" t="s">
        <v>1224</v>
      </c>
      <c r="JRF2207" s="582" t="s">
        <v>1224</v>
      </c>
      <c r="JRG2207" s="582" t="s">
        <v>1224</v>
      </c>
      <c r="JRH2207" s="582" t="s">
        <v>1224</v>
      </c>
      <c r="JRI2207" s="582" t="s">
        <v>1224</v>
      </c>
      <c r="JRJ2207" s="582" t="s">
        <v>1224</v>
      </c>
      <c r="JRK2207" s="582" t="s">
        <v>1224</v>
      </c>
      <c r="JRL2207" s="582" t="s">
        <v>1224</v>
      </c>
      <c r="JRM2207" s="582" t="s">
        <v>1224</v>
      </c>
      <c r="JRN2207" s="582" t="s">
        <v>1224</v>
      </c>
      <c r="JRO2207" s="582" t="s">
        <v>1224</v>
      </c>
      <c r="JRP2207" s="582" t="s">
        <v>1224</v>
      </c>
      <c r="JRQ2207" s="582" t="s">
        <v>1224</v>
      </c>
      <c r="JRR2207" s="582" t="s">
        <v>1224</v>
      </c>
      <c r="JRS2207" s="582" t="s">
        <v>1224</v>
      </c>
      <c r="JRT2207" s="582" t="s">
        <v>1224</v>
      </c>
      <c r="JRU2207" s="582" t="s">
        <v>1224</v>
      </c>
      <c r="JRV2207" s="582" t="s">
        <v>1224</v>
      </c>
      <c r="JRW2207" s="582" t="s">
        <v>1224</v>
      </c>
      <c r="JRX2207" s="582" t="s">
        <v>1224</v>
      </c>
      <c r="JRY2207" s="582" t="s">
        <v>1224</v>
      </c>
      <c r="JRZ2207" s="582" t="s">
        <v>1224</v>
      </c>
      <c r="JSA2207" s="582" t="s">
        <v>1224</v>
      </c>
      <c r="JSB2207" s="582" t="s">
        <v>1224</v>
      </c>
      <c r="JSC2207" s="582" t="s">
        <v>1224</v>
      </c>
      <c r="JSD2207" s="582" t="s">
        <v>1224</v>
      </c>
      <c r="JSE2207" s="582" t="s">
        <v>1224</v>
      </c>
      <c r="JSF2207" s="582" t="s">
        <v>1224</v>
      </c>
      <c r="JSG2207" s="582" t="s">
        <v>1224</v>
      </c>
      <c r="JSH2207" s="582" t="s">
        <v>1224</v>
      </c>
      <c r="JSI2207" s="582" t="s">
        <v>1224</v>
      </c>
      <c r="JSJ2207" s="582" t="s">
        <v>1224</v>
      </c>
      <c r="JSK2207" s="582" t="s">
        <v>1224</v>
      </c>
      <c r="JSL2207" s="582" t="s">
        <v>1224</v>
      </c>
      <c r="JSM2207" s="582" t="s">
        <v>1224</v>
      </c>
      <c r="JSN2207" s="582" t="s">
        <v>1224</v>
      </c>
      <c r="JSO2207" s="582" t="s">
        <v>1224</v>
      </c>
      <c r="JSP2207" s="582" t="s">
        <v>1224</v>
      </c>
      <c r="JSQ2207" s="582" t="s">
        <v>1224</v>
      </c>
      <c r="JSR2207" s="582" t="s">
        <v>1224</v>
      </c>
      <c r="JSS2207" s="582" t="s">
        <v>1224</v>
      </c>
      <c r="JST2207" s="582" t="s">
        <v>1224</v>
      </c>
      <c r="JSU2207" s="582" t="s">
        <v>1224</v>
      </c>
      <c r="JSV2207" s="582" t="s">
        <v>1224</v>
      </c>
      <c r="JSW2207" s="582" t="s">
        <v>1224</v>
      </c>
      <c r="JSX2207" s="582" t="s">
        <v>1224</v>
      </c>
      <c r="JSY2207" s="582" t="s">
        <v>1224</v>
      </c>
      <c r="JSZ2207" s="582" t="s">
        <v>1224</v>
      </c>
      <c r="JTA2207" s="582" t="s">
        <v>1224</v>
      </c>
      <c r="JTB2207" s="582" t="s">
        <v>1224</v>
      </c>
      <c r="JTC2207" s="582" t="s">
        <v>1224</v>
      </c>
      <c r="JTD2207" s="582" t="s">
        <v>1224</v>
      </c>
      <c r="JTE2207" s="582" t="s">
        <v>1224</v>
      </c>
      <c r="JTF2207" s="582" t="s">
        <v>1224</v>
      </c>
      <c r="JTG2207" s="582" t="s">
        <v>1224</v>
      </c>
      <c r="JTH2207" s="582" t="s">
        <v>1224</v>
      </c>
      <c r="JTI2207" s="582" t="s">
        <v>1224</v>
      </c>
      <c r="JTJ2207" s="582" t="s">
        <v>1224</v>
      </c>
      <c r="JTK2207" s="582" t="s">
        <v>1224</v>
      </c>
      <c r="JTL2207" s="582" t="s">
        <v>1224</v>
      </c>
      <c r="JTM2207" s="582" t="s">
        <v>1224</v>
      </c>
      <c r="JTN2207" s="582" t="s">
        <v>1224</v>
      </c>
      <c r="JTO2207" s="582" t="s">
        <v>1224</v>
      </c>
      <c r="JTP2207" s="582" t="s">
        <v>1224</v>
      </c>
      <c r="JTQ2207" s="582" t="s">
        <v>1224</v>
      </c>
      <c r="JTR2207" s="582" t="s">
        <v>1224</v>
      </c>
      <c r="JTS2207" s="582" t="s">
        <v>1224</v>
      </c>
      <c r="JTT2207" s="582" t="s">
        <v>1224</v>
      </c>
      <c r="JTU2207" s="582" t="s">
        <v>1224</v>
      </c>
      <c r="JTV2207" s="582" t="s">
        <v>1224</v>
      </c>
      <c r="JTW2207" s="582" t="s">
        <v>1224</v>
      </c>
      <c r="JTX2207" s="582" t="s">
        <v>1224</v>
      </c>
      <c r="JTY2207" s="582" t="s">
        <v>1224</v>
      </c>
      <c r="JTZ2207" s="582" t="s">
        <v>1224</v>
      </c>
      <c r="JUA2207" s="582" t="s">
        <v>1224</v>
      </c>
      <c r="JUB2207" s="582" t="s">
        <v>1224</v>
      </c>
      <c r="JUC2207" s="582" t="s">
        <v>1224</v>
      </c>
      <c r="JUD2207" s="582" t="s">
        <v>1224</v>
      </c>
      <c r="JUE2207" s="582" t="s">
        <v>1224</v>
      </c>
      <c r="JUF2207" s="582" t="s">
        <v>1224</v>
      </c>
      <c r="JUG2207" s="582" t="s">
        <v>1224</v>
      </c>
      <c r="JUH2207" s="582" t="s">
        <v>1224</v>
      </c>
      <c r="JUI2207" s="582" t="s">
        <v>1224</v>
      </c>
      <c r="JUJ2207" s="582" t="s">
        <v>1224</v>
      </c>
      <c r="JUK2207" s="582" t="s">
        <v>1224</v>
      </c>
      <c r="JUL2207" s="582" t="s">
        <v>1224</v>
      </c>
      <c r="JUM2207" s="582" t="s">
        <v>1224</v>
      </c>
      <c r="JUN2207" s="582" t="s">
        <v>1224</v>
      </c>
      <c r="JUO2207" s="582" t="s">
        <v>1224</v>
      </c>
      <c r="JUP2207" s="582" t="s">
        <v>1224</v>
      </c>
      <c r="JUQ2207" s="582" t="s">
        <v>1224</v>
      </c>
      <c r="JUR2207" s="582" t="s">
        <v>1224</v>
      </c>
      <c r="JUS2207" s="582" t="s">
        <v>1224</v>
      </c>
      <c r="JUT2207" s="582" t="s">
        <v>1224</v>
      </c>
      <c r="JUU2207" s="582" t="s">
        <v>1224</v>
      </c>
      <c r="JUV2207" s="582" t="s">
        <v>1224</v>
      </c>
      <c r="JUW2207" s="582" t="s">
        <v>1224</v>
      </c>
      <c r="JUX2207" s="582" t="s">
        <v>1224</v>
      </c>
      <c r="JUY2207" s="582" t="s">
        <v>1224</v>
      </c>
      <c r="JUZ2207" s="582" t="s">
        <v>1224</v>
      </c>
      <c r="JVA2207" s="582" t="s">
        <v>1224</v>
      </c>
      <c r="JVB2207" s="582" t="s">
        <v>1224</v>
      </c>
      <c r="JVC2207" s="582" t="s">
        <v>1224</v>
      </c>
      <c r="JVD2207" s="582" t="s">
        <v>1224</v>
      </c>
      <c r="JVE2207" s="582" t="s">
        <v>1224</v>
      </c>
      <c r="JVF2207" s="582" t="s">
        <v>1224</v>
      </c>
      <c r="JVG2207" s="582" t="s">
        <v>1224</v>
      </c>
      <c r="JVH2207" s="582" t="s">
        <v>1224</v>
      </c>
      <c r="JVI2207" s="582" t="s">
        <v>1224</v>
      </c>
      <c r="JVJ2207" s="582" t="s">
        <v>1224</v>
      </c>
      <c r="JVK2207" s="582" t="s">
        <v>1224</v>
      </c>
      <c r="JVL2207" s="582" t="s">
        <v>1224</v>
      </c>
      <c r="JVM2207" s="582" t="s">
        <v>1224</v>
      </c>
      <c r="JVN2207" s="582" t="s">
        <v>1224</v>
      </c>
      <c r="JVO2207" s="582" t="s">
        <v>1224</v>
      </c>
      <c r="JVP2207" s="582" t="s">
        <v>1224</v>
      </c>
      <c r="JVQ2207" s="582" t="s">
        <v>1224</v>
      </c>
      <c r="JVR2207" s="582" t="s">
        <v>1224</v>
      </c>
      <c r="JVS2207" s="582" t="s">
        <v>1224</v>
      </c>
      <c r="JVT2207" s="582" t="s">
        <v>1224</v>
      </c>
      <c r="JVU2207" s="582" t="s">
        <v>1224</v>
      </c>
      <c r="JVV2207" s="582" t="s">
        <v>1224</v>
      </c>
      <c r="JVW2207" s="582" t="s">
        <v>1224</v>
      </c>
      <c r="JVX2207" s="582" t="s">
        <v>1224</v>
      </c>
      <c r="JVY2207" s="582" t="s">
        <v>1224</v>
      </c>
      <c r="JVZ2207" s="582" t="s">
        <v>1224</v>
      </c>
      <c r="JWA2207" s="582" t="s">
        <v>1224</v>
      </c>
      <c r="JWB2207" s="582" t="s">
        <v>1224</v>
      </c>
      <c r="JWC2207" s="582" t="s">
        <v>1224</v>
      </c>
      <c r="JWD2207" s="582" t="s">
        <v>1224</v>
      </c>
      <c r="JWE2207" s="582" t="s">
        <v>1224</v>
      </c>
      <c r="JWF2207" s="582" t="s">
        <v>1224</v>
      </c>
      <c r="JWG2207" s="582" t="s">
        <v>1224</v>
      </c>
      <c r="JWH2207" s="582" t="s">
        <v>1224</v>
      </c>
      <c r="JWI2207" s="582" t="s">
        <v>1224</v>
      </c>
      <c r="JWJ2207" s="582" t="s">
        <v>1224</v>
      </c>
      <c r="JWK2207" s="582" t="s">
        <v>1224</v>
      </c>
      <c r="JWL2207" s="582" t="s">
        <v>1224</v>
      </c>
      <c r="JWM2207" s="582" t="s">
        <v>1224</v>
      </c>
      <c r="JWN2207" s="582" t="s">
        <v>1224</v>
      </c>
      <c r="JWO2207" s="582" t="s">
        <v>1224</v>
      </c>
      <c r="JWP2207" s="582" t="s">
        <v>1224</v>
      </c>
      <c r="JWQ2207" s="582" t="s">
        <v>1224</v>
      </c>
      <c r="JWR2207" s="582" t="s">
        <v>1224</v>
      </c>
      <c r="JWS2207" s="582" t="s">
        <v>1224</v>
      </c>
      <c r="JWT2207" s="582" t="s">
        <v>1224</v>
      </c>
      <c r="JWU2207" s="582" t="s">
        <v>1224</v>
      </c>
      <c r="JWV2207" s="582" t="s">
        <v>1224</v>
      </c>
      <c r="JWW2207" s="582" t="s">
        <v>1224</v>
      </c>
      <c r="JWX2207" s="582" t="s">
        <v>1224</v>
      </c>
      <c r="JWY2207" s="582" t="s">
        <v>1224</v>
      </c>
      <c r="JWZ2207" s="582" t="s">
        <v>1224</v>
      </c>
      <c r="JXA2207" s="582" t="s">
        <v>1224</v>
      </c>
      <c r="JXB2207" s="582" t="s">
        <v>1224</v>
      </c>
      <c r="JXC2207" s="582" t="s">
        <v>1224</v>
      </c>
      <c r="JXD2207" s="582" t="s">
        <v>1224</v>
      </c>
      <c r="JXE2207" s="582" t="s">
        <v>1224</v>
      </c>
      <c r="JXF2207" s="582" t="s">
        <v>1224</v>
      </c>
      <c r="JXG2207" s="582" t="s">
        <v>1224</v>
      </c>
      <c r="JXH2207" s="582" t="s">
        <v>1224</v>
      </c>
      <c r="JXI2207" s="582" t="s">
        <v>1224</v>
      </c>
      <c r="JXJ2207" s="582" t="s">
        <v>1224</v>
      </c>
      <c r="JXK2207" s="582" t="s">
        <v>1224</v>
      </c>
      <c r="JXL2207" s="582" t="s">
        <v>1224</v>
      </c>
      <c r="JXM2207" s="582" t="s">
        <v>1224</v>
      </c>
      <c r="JXN2207" s="582" t="s">
        <v>1224</v>
      </c>
      <c r="JXO2207" s="582" t="s">
        <v>1224</v>
      </c>
      <c r="JXP2207" s="582" t="s">
        <v>1224</v>
      </c>
      <c r="JXQ2207" s="582" t="s">
        <v>1224</v>
      </c>
      <c r="JXR2207" s="582" t="s">
        <v>1224</v>
      </c>
      <c r="JXS2207" s="582" t="s">
        <v>1224</v>
      </c>
      <c r="JXT2207" s="582" t="s">
        <v>1224</v>
      </c>
      <c r="JXU2207" s="582" t="s">
        <v>1224</v>
      </c>
      <c r="JXV2207" s="582" t="s">
        <v>1224</v>
      </c>
      <c r="JXW2207" s="582" t="s">
        <v>1224</v>
      </c>
      <c r="JXX2207" s="582" t="s">
        <v>1224</v>
      </c>
      <c r="JXY2207" s="582" t="s">
        <v>1224</v>
      </c>
      <c r="JXZ2207" s="582" t="s">
        <v>1224</v>
      </c>
      <c r="JYA2207" s="582" t="s">
        <v>1224</v>
      </c>
      <c r="JYB2207" s="582" t="s">
        <v>1224</v>
      </c>
      <c r="JYC2207" s="582" t="s">
        <v>1224</v>
      </c>
      <c r="JYD2207" s="582" t="s">
        <v>1224</v>
      </c>
      <c r="JYE2207" s="582" t="s">
        <v>1224</v>
      </c>
      <c r="JYF2207" s="582" t="s">
        <v>1224</v>
      </c>
      <c r="JYG2207" s="582" t="s">
        <v>1224</v>
      </c>
      <c r="JYH2207" s="582" t="s">
        <v>1224</v>
      </c>
      <c r="JYI2207" s="582" t="s">
        <v>1224</v>
      </c>
      <c r="JYJ2207" s="582" t="s">
        <v>1224</v>
      </c>
      <c r="JYK2207" s="582" t="s">
        <v>1224</v>
      </c>
      <c r="JYL2207" s="582" t="s">
        <v>1224</v>
      </c>
      <c r="JYM2207" s="582" t="s">
        <v>1224</v>
      </c>
      <c r="JYN2207" s="582" t="s">
        <v>1224</v>
      </c>
      <c r="JYO2207" s="582" t="s">
        <v>1224</v>
      </c>
      <c r="JYP2207" s="582" t="s">
        <v>1224</v>
      </c>
      <c r="JYQ2207" s="582" t="s">
        <v>1224</v>
      </c>
      <c r="JYR2207" s="582" t="s">
        <v>1224</v>
      </c>
      <c r="JYS2207" s="582" t="s">
        <v>1224</v>
      </c>
      <c r="JYT2207" s="582" t="s">
        <v>1224</v>
      </c>
      <c r="JYU2207" s="582" t="s">
        <v>1224</v>
      </c>
      <c r="JYV2207" s="582" t="s">
        <v>1224</v>
      </c>
      <c r="JYW2207" s="582" t="s">
        <v>1224</v>
      </c>
      <c r="JYX2207" s="582" t="s">
        <v>1224</v>
      </c>
      <c r="JYY2207" s="582" t="s">
        <v>1224</v>
      </c>
      <c r="JYZ2207" s="582" t="s">
        <v>1224</v>
      </c>
      <c r="JZA2207" s="582" t="s">
        <v>1224</v>
      </c>
      <c r="JZB2207" s="582" t="s">
        <v>1224</v>
      </c>
      <c r="JZC2207" s="582" t="s">
        <v>1224</v>
      </c>
      <c r="JZD2207" s="582" t="s">
        <v>1224</v>
      </c>
      <c r="JZE2207" s="582" t="s">
        <v>1224</v>
      </c>
      <c r="JZF2207" s="582" t="s">
        <v>1224</v>
      </c>
      <c r="JZG2207" s="582" t="s">
        <v>1224</v>
      </c>
      <c r="JZH2207" s="582" t="s">
        <v>1224</v>
      </c>
      <c r="JZI2207" s="582" t="s">
        <v>1224</v>
      </c>
      <c r="JZJ2207" s="582" t="s">
        <v>1224</v>
      </c>
      <c r="JZK2207" s="582" t="s">
        <v>1224</v>
      </c>
      <c r="JZL2207" s="582" t="s">
        <v>1224</v>
      </c>
      <c r="JZM2207" s="582" t="s">
        <v>1224</v>
      </c>
      <c r="JZN2207" s="582" t="s">
        <v>1224</v>
      </c>
      <c r="JZO2207" s="582" t="s">
        <v>1224</v>
      </c>
      <c r="JZP2207" s="582" t="s">
        <v>1224</v>
      </c>
      <c r="JZQ2207" s="582" t="s">
        <v>1224</v>
      </c>
      <c r="JZR2207" s="582" t="s">
        <v>1224</v>
      </c>
      <c r="JZS2207" s="582" t="s">
        <v>1224</v>
      </c>
      <c r="JZT2207" s="582" t="s">
        <v>1224</v>
      </c>
      <c r="JZU2207" s="582" t="s">
        <v>1224</v>
      </c>
      <c r="JZV2207" s="582" t="s">
        <v>1224</v>
      </c>
      <c r="JZW2207" s="582" t="s">
        <v>1224</v>
      </c>
      <c r="JZX2207" s="582" t="s">
        <v>1224</v>
      </c>
      <c r="JZY2207" s="582" t="s">
        <v>1224</v>
      </c>
      <c r="JZZ2207" s="582" t="s">
        <v>1224</v>
      </c>
      <c r="KAA2207" s="582" t="s">
        <v>1224</v>
      </c>
      <c r="KAB2207" s="582" t="s">
        <v>1224</v>
      </c>
      <c r="KAC2207" s="582" t="s">
        <v>1224</v>
      </c>
      <c r="KAD2207" s="582" t="s">
        <v>1224</v>
      </c>
      <c r="KAE2207" s="582" t="s">
        <v>1224</v>
      </c>
      <c r="KAF2207" s="582" t="s">
        <v>1224</v>
      </c>
      <c r="KAG2207" s="582" t="s">
        <v>1224</v>
      </c>
      <c r="KAH2207" s="582" t="s">
        <v>1224</v>
      </c>
      <c r="KAI2207" s="582" t="s">
        <v>1224</v>
      </c>
      <c r="KAJ2207" s="582" t="s">
        <v>1224</v>
      </c>
      <c r="KAK2207" s="582" t="s">
        <v>1224</v>
      </c>
      <c r="KAL2207" s="582" t="s">
        <v>1224</v>
      </c>
      <c r="KAM2207" s="582" t="s">
        <v>1224</v>
      </c>
      <c r="KAN2207" s="582" t="s">
        <v>1224</v>
      </c>
      <c r="KAO2207" s="582" t="s">
        <v>1224</v>
      </c>
      <c r="KAP2207" s="582" t="s">
        <v>1224</v>
      </c>
      <c r="KAQ2207" s="582" t="s">
        <v>1224</v>
      </c>
      <c r="KAR2207" s="582" t="s">
        <v>1224</v>
      </c>
      <c r="KAS2207" s="582" t="s">
        <v>1224</v>
      </c>
      <c r="KAT2207" s="582" t="s">
        <v>1224</v>
      </c>
      <c r="KAU2207" s="582" t="s">
        <v>1224</v>
      </c>
      <c r="KAV2207" s="582" t="s">
        <v>1224</v>
      </c>
      <c r="KAW2207" s="582" t="s">
        <v>1224</v>
      </c>
      <c r="KAX2207" s="582" t="s">
        <v>1224</v>
      </c>
      <c r="KAY2207" s="582" t="s">
        <v>1224</v>
      </c>
      <c r="KAZ2207" s="582" t="s">
        <v>1224</v>
      </c>
      <c r="KBA2207" s="582" t="s">
        <v>1224</v>
      </c>
      <c r="KBB2207" s="582" t="s">
        <v>1224</v>
      </c>
      <c r="KBC2207" s="582" t="s">
        <v>1224</v>
      </c>
      <c r="KBD2207" s="582" t="s">
        <v>1224</v>
      </c>
      <c r="KBE2207" s="582" t="s">
        <v>1224</v>
      </c>
      <c r="KBF2207" s="582" t="s">
        <v>1224</v>
      </c>
      <c r="KBG2207" s="582" t="s">
        <v>1224</v>
      </c>
      <c r="KBH2207" s="582" t="s">
        <v>1224</v>
      </c>
      <c r="KBI2207" s="582" t="s">
        <v>1224</v>
      </c>
      <c r="KBJ2207" s="582" t="s">
        <v>1224</v>
      </c>
      <c r="KBK2207" s="582" t="s">
        <v>1224</v>
      </c>
      <c r="KBL2207" s="582" t="s">
        <v>1224</v>
      </c>
      <c r="KBM2207" s="582" t="s">
        <v>1224</v>
      </c>
      <c r="KBN2207" s="582" t="s">
        <v>1224</v>
      </c>
      <c r="KBO2207" s="582" t="s">
        <v>1224</v>
      </c>
      <c r="KBP2207" s="582" t="s">
        <v>1224</v>
      </c>
      <c r="KBQ2207" s="582" t="s">
        <v>1224</v>
      </c>
      <c r="KBR2207" s="582" t="s">
        <v>1224</v>
      </c>
      <c r="KBS2207" s="582" t="s">
        <v>1224</v>
      </c>
      <c r="KBT2207" s="582" t="s">
        <v>1224</v>
      </c>
      <c r="KBU2207" s="582" t="s">
        <v>1224</v>
      </c>
      <c r="KBV2207" s="582" t="s">
        <v>1224</v>
      </c>
      <c r="KBW2207" s="582" t="s">
        <v>1224</v>
      </c>
      <c r="KBX2207" s="582" t="s">
        <v>1224</v>
      </c>
      <c r="KBY2207" s="582" t="s">
        <v>1224</v>
      </c>
      <c r="KBZ2207" s="582" t="s">
        <v>1224</v>
      </c>
      <c r="KCA2207" s="582" t="s">
        <v>1224</v>
      </c>
      <c r="KCB2207" s="582" t="s">
        <v>1224</v>
      </c>
      <c r="KCC2207" s="582" t="s">
        <v>1224</v>
      </c>
      <c r="KCD2207" s="582" t="s">
        <v>1224</v>
      </c>
      <c r="KCE2207" s="582" t="s">
        <v>1224</v>
      </c>
      <c r="KCF2207" s="582" t="s">
        <v>1224</v>
      </c>
      <c r="KCG2207" s="582" t="s">
        <v>1224</v>
      </c>
      <c r="KCH2207" s="582" t="s">
        <v>1224</v>
      </c>
      <c r="KCI2207" s="582" t="s">
        <v>1224</v>
      </c>
      <c r="KCJ2207" s="582" t="s">
        <v>1224</v>
      </c>
      <c r="KCK2207" s="582" t="s">
        <v>1224</v>
      </c>
      <c r="KCL2207" s="582" t="s">
        <v>1224</v>
      </c>
      <c r="KCM2207" s="582" t="s">
        <v>1224</v>
      </c>
      <c r="KCN2207" s="582" t="s">
        <v>1224</v>
      </c>
      <c r="KCO2207" s="582" t="s">
        <v>1224</v>
      </c>
      <c r="KCP2207" s="582" t="s">
        <v>1224</v>
      </c>
      <c r="KCQ2207" s="582" t="s">
        <v>1224</v>
      </c>
      <c r="KCR2207" s="582" t="s">
        <v>1224</v>
      </c>
      <c r="KCS2207" s="582" t="s">
        <v>1224</v>
      </c>
      <c r="KCT2207" s="582" t="s">
        <v>1224</v>
      </c>
      <c r="KCU2207" s="582" t="s">
        <v>1224</v>
      </c>
      <c r="KCV2207" s="582" t="s">
        <v>1224</v>
      </c>
      <c r="KCW2207" s="582" t="s">
        <v>1224</v>
      </c>
      <c r="KCX2207" s="582" t="s">
        <v>1224</v>
      </c>
      <c r="KCY2207" s="582" t="s">
        <v>1224</v>
      </c>
      <c r="KCZ2207" s="582" t="s">
        <v>1224</v>
      </c>
      <c r="KDA2207" s="582" t="s">
        <v>1224</v>
      </c>
      <c r="KDB2207" s="582" t="s">
        <v>1224</v>
      </c>
      <c r="KDC2207" s="582" t="s">
        <v>1224</v>
      </c>
      <c r="KDD2207" s="582" t="s">
        <v>1224</v>
      </c>
      <c r="KDE2207" s="582" t="s">
        <v>1224</v>
      </c>
      <c r="KDF2207" s="582" t="s">
        <v>1224</v>
      </c>
      <c r="KDG2207" s="582" t="s">
        <v>1224</v>
      </c>
      <c r="KDH2207" s="582" t="s">
        <v>1224</v>
      </c>
      <c r="KDI2207" s="582" t="s">
        <v>1224</v>
      </c>
      <c r="KDJ2207" s="582" t="s">
        <v>1224</v>
      </c>
      <c r="KDK2207" s="582" t="s">
        <v>1224</v>
      </c>
      <c r="KDL2207" s="582" t="s">
        <v>1224</v>
      </c>
      <c r="KDM2207" s="582" t="s">
        <v>1224</v>
      </c>
      <c r="KDN2207" s="582" t="s">
        <v>1224</v>
      </c>
      <c r="KDO2207" s="582" t="s">
        <v>1224</v>
      </c>
      <c r="KDP2207" s="582" t="s">
        <v>1224</v>
      </c>
      <c r="KDQ2207" s="582" t="s">
        <v>1224</v>
      </c>
      <c r="KDR2207" s="582" t="s">
        <v>1224</v>
      </c>
      <c r="KDS2207" s="582" t="s">
        <v>1224</v>
      </c>
      <c r="KDT2207" s="582" t="s">
        <v>1224</v>
      </c>
      <c r="KDU2207" s="582" t="s">
        <v>1224</v>
      </c>
      <c r="KDV2207" s="582" t="s">
        <v>1224</v>
      </c>
      <c r="KDW2207" s="582" t="s">
        <v>1224</v>
      </c>
      <c r="KDX2207" s="582" t="s">
        <v>1224</v>
      </c>
      <c r="KDY2207" s="582" t="s">
        <v>1224</v>
      </c>
      <c r="KDZ2207" s="582" t="s">
        <v>1224</v>
      </c>
      <c r="KEA2207" s="582" t="s">
        <v>1224</v>
      </c>
      <c r="KEB2207" s="582" t="s">
        <v>1224</v>
      </c>
      <c r="KEC2207" s="582" t="s">
        <v>1224</v>
      </c>
      <c r="KED2207" s="582" t="s">
        <v>1224</v>
      </c>
      <c r="KEE2207" s="582" t="s">
        <v>1224</v>
      </c>
      <c r="KEF2207" s="582" t="s">
        <v>1224</v>
      </c>
      <c r="KEG2207" s="582" t="s">
        <v>1224</v>
      </c>
      <c r="KEH2207" s="582" t="s">
        <v>1224</v>
      </c>
      <c r="KEI2207" s="582" t="s">
        <v>1224</v>
      </c>
      <c r="KEJ2207" s="582" t="s">
        <v>1224</v>
      </c>
      <c r="KEK2207" s="582" t="s">
        <v>1224</v>
      </c>
      <c r="KEL2207" s="582" t="s">
        <v>1224</v>
      </c>
      <c r="KEM2207" s="582" t="s">
        <v>1224</v>
      </c>
      <c r="KEN2207" s="582" t="s">
        <v>1224</v>
      </c>
      <c r="KEO2207" s="582" t="s">
        <v>1224</v>
      </c>
      <c r="KEP2207" s="582" t="s">
        <v>1224</v>
      </c>
      <c r="KEQ2207" s="582" t="s">
        <v>1224</v>
      </c>
      <c r="KER2207" s="582" t="s">
        <v>1224</v>
      </c>
      <c r="KES2207" s="582" t="s">
        <v>1224</v>
      </c>
      <c r="KET2207" s="582" t="s">
        <v>1224</v>
      </c>
      <c r="KEU2207" s="582" t="s">
        <v>1224</v>
      </c>
      <c r="KEV2207" s="582" t="s">
        <v>1224</v>
      </c>
      <c r="KEW2207" s="582" t="s">
        <v>1224</v>
      </c>
      <c r="KEX2207" s="582" t="s">
        <v>1224</v>
      </c>
      <c r="KEY2207" s="582" t="s">
        <v>1224</v>
      </c>
      <c r="KEZ2207" s="582" t="s">
        <v>1224</v>
      </c>
      <c r="KFA2207" s="582" t="s">
        <v>1224</v>
      </c>
      <c r="KFB2207" s="582" t="s">
        <v>1224</v>
      </c>
      <c r="KFC2207" s="582" t="s">
        <v>1224</v>
      </c>
      <c r="KFD2207" s="582" t="s">
        <v>1224</v>
      </c>
      <c r="KFE2207" s="582" t="s">
        <v>1224</v>
      </c>
      <c r="KFF2207" s="582" t="s">
        <v>1224</v>
      </c>
      <c r="KFG2207" s="582" t="s">
        <v>1224</v>
      </c>
      <c r="KFH2207" s="582" t="s">
        <v>1224</v>
      </c>
      <c r="KFI2207" s="582" t="s">
        <v>1224</v>
      </c>
      <c r="KFJ2207" s="582" t="s">
        <v>1224</v>
      </c>
      <c r="KFK2207" s="582" t="s">
        <v>1224</v>
      </c>
      <c r="KFL2207" s="582" t="s">
        <v>1224</v>
      </c>
      <c r="KFM2207" s="582" t="s">
        <v>1224</v>
      </c>
      <c r="KFN2207" s="582" t="s">
        <v>1224</v>
      </c>
      <c r="KFO2207" s="582" t="s">
        <v>1224</v>
      </c>
      <c r="KFP2207" s="582" t="s">
        <v>1224</v>
      </c>
      <c r="KFQ2207" s="582" t="s">
        <v>1224</v>
      </c>
      <c r="KFR2207" s="582" t="s">
        <v>1224</v>
      </c>
      <c r="KFS2207" s="582" t="s">
        <v>1224</v>
      </c>
      <c r="KFT2207" s="582" t="s">
        <v>1224</v>
      </c>
      <c r="KFU2207" s="582" t="s">
        <v>1224</v>
      </c>
      <c r="KFV2207" s="582" t="s">
        <v>1224</v>
      </c>
      <c r="KFW2207" s="582" t="s">
        <v>1224</v>
      </c>
      <c r="KFX2207" s="582" t="s">
        <v>1224</v>
      </c>
      <c r="KFY2207" s="582" t="s">
        <v>1224</v>
      </c>
      <c r="KFZ2207" s="582" t="s">
        <v>1224</v>
      </c>
      <c r="KGA2207" s="582" t="s">
        <v>1224</v>
      </c>
      <c r="KGB2207" s="582" t="s">
        <v>1224</v>
      </c>
      <c r="KGC2207" s="582" t="s">
        <v>1224</v>
      </c>
      <c r="KGD2207" s="582" t="s">
        <v>1224</v>
      </c>
      <c r="KGE2207" s="582" t="s">
        <v>1224</v>
      </c>
      <c r="KGF2207" s="582" t="s">
        <v>1224</v>
      </c>
      <c r="KGG2207" s="582" t="s">
        <v>1224</v>
      </c>
      <c r="KGH2207" s="582" t="s">
        <v>1224</v>
      </c>
      <c r="KGI2207" s="582" t="s">
        <v>1224</v>
      </c>
      <c r="KGJ2207" s="582" t="s">
        <v>1224</v>
      </c>
      <c r="KGK2207" s="582" t="s">
        <v>1224</v>
      </c>
      <c r="KGL2207" s="582" t="s">
        <v>1224</v>
      </c>
      <c r="KGM2207" s="582" t="s">
        <v>1224</v>
      </c>
      <c r="KGN2207" s="582" t="s">
        <v>1224</v>
      </c>
      <c r="KGO2207" s="582" t="s">
        <v>1224</v>
      </c>
      <c r="KGP2207" s="582" t="s">
        <v>1224</v>
      </c>
      <c r="KGQ2207" s="582" t="s">
        <v>1224</v>
      </c>
      <c r="KGR2207" s="582" t="s">
        <v>1224</v>
      </c>
      <c r="KGS2207" s="582" t="s">
        <v>1224</v>
      </c>
      <c r="KGT2207" s="582" t="s">
        <v>1224</v>
      </c>
      <c r="KGU2207" s="582" t="s">
        <v>1224</v>
      </c>
      <c r="KGV2207" s="582" t="s">
        <v>1224</v>
      </c>
      <c r="KGW2207" s="582" t="s">
        <v>1224</v>
      </c>
      <c r="KGX2207" s="582" t="s">
        <v>1224</v>
      </c>
      <c r="KGY2207" s="582" t="s">
        <v>1224</v>
      </c>
      <c r="KGZ2207" s="582" t="s">
        <v>1224</v>
      </c>
      <c r="KHA2207" s="582" t="s">
        <v>1224</v>
      </c>
      <c r="KHB2207" s="582" t="s">
        <v>1224</v>
      </c>
      <c r="KHC2207" s="582" t="s">
        <v>1224</v>
      </c>
      <c r="KHD2207" s="582" t="s">
        <v>1224</v>
      </c>
      <c r="KHE2207" s="582" t="s">
        <v>1224</v>
      </c>
      <c r="KHF2207" s="582" t="s">
        <v>1224</v>
      </c>
      <c r="KHG2207" s="582" t="s">
        <v>1224</v>
      </c>
      <c r="KHH2207" s="582" t="s">
        <v>1224</v>
      </c>
      <c r="KHI2207" s="582" t="s">
        <v>1224</v>
      </c>
      <c r="KHJ2207" s="582" t="s">
        <v>1224</v>
      </c>
      <c r="KHK2207" s="582" t="s">
        <v>1224</v>
      </c>
      <c r="KHL2207" s="582" t="s">
        <v>1224</v>
      </c>
      <c r="KHM2207" s="582" t="s">
        <v>1224</v>
      </c>
      <c r="KHN2207" s="582" t="s">
        <v>1224</v>
      </c>
      <c r="KHO2207" s="582" t="s">
        <v>1224</v>
      </c>
      <c r="KHP2207" s="582" t="s">
        <v>1224</v>
      </c>
      <c r="KHQ2207" s="582" t="s">
        <v>1224</v>
      </c>
      <c r="KHR2207" s="582" t="s">
        <v>1224</v>
      </c>
      <c r="KHS2207" s="582" t="s">
        <v>1224</v>
      </c>
      <c r="KHT2207" s="582" t="s">
        <v>1224</v>
      </c>
      <c r="KHU2207" s="582" t="s">
        <v>1224</v>
      </c>
      <c r="KHV2207" s="582" t="s">
        <v>1224</v>
      </c>
      <c r="KHW2207" s="582" t="s">
        <v>1224</v>
      </c>
      <c r="KHX2207" s="582" t="s">
        <v>1224</v>
      </c>
      <c r="KHY2207" s="582" t="s">
        <v>1224</v>
      </c>
      <c r="KHZ2207" s="582" t="s">
        <v>1224</v>
      </c>
      <c r="KIA2207" s="582" t="s">
        <v>1224</v>
      </c>
      <c r="KIB2207" s="582" t="s">
        <v>1224</v>
      </c>
      <c r="KIC2207" s="582" t="s">
        <v>1224</v>
      </c>
      <c r="KID2207" s="582" t="s">
        <v>1224</v>
      </c>
      <c r="KIE2207" s="582" t="s">
        <v>1224</v>
      </c>
      <c r="KIF2207" s="582" t="s">
        <v>1224</v>
      </c>
      <c r="KIG2207" s="582" t="s">
        <v>1224</v>
      </c>
      <c r="KIH2207" s="582" t="s">
        <v>1224</v>
      </c>
      <c r="KII2207" s="582" t="s">
        <v>1224</v>
      </c>
      <c r="KIJ2207" s="582" t="s">
        <v>1224</v>
      </c>
      <c r="KIK2207" s="582" t="s">
        <v>1224</v>
      </c>
      <c r="KIL2207" s="582" t="s">
        <v>1224</v>
      </c>
      <c r="KIM2207" s="582" t="s">
        <v>1224</v>
      </c>
      <c r="KIN2207" s="582" t="s">
        <v>1224</v>
      </c>
      <c r="KIO2207" s="582" t="s">
        <v>1224</v>
      </c>
      <c r="KIP2207" s="582" t="s">
        <v>1224</v>
      </c>
      <c r="KIQ2207" s="582" t="s">
        <v>1224</v>
      </c>
      <c r="KIR2207" s="582" t="s">
        <v>1224</v>
      </c>
      <c r="KIS2207" s="582" t="s">
        <v>1224</v>
      </c>
      <c r="KIT2207" s="582" t="s">
        <v>1224</v>
      </c>
      <c r="KIU2207" s="582" t="s">
        <v>1224</v>
      </c>
      <c r="KIV2207" s="582" t="s">
        <v>1224</v>
      </c>
      <c r="KIW2207" s="582" t="s">
        <v>1224</v>
      </c>
      <c r="KIX2207" s="582" t="s">
        <v>1224</v>
      </c>
      <c r="KIY2207" s="582" t="s">
        <v>1224</v>
      </c>
      <c r="KIZ2207" s="582" t="s">
        <v>1224</v>
      </c>
      <c r="KJA2207" s="582" t="s">
        <v>1224</v>
      </c>
      <c r="KJB2207" s="582" t="s">
        <v>1224</v>
      </c>
      <c r="KJC2207" s="582" t="s">
        <v>1224</v>
      </c>
      <c r="KJD2207" s="582" t="s">
        <v>1224</v>
      </c>
      <c r="KJE2207" s="582" t="s">
        <v>1224</v>
      </c>
      <c r="KJF2207" s="582" t="s">
        <v>1224</v>
      </c>
      <c r="KJG2207" s="582" t="s">
        <v>1224</v>
      </c>
      <c r="KJH2207" s="582" t="s">
        <v>1224</v>
      </c>
      <c r="KJI2207" s="582" t="s">
        <v>1224</v>
      </c>
      <c r="KJJ2207" s="582" t="s">
        <v>1224</v>
      </c>
      <c r="KJK2207" s="582" t="s">
        <v>1224</v>
      </c>
      <c r="KJL2207" s="582" t="s">
        <v>1224</v>
      </c>
      <c r="KJM2207" s="582" t="s">
        <v>1224</v>
      </c>
      <c r="KJN2207" s="582" t="s">
        <v>1224</v>
      </c>
      <c r="KJO2207" s="582" t="s">
        <v>1224</v>
      </c>
      <c r="KJP2207" s="582" t="s">
        <v>1224</v>
      </c>
      <c r="KJQ2207" s="582" t="s">
        <v>1224</v>
      </c>
      <c r="KJR2207" s="582" t="s">
        <v>1224</v>
      </c>
      <c r="KJS2207" s="582" t="s">
        <v>1224</v>
      </c>
      <c r="KJT2207" s="582" t="s">
        <v>1224</v>
      </c>
      <c r="KJU2207" s="582" t="s">
        <v>1224</v>
      </c>
      <c r="KJV2207" s="582" t="s">
        <v>1224</v>
      </c>
      <c r="KJW2207" s="582" t="s">
        <v>1224</v>
      </c>
      <c r="KJX2207" s="582" t="s">
        <v>1224</v>
      </c>
      <c r="KJY2207" s="582" t="s">
        <v>1224</v>
      </c>
      <c r="KJZ2207" s="582" t="s">
        <v>1224</v>
      </c>
      <c r="KKA2207" s="582" t="s">
        <v>1224</v>
      </c>
      <c r="KKB2207" s="582" t="s">
        <v>1224</v>
      </c>
      <c r="KKC2207" s="582" t="s">
        <v>1224</v>
      </c>
      <c r="KKD2207" s="582" t="s">
        <v>1224</v>
      </c>
      <c r="KKE2207" s="582" t="s">
        <v>1224</v>
      </c>
      <c r="KKF2207" s="582" t="s">
        <v>1224</v>
      </c>
      <c r="KKG2207" s="582" t="s">
        <v>1224</v>
      </c>
      <c r="KKH2207" s="582" t="s">
        <v>1224</v>
      </c>
      <c r="KKI2207" s="582" t="s">
        <v>1224</v>
      </c>
      <c r="KKJ2207" s="582" t="s">
        <v>1224</v>
      </c>
      <c r="KKK2207" s="582" t="s">
        <v>1224</v>
      </c>
      <c r="KKL2207" s="582" t="s">
        <v>1224</v>
      </c>
      <c r="KKM2207" s="582" t="s">
        <v>1224</v>
      </c>
      <c r="KKN2207" s="582" t="s">
        <v>1224</v>
      </c>
      <c r="KKO2207" s="582" t="s">
        <v>1224</v>
      </c>
      <c r="KKP2207" s="582" t="s">
        <v>1224</v>
      </c>
      <c r="KKQ2207" s="582" t="s">
        <v>1224</v>
      </c>
      <c r="KKR2207" s="582" t="s">
        <v>1224</v>
      </c>
      <c r="KKS2207" s="582" t="s">
        <v>1224</v>
      </c>
      <c r="KKT2207" s="582" t="s">
        <v>1224</v>
      </c>
      <c r="KKU2207" s="582" t="s">
        <v>1224</v>
      </c>
      <c r="KKV2207" s="582" t="s">
        <v>1224</v>
      </c>
      <c r="KKW2207" s="582" t="s">
        <v>1224</v>
      </c>
      <c r="KKX2207" s="582" t="s">
        <v>1224</v>
      </c>
      <c r="KKY2207" s="582" t="s">
        <v>1224</v>
      </c>
      <c r="KKZ2207" s="582" t="s">
        <v>1224</v>
      </c>
      <c r="KLA2207" s="582" t="s">
        <v>1224</v>
      </c>
      <c r="KLB2207" s="582" t="s">
        <v>1224</v>
      </c>
      <c r="KLC2207" s="582" t="s">
        <v>1224</v>
      </c>
      <c r="KLD2207" s="582" t="s">
        <v>1224</v>
      </c>
      <c r="KLE2207" s="582" t="s">
        <v>1224</v>
      </c>
      <c r="KLF2207" s="582" t="s">
        <v>1224</v>
      </c>
      <c r="KLG2207" s="582" t="s">
        <v>1224</v>
      </c>
      <c r="KLH2207" s="582" t="s">
        <v>1224</v>
      </c>
      <c r="KLI2207" s="582" t="s">
        <v>1224</v>
      </c>
      <c r="KLJ2207" s="582" t="s">
        <v>1224</v>
      </c>
      <c r="KLK2207" s="582" t="s">
        <v>1224</v>
      </c>
      <c r="KLL2207" s="582" t="s">
        <v>1224</v>
      </c>
      <c r="KLM2207" s="582" t="s">
        <v>1224</v>
      </c>
      <c r="KLN2207" s="582" t="s">
        <v>1224</v>
      </c>
      <c r="KLO2207" s="582" t="s">
        <v>1224</v>
      </c>
      <c r="KLP2207" s="582" t="s">
        <v>1224</v>
      </c>
      <c r="KLQ2207" s="582" t="s">
        <v>1224</v>
      </c>
      <c r="KLR2207" s="582" t="s">
        <v>1224</v>
      </c>
      <c r="KLS2207" s="582" t="s">
        <v>1224</v>
      </c>
      <c r="KLT2207" s="582" t="s">
        <v>1224</v>
      </c>
      <c r="KLU2207" s="582" t="s">
        <v>1224</v>
      </c>
      <c r="KLV2207" s="582" t="s">
        <v>1224</v>
      </c>
      <c r="KLW2207" s="582" t="s">
        <v>1224</v>
      </c>
      <c r="KLX2207" s="582" t="s">
        <v>1224</v>
      </c>
      <c r="KLY2207" s="582" t="s">
        <v>1224</v>
      </c>
      <c r="KLZ2207" s="582" t="s">
        <v>1224</v>
      </c>
      <c r="KMA2207" s="582" t="s">
        <v>1224</v>
      </c>
      <c r="KMB2207" s="582" t="s">
        <v>1224</v>
      </c>
      <c r="KMC2207" s="582" t="s">
        <v>1224</v>
      </c>
      <c r="KMD2207" s="582" t="s">
        <v>1224</v>
      </c>
      <c r="KME2207" s="582" t="s">
        <v>1224</v>
      </c>
      <c r="KMF2207" s="582" t="s">
        <v>1224</v>
      </c>
      <c r="KMG2207" s="582" t="s">
        <v>1224</v>
      </c>
      <c r="KMH2207" s="582" t="s">
        <v>1224</v>
      </c>
      <c r="KMI2207" s="582" t="s">
        <v>1224</v>
      </c>
      <c r="KMJ2207" s="582" t="s">
        <v>1224</v>
      </c>
      <c r="KMK2207" s="582" t="s">
        <v>1224</v>
      </c>
      <c r="KML2207" s="582" t="s">
        <v>1224</v>
      </c>
      <c r="KMM2207" s="582" t="s">
        <v>1224</v>
      </c>
      <c r="KMN2207" s="582" t="s">
        <v>1224</v>
      </c>
      <c r="KMO2207" s="582" t="s">
        <v>1224</v>
      </c>
      <c r="KMP2207" s="582" t="s">
        <v>1224</v>
      </c>
      <c r="KMQ2207" s="582" t="s">
        <v>1224</v>
      </c>
      <c r="KMR2207" s="582" t="s">
        <v>1224</v>
      </c>
      <c r="KMS2207" s="582" t="s">
        <v>1224</v>
      </c>
      <c r="KMT2207" s="582" t="s">
        <v>1224</v>
      </c>
      <c r="KMU2207" s="582" t="s">
        <v>1224</v>
      </c>
      <c r="KMV2207" s="582" t="s">
        <v>1224</v>
      </c>
      <c r="KMW2207" s="582" t="s">
        <v>1224</v>
      </c>
      <c r="KMX2207" s="582" t="s">
        <v>1224</v>
      </c>
      <c r="KMY2207" s="582" t="s">
        <v>1224</v>
      </c>
      <c r="KMZ2207" s="582" t="s">
        <v>1224</v>
      </c>
      <c r="KNA2207" s="582" t="s">
        <v>1224</v>
      </c>
      <c r="KNB2207" s="582" t="s">
        <v>1224</v>
      </c>
      <c r="KNC2207" s="582" t="s">
        <v>1224</v>
      </c>
      <c r="KND2207" s="582" t="s">
        <v>1224</v>
      </c>
      <c r="KNE2207" s="582" t="s">
        <v>1224</v>
      </c>
      <c r="KNF2207" s="582" t="s">
        <v>1224</v>
      </c>
      <c r="KNG2207" s="582" t="s">
        <v>1224</v>
      </c>
      <c r="KNH2207" s="582" t="s">
        <v>1224</v>
      </c>
      <c r="KNI2207" s="582" t="s">
        <v>1224</v>
      </c>
      <c r="KNJ2207" s="582" t="s">
        <v>1224</v>
      </c>
      <c r="KNK2207" s="582" t="s">
        <v>1224</v>
      </c>
      <c r="KNL2207" s="582" t="s">
        <v>1224</v>
      </c>
      <c r="KNM2207" s="582" t="s">
        <v>1224</v>
      </c>
      <c r="KNN2207" s="582" t="s">
        <v>1224</v>
      </c>
      <c r="KNO2207" s="582" t="s">
        <v>1224</v>
      </c>
      <c r="KNP2207" s="582" t="s">
        <v>1224</v>
      </c>
      <c r="KNQ2207" s="582" t="s">
        <v>1224</v>
      </c>
      <c r="KNR2207" s="582" t="s">
        <v>1224</v>
      </c>
      <c r="KNS2207" s="582" t="s">
        <v>1224</v>
      </c>
      <c r="KNT2207" s="582" t="s">
        <v>1224</v>
      </c>
      <c r="KNU2207" s="582" t="s">
        <v>1224</v>
      </c>
      <c r="KNV2207" s="582" t="s">
        <v>1224</v>
      </c>
      <c r="KNW2207" s="582" t="s">
        <v>1224</v>
      </c>
      <c r="KNX2207" s="582" t="s">
        <v>1224</v>
      </c>
      <c r="KNY2207" s="582" t="s">
        <v>1224</v>
      </c>
      <c r="KNZ2207" s="582" t="s">
        <v>1224</v>
      </c>
      <c r="KOA2207" s="582" t="s">
        <v>1224</v>
      </c>
      <c r="KOB2207" s="582" t="s">
        <v>1224</v>
      </c>
      <c r="KOC2207" s="582" t="s">
        <v>1224</v>
      </c>
      <c r="KOD2207" s="582" t="s">
        <v>1224</v>
      </c>
      <c r="KOE2207" s="582" t="s">
        <v>1224</v>
      </c>
      <c r="KOF2207" s="582" t="s">
        <v>1224</v>
      </c>
      <c r="KOG2207" s="582" t="s">
        <v>1224</v>
      </c>
      <c r="KOH2207" s="582" t="s">
        <v>1224</v>
      </c>
      <c r="KOI2207" s="582" t="s">
        <v>1224</v>
      </c>
      <c r="KOJ2207" s="582" t="s">
        <v>1224</v>
      </c>
      <c r="KOK2207" s="582" t="s">
        <v>1224</v>
      </c>
      <c r="KOL2207" s="582" t="s">
        <v>1224</v>
      </c>
      <c r="KOM2207" s="582" t="s">
        <v>1224</v>
      </c>
      <c r="KON2207" s="582" t="s">
        <v>1224</v>
      </c>
      <c r="KOO2207" s="582" t="s">
        <v>1224</v>
      </c>
      <c r="KOP2207" s="582" t="s">
        <v>1224</v>
      </c>
      <c r="KOQ2207" s="582" t="s">
        <v>1224</v>
      </c>
      <c r="KOR2207" s="582" t="s">
        <v>1224</v>
      </c>
      <c r="KOS2207" s="582" t="s">
        <v>1224</v>
      </c>
      <c r="KOT2207" s="582" t="s">
        <v>1224</v>
      </c>
      <c r="KOU2207" s="582" t="s">
        <v>1224</v>
      </c>
      <c r="KOV2207" s="582" t="s">
        <v>1224</v>
      </c>
      <c r="KOW2207" s="582" t="s">
        <v>1224</v>
      </c>
      <c r="KOX2207" s="582" t="s">
        <v>1224</v>
      </c>
      <c r="KOY2207" s="582" t="s">
        <v>1224</v>
      </c>
      <c r="KOZ2207" s="582" t="s">
        <v>1224</v>
      </c>
      <c r="KPA2207" s="582" t="s">
        <v>1224</v>
      </c>
      <c r="KPB2207" s="582" t="s">
        <v>1224</v>
      </c>
      <c r="KPC2207" s="582" t="s">
        <v>1224</v>
      </c>
      <c r="KPD2207" s="582" t="s">
        <v>1224</v>
      </c>
      <c r="KPE2207" s="582" t="s">
        <v>1224</v>
      </c>
      <c r="KPF2207" s="582" t="s">
        <v>1224</v>
      </c>
      <c r="KPG2207" s="582" t="s">
        <v>1224</v>
      </c>
      <c r="KPH2207" s="582" t="s">
        <v>1224</v>
      </c>
      <c r="KPI2207" s="582" t="s">
        <v>1224</v>
      </c>
      <c r="KPJ2207" s="582" t="s">
        <v>1224</v>
      </c>
      <c r="KPK2207" s="582" t="s">
        <v>1224</v>
      </c>
      <c r="KPL2207" s="582" t="s">
        <v>1224</v>
      </c>
      <c r="KPM2207" s="582" t="s">
        <v>1224</v>
      </c>
      <c r="KPN2207" s="582" t="s">
        <v>1224</v>
      </c>
      <c r="KPO2207" s="582" t="s">
        <v>1224</v>
      </c>
      <c r="KPP2207" s="582" t="s">
        <v>1224</v>
      </c>
      <c r="KPQ2207" s="582" t="s">
        <v>1224</v>
      </c>
      <c r="KPR2207" s="582" t="s">
        <v>1224</v>
      </c>
      <c r="KPS2207" s="582" t="s">
        <v>1224</v>
      </c>
      <c r="KPT2207" s="582" t="s">
        <v>1224</v>
      </c>
      <c r="KPU2207" s="582" t="s">
        <v>1224</v>
      </c>
      <c r="KPV2207" s="582" t="s">
        <v>1224</v>
      </c>
      <c r="KPW2207" s="582" t="s">
        <v>1224</v>
      </c>
      <c r="KPX2207" s="582" t="s">
        <v>1224</v>
      </c>
      <c r="KPY2207" s="582" t="s">
        <v>1224</v>
      </c>
      <c r="KPZ2207" s="582" t="s">
        <v>1224</v>
      </c>
      <c r="KQA2207" s="582" t="s">
        <v>1224</v>
      </c>
      <c r="KQB2207" s="582" t="s">
        <v>1224</v>
      </c>
      <c r="KQC2207" s="582" t="s">
        <v>1224</v>
      </c>
      <c r="KQD2207" s="582" t="s">
        <v>1224</v>
      </c>
      <c r="KQE2207" s="582" t="s">
        <v>1224</v>
      </c>
      <c r="KQF2207" s="582" t="s">
        <v>1224</v>
      </c>
      <c r="KQG2207" s="582" t="s">
        <v>1224</v>
      </c>
      <c r="KQH2207" s="582" t="s">
        <v>1224</v>
      </c>
      <c r="KQI2207" s="582" t="s">
        <v>1224</v>
      </c>
      <c r="KQJ2207" s="582" t="s">
        <v>1224</v>
      </c>
      <c r="KQK2207" s="582" t="s">
        <v>1224</v>
      </c>
      <c r="KQL2207" s="582" t="s">
        <v>1224</v>
      </c>
      <c r="KQM2207" s="582" t="s">
        <v>1224</v>
      </c>
      <c r="KQN2207" s="582" t="s">
        <v>1224</v>
      </c>
      <c r="KQO2207" s="582" t="s">
        <v>1224</v>
      </c>
      <c r="KQP2207" s="582" t="s">
        <v>1224</v>
      </c>
      <c r="KQQ2207" s="582" t="s">
        <v>1224</v>
      </c>
      <c r="KQR2207" s="582" t="s">
        <v>1224</v>
      </c>
      <c r="KQS2207" s="582" t="s">
        <v>1224</v>
      </c>
      <c r="KQT2207" s="582" t="s">
        <v>1224</v>
      </c>
      <c r="KQU2207" s="582" t="s">
        <v>1224</v>
      </c>
      <c r="KQV2207" s="582" t="s">
        <v>1224</v>
      </c>
      <c r="KQW2207" s="582" t="s">
        <v>1224</v>
      </c>
      <c r="KQX2207" s="582" t="s">
        <v>1224</v>
      </c>
      <c r="KQY2207" s="582" t="s">
        <v>1224</v>
      </c>
      <c r="KQZ2207" s="582" t="s">
        <v>1224</v>
      </c>
      <c r="KRA2207" s="582" t="s">
        <v>1224</v>
      </c>
      <c r="KRB2207" s="582" t="s">
        <v>1224</v>
      </c>
      <c r="KRC2207" s="582" t="s">
        <v>1224</v>
      </c>
      <c r="KRD2207" s="582" t="s">
        <v>1224</v>
      </c>
      <c r="KRE2207" s="582" t="s">
        <v>1224</v>
      </c>
      <c r="KRF2207" s="582" t="s">
        <v>1224</v>
      </c>
      <c r="KRG2207" s="582" t="s">
        <v>1224</v>
      </c>
      <c r="KRH2207" s="582" t="s">
        <v>1224</v>
      </c>
      <c r="KRI2207" s="582" t="s">
        <v>1224</v>
      </c>
      <c r="KRJ2207" s="582" t="s">
        <v>1224</v>
      </c>
      <c r="KRK2207" s="582" t="s">
        <v>1224</v>
      </c>
      <c r="KRL2207" s="582" t="s">
        <v>1224</v>
      </c>
      <c r="KRM2207" s="582" t="s">
        <v>1224</v>
      </c>
      <c r="KRN2207" s="582" t="s">
        <v>1224</v>
      </c>
      <c r="KRO2207" s="582" t="s">
        <v>1224</v>
      </c>
      <c r="KRP2207" s="582" t="s">
        <v>1224</v>
      </c>
      <c r="KRQ2207" s="582" t="s">
        <v>1224</v>
      </c>
      <c r="KRR2207" s="582" t="s">
        <v>1224</v>
      </c>
      <c r="KRS2207" s="582" t="s">
        <v>1224</v>
      </c>
      <c r="KRT2207" s="582" t="s">
        <v>1224</v>
      </c>
      <c r="KRU2207" s="582" t="s">
        <v>1224</v>
      </c>
      <c r="KRV2207" s="582" t="s">
        <v>1224</v>
      </c>
      <c r="KRW2207" s="582" t="s">
        <v>1224</v>
      </c>
      <c r="KRX2207" s="582" t="s">
        <v>1224</v>
      </c>
      <c r="KRY2207" s="582" t="s">
        <v>1224</v>
      </c>
      <c r="KRZ2207" s="582" t="s">
        <v>1224</v>
      </c>
      <c r="KSA2207" s="582" t="s">
        <v>1224</v>
      </c>
      <c r="KSB2207" s="582" t="s">
        <v>1224</v>
      </c>
      <c r="KSC2207" s="582" t="s">
        <v>1224</v>
      </c>
      <c r="KSD2207" s="582" t="s">
        <v>1224</v>
      </c>
      <c r="KSE2207" s="582" t="s">
        <v>1224</v>
      </c>
      <c r="KSF2207" s="582" t="s">
        <v>1224</v>
      </c>
      <c r="KSG2207" s="582" t="s">
        <v>1224</v>
      </c>
      <c r="KSH2207" s="582" t="s">
        <v>1224</v>
      </c>
      <c r="KSI2207" s="582" t="s">
        <v>1224</v>
      </c>
      <c r="KSJ2207" s="582" t="s">
        <v>1224</v>
      </c>
      <c r="KSK2207" s="582" t="s">
        <v>1224</v>
      </c>
      <c r="KSL2207" s="582" t="s">
        <v>1224</v>
      </c>
      <c r="KSM2207" s="582" t="s">
        <v>1224</v>
      </c>
      <c r="KSN2207" s="582" t="s">
        <v>1224</v>
      </c>
      <c r="KSO2207" s="582" t="s">
        <v>1224</v>
      </c>
      <c r="KSP2207" s="582" t="s">
        <v>1224</v>
      </c>
      <c r="KSQ2207" s="582" t="s">
        <v>1224</v>
      </c>
      <c r="KSR2207" s="582" t="s">
        <v>1224</v>
      </c>
      <c r="KSS2207" s="582" t="s">
        <v>1224</v>
      </c>
      <c r="KST2207" s="582" t="s">
        <v>1224</v>
      </c>
      <c r="KSU2207" s="582" t="s">
        <v>1224</v>
      </c>
      <c r="KSV2207" s="582" t="s">
        <v>1224</v>
      </c>
      <c r="KSW2207" s="582" t="s">
        <v>1224</v>
      </c>
      <c r="KSX2207" s="582" t="s">
        <v>1224</v>
      </c>
      <c r="KSY2207" s="582" t="s">
        <v>1224</v>
      </c>
      <c r="KSZ2207" s="582" t="s">
        <v>1224</v>
      </c>
      <c r="KTA2207" s="582" t="s">
        <v>1224</v>
      </c>
      <c r="KTB2207" s="582" t="s">
        <v>1224</v>
      </c>
      <c r="KTC2207" s="582" t="s">
        <v>1224</v>
      </c>
      <c r="KTD2207" s="582" t="s">
        <v>1224</v>
      </c>
      <c r="KTE2207" s="582" t="s">
        <v>1224</v>
      </c>
      <c r="KTF2207" s="582" t="s">
        <v>1224</v>
      </c>
      <c r="KTG2207" s="582" t="s">
        <v>1224</v>
      </c>
      <c r="KTH2207" s="582" t="s">
        <v>1224</v>
      </c>
      <c r="KTI2207" s="582" t="s">
        <v>1224</v>
      </c>
      <c r="KTJ2207" s="582" t="s">
        <v>1224</v>
      </c>
      <c r="KTK2207" s="582" t="s">
        <v>1224</v>
      </c>
      <c r="KTL2207" s="582" t="s">
        <v>1224</v>
      </c>
      <c r="KTM2207" s="582" t="s">
        <v>1224</v>
      </c>
      <c r="KTN2207" s="582" t="s">
        <v>1224</v>
      </c>
      <c r="KTO2207" s="582" t="s">
        <v>1224</v>
      </c>
      <c r="KTP2207" s="582" t="s">
        <v>1224</v>
      </c>
      <c r="KTQ2207" s="582" t="s">
        <v>1224</v>
      </c>
      <c r="KTR2207" s="582" t="s">
        <v>1224</v>
      </c>
      <c r="KTS2207" s="582" t="s">
        <v>1224</v>
      </c>
      <c r="KTT2207" s="582" t="s">
        <v>1224</v>
      </c>
      <c r="KTU2207" s="582" t="s">
        <v>1224</v>
      </c>
      <c r="KTV2207" s="582" t="s">
        <v>1224</v>
      </c>
      <c r="KTW2207" s="582" t="s">
        <v>1224</v>
      </c>
      <c r="KTX2207" s="582" t="s">
        <v>1224</v>
      </c>
      <c r="KTY2207" s="582" t="s">
        <v>1224</v>
      </c>
      <c r="KTZ2207" s="582" t="s">
        <v>1224</v>
      </c>
      <c r="KUA2207" s="582" t="s">
        <v>1224</v>
      </c>
      <c r="KUB2207" s="582" t="s">
        <v>1224</v>
      </c>
      <c r="KUC2207" s="582" t="s">
        <v>1224</v>
      </c>
      <c r="KUD2207" s="582" t="s">
        <v>1224</v>
      </c>
      <c r="KUE2207" s="582" t="s">
        <v>1224</v>
      </c>
      <c r="KUF2207" s="582" t="s">
        <v>1224</v>
      </c>
      <c r="KUG2207" s="582" t="s">
        <v>1224</v>
      </c>
      <c r="KUH2207" s="582" t="s">
        <v>1224</v>
      </c>
      <c r="KUI2207" s="582" t="s">
        <v>1224</v>
      </c>
      <c r="KUJ2207" s="582" t="s">
        <v>1224</v>
      </c>
      <c r="KUK2207" s="582" t="s">
        <v>1224</v>
      </c>
      <c r="KUL2207" s="582" t="s">
        <v>1224</v>
      </c>
      <c r="KUM2207" s="582" t="s">
        <v>1224</v>
      </c>
      <c r="KUN2207" s="582" t="s">
        <v>1224</v>
      </c>
      <c r="KUO2207" s="582" t="s">
        <v>1224</v>
      </c>
      <c r="KUP2207" s="582" t="s">
        <v>1224</v>
      </c>
      <c r="KUQ2207" s="582" t="s">
        <v>1224</v>
      </c>
      <c r="KUR2207" s="582" t="s">
        <v>1224</v>
      </c>
      <c r="KUS2207" s="582" t="s">
        <v>1224</v>
      </c>
      <c r="KUT2207" s="582" t="s">
        <v>1224</v>
      </c>
      <c r="KUU2207" s="582" t="s">
        <v>1224</v>
      </c>
      <c r="KUV2207" s="582" t="s">
        <v>1224</v>
      </c>
      <c r="KUW2207" s="582" t="s">
        <v>1224</v>
      </c>
      <c r="KUX2207" s="582" t="s">
        <v>1224</v>
      </c>
      <c r="KUY2207" s="582" t="s">
        <v>1224</v>
      </c>
      <c r="KUZ2207" s="582" t="s">
        <v>1224</v>
      </c>
      <c r="KVA2207" s="582" t="s">
        <v>1224</v>
      </c>
      <c r="KVB2207" s="582" t="s">
        <v>1224</v>
      </c>
      <c r="KVC2207" s="582" t="s">
        <v>1224</v>
      </c>
      <c r="KVD2207" s="582" t="s">
        <v>1224</v>
      </c>
      <c r="KVE2207" s="582" t="s">
        <v>1224</v>
      </c>
      <c r="KVF2207" s="582" t="s">
        <v>1224</v>
      </c>
      <c r="KVG2207" s="582" t="s">
        <v>1224</v>
      </c>
      <c r="KVH2207" s="582" t="s">
        <v>1224</v>
      </c>
      <c r="KVI2207" s="582" t="s">
        <v>1224</v>
      </c>
      <c r="KVJ2207" s="582" t="s">
        <v>1224</v>
      </c>
      <c r="KVK2207" s="582" t="s">
        <v>1224</v>
      </c>
      <c r="KVL2207" s="582" t="s">
        <v>1224</v>
      </c>
      <c r="KVM2207" s="582" t="s">
        <v>1224</v>
      </c>
      <c r="KVN2207" s="582" t="s">
        <v>1224</v>
      </c>
      <c r="KVO2207" s="582" t="s">
        <v>1224</v>
      </c>
      <c r="KVP2207" s="582" t="s">
        <v>1224</v>
      </c>
      <c r="KVQ2207" s="582" t="s">
        <v>1224</v>
      </c>
      <c r="KVR2207" s="582" t="s">
        <v>1224</v>
      </c>
      <c r="KVS2207" s="582" t="s">
        <v>1224</v>
      </c>
      <c r="KVT2207" s="582" t="s">
        <v>1224</v>
      </c>
      <c r="KVU2207" s="582" t="s">
        <v>1224</v>
      </c>
      <c r="KVV2207" s="582" t="s">
        <v>1224</v>
      </c>
      <c r="KVW2207" s="582" t="s">
        <v>1224</v>
      </c>
      <c r="KVX2207" s="582" t="s">
        <v>1224</v>
      </c>
      <c r="KVY2207" s="582" t="s">
        <v>1224</v>
      </c>
      <c r="KVZ2207" s="582" t="s">
        <v>1224</v>
      </c>
      <c r="KWA2207" s="582" t="s">
        <v>1224</v>
      </c>
      <c r="KWB2207" s="582" t="s">
        <v>1224</v>
      </c>
      <c r="KWC2207" s="582" t="s">
        <v>1224</v>
      </c>
      <c r="KWD2207" s="582" t="s">
        <v>1224</v>
      </c>
      <c r="KWE2207" s="582" t="s">
        <v>1224</v>
      </c>
      <c r="KWF2207" s="582" t="s">
        <v>1224</v>
      </c>
      <c r="KWG2207" s="582" t="s">
        <v>1224</v>
      </c>
      <c r="KWH2207" s="582" t="s">
        <v>1224</v>
      </c>
      <c r="KWI2207" s="582" t="s">
        <v>1224</v>
      </c>
      <c r="KWJ2207" s="582" t="s">
        <v>1224</v>
      </c>
      <c r="KWK2207" s="582" t="s">
        <v>1224</v>
      </c>
      <c r="KWL2207" s="582" t="s">
        <v>1224</v>
      </c>
      <c r="KWM2207" s="582" t="s">
        <v>1224</v>
      </c>
      <c r="KWN2207" s="582" t="s">
        <v>1224</v>
      </c>
      <c r="KWO2207" s="582" t="s">
        <v>1224</v>
      </c>
      <c r="KWP2207" s="582" t="s">
        <v>1224</v>
      </c>
      <c r="KWQ2207" s="582" t="s">
        <v>1224</v>
      </c>
      <c r="KWR2207" s="582" t="s">
        <v>1224</v>
      </c>
      <c r="KWS2207" s="582" t="s">
        <v>1224</v>
      </c>
      <c r="KWT2207" s="582" t="s">
        <v>1224</v>
      </c>
      <c r="KWU2207" s="582" t="s">
        <v>1224</v>
      </c>
      <c r="KWV2207" s="582" t="s">
        <v>1224</v>
      </c>
      <c r="KWW2207" s="582" t="s">
        <v>1224</v>
      </c>
      <c r="KWX2207" s="582" t="s">
        <v>1224</v>
      </c>
      <c r="KWY2207" s="582" t="s">
        <v>1224</v>
      </c>
      <c r="KWZ2207" s="582" t="s">
        <v>1224</v>
      </c>
      <c r="KXA2207" s="582" t="s">
        <v>1224</v>
      </c>
      <c r="KXB2207" s="582" t="s">
        <v>1224</v>
      </c>
      <c r="KXC2207" s="582" t="s">
        <v>1224</v>
      </c>
      <c r="KXD2207" s="582" t="s">
        <v>1224</v>
      </c>
      <c r="KXE2207" s="582" t="s">
        <v>1224</v>
      </c>
      <c r="KXF2207" s="582" t="s">
        <v>1224</v>
      </c>
      <c r="KXG2207" s="582" t="s">
        <v>1224</v>
      </c>
      <c r="KXH2207" s="582" t="s">
        <v>1224</v>
      </c>
      <c r="KXI2207" s="582" t="s">
        <v>1224</v>
      </c>
      <c r="KXJ2207" s="582" t="s">
        <v>1224</v>
      </c>
      <c r="KXK2207" s="582" t="s">
        <v>1224</v>
      </c>
      <c r="KXL2207" s="582" t="s">
        <v>1224</v>
      </c>
      <c r="KXM2207" s="582" t="s">
        <v>1224</v>
      </c>
      <c r="KXN2207" s="582" t="s">
        <v>1224</v>
      </c>
      <c r="KXO2207" s="582" t="s">
        <v>1224</v>
      </c>
      <c r="KXP2207" s="582" t="s">
        <v>1224</v>
      </c>
      <c r="KXQ2207" s="582" t="s">
        <v>1224</v>
      </c>
      <c r="KXR2207" s="582" t="s">
        <v>1224</v>
      </c>
      <c r="KXS2207" s="582" t="s">
        <v>1224</v>
      </c>
      <c r="KXT2207" s="582" t="s">
        <v>1224</v>
      </c>
      <c r="KXU2207" s="582" t="s">
        <v>1224</v>
      </c>
      <c r="KXV2207" s="582" t="s">
        <v>1224</v>
      </c>
      <c r="KXW2207" s="582" t="s">
        <v>1224</v>
      </c>
      <c r="KXX2207" s="582" t="s">
        <v>1224</v>
      </c>
      <c r="KXY2207" s="582" t="s">
        <v>1224</v>
      </c>
      <c r="KXZ2207" s="582" t="s">
        <v>1224</v>
      </c>
      <c r="KYA2207" s="582" t="s">
        <v>1224</v>
      </c>
      <c r="KYB2207" s="582" t="s">
        <v>1224</v>
      </c>
      <c r="KYC2207" s="582" t="s">
        <v>1224</v>
      </c>
      <c r="KYD2207" s="582" t="s">
        <v>1224</v>
      </c>
      <c r="KYE2207" s="582" t="s">
        <v>1224</v>
      </c>
      <c r="KYF2207" s="582" t="s">
        <v>1224</v>
      </c>
      <c r="KYG2207" s="582" t="s">
        <v>1224</v>
      </c>
      <c r="KYH2207" s="582" t="s">
        <v>1224</v>
      </c>
      <c r="KYI2207" s="582" t="s">
        <v>1224</v>
      </c>
      <c r="KYJ2207" s="582" t="s">
        <v>1224</v>
      </c>
      <c r="KYK2207" s="582" t="s">
        <v>1224</v>
      </c>
      <c r="KYL2207" s="582" t="s">
        <v>1224</v>
      </c>
      <c r="KYM2207" s="582" t="s">
        <v>1224</v>
      </c>
      <c r="KYN2207" s="582" t="s">
        <v>1224</v>
      </c>
      <c r="KYO2207" s="582" t="s">
        <v>1224</v>
      </c>
      <c r="KYP2207" s="582" t="s">
        <v>1224</v>
      </c>
      <c r="KYQ2207" s="582" t="s">
        <v>1224</v>
      </c>
      <c r="KYR2207" s="582" t="s">
        <v>1224</v>
      </c>
      <c r="KYS2207" s="582" t="s">
        <v>1224</v>
      </c>
      <c r="KYT2207" s="582" t="s">
        <v>1224</v>
      </c>
      <c r="KYU2207" s="582" t="s">
        <v>1224</v>
      </c>
      <c r="KYV2207" s="582" t="s">
        <v>1224</v>
      </c>
      <c r="KYW2207" s="582" t="s">
        <v>1224</v>
      </c>
      <c r="KYX2207" s="582" t="s">
        <v>1224</v>
      </c>
      <c r="KYY2207" s="582" t="s">
        <v>1224</v>
      </c>
      <c r="KYZ2207" s="582" t="s">
        <v>1224</v>
      </c>
      <c r="KZA2207" s="582" t="s">
        <v>1224</v>
      </c>
      <c r="KZB2207" s="582" t="s">
        <v>1224</v>
      </c>
      <c r="KZC2207" s="582" t="s">
        <v>1224</v>
      </c>
      <c r="KZD2207" s="582" t="s">
        <v>1224</v>
      </c>
      <c r="KZE2207" s="582" t="s">
        <v>1224</v>
      </c>
      <c r="KZF2207" s="582" t="s">
        <v>1224</v>
      </c>
      <c r="KZG2207" s="582" t="s">
        <v>1224</v>
      </c>
      <c r="KZH2207" s="582" t="s">
        <v>1224</v>
      </c>
      <c r="KZI2207" s="582" t="s">
        <v>1224</v>
      </c>
      <c r="KZJ2207" s="582" t="s">
        <v>1224</v>
      </c>
      <c r="KZK2207" s="582" t="s">
        <v>1224</v>
      </c>
      <c r="KZL2207" s="582" t="s">
        <v>1224</v>
      </c>
      <c r="KZM2207" s="582" t="s">
        <v>1224</v>
      </c>
      <c r="KZN2207" s="582" t="s">
        <v>1224</v>
      </c>
      <c r="KZO2207" s="582" t="s">
        <v>1224</v>
      </c>
      <c r="KZP2207" s="582" t="s">
        <v>1224</v>
      </c>
      <c r="KZQ2207" s="582" t="s">
        <v>1224</v>
      </c>
      <c r="KZR2207" s="582" t="s">
        <v>1224</v>
      </c>
      <c r="KZS2207" s="582" t="s">
        <v>1224</v>
      </c>
      <c r="KZT2207" s="582" t="s">
        <v>1224</v>
      </c>
      <c r="KZU2207" s="582" t="s">
        <v>1224</v>
      </c>
      <c r="KZV2207" s="582" t="s">
        <v>1224</v>
      </c>
      <c r="KZW2207" s="582" t="s">
        <v>1224</v>
      </c>
      <c r="KZX2207" s="582" t="s">
        <v>1224</v>
      </c>
      <c r="KZY2207" s="582" t="s">
        <v>1224</v>
      </c>
      <c r="KZZ2207" s="582" t="s">
        <v>1224</v>
      </c>
      <c r="LAA2207" s="582" t="s">
        <v>1224</v>
      </c>
      <c r="LAB2207" s="582" t="s">
        <v>1224</v>
      </c>
      <c r="LAC2207" s="582" t="s">
        <v>1224</v>
      </c>
      <c r="LAD2207" s="582" t="s">
        <v>1224</v>
      </c>
      <c r="LAE2207" s="582" t="s">
        <v>1224</v>
      </c>
      <c r="LAF2207" s="582" t="s">
        <v>1224</v>
      </c>
      <c r="LAG2207" s="582" t="s">
        <v>1224</v>
      </c>
      <c r="LAH2207" s="582" t="s">
        <v>1224</v>
      </c>
      <c r="LAI2207" s="582" t="s">
        <v>1224</v>
      </c>
      <c r="LAJ2207" s="582" t="s">
        <v>1224</v>
      </c>
      <c r="LAK2207" s="582" t="s">
        <v>1224</v>
      </c>
      <c r="LAL2207" s="582" t="s">
        <v>1224</v>
      </c>
      <c r="LAM2207" s="582" t="s">
        <v>1224</v>
      </c>
      <c r="LAN2207" s="582" t="s">
        <v>1224</v>
      </c>
      <c r="LAO2207" s="582" t="s">
        <v>1224</v>
      </c>
      <c r="LAP2207" s="582" t="s">
        <v>1224</v>
      </c>
      <c r="LAQ2207" s="582" t="s">
        <v>1224</v>
      </c>
      <c r="LAR2207" s="582" t="s">
        <v>1224</v>
      </c>
      <c r="LAS2207" s="582" t="s">
        <v>1224</v>
      </c>
      <c r="LAT2207" s="582" t="s">
        <v>1224</v>
      </c>
      <c r="LAU2207" s="582" t="s">
        <v>1224</v>
      </c>
      <c r="LAV2207" s="582" t="s">
        <v>1224</v>
      </c>
      <c r="LAW2207" s="582" t="s">
        <v>1224</v>
      </c>
      <c r="LAX2207" s="582" t="s">
        <v>1224</v>
      </c>
      <c r="LAY2207" s="582" t="s">
        <v>1224</v>
      </c>
      <c r="LAZ2207" s="582" t="s">
        <v>1224</v>
      </c>
      <c r="LBA2207" s="582" t="s">
        <v>1224</v>
      </c>
      <c r="LBB2207" s="582" t="s">
        <v>1224</v>
      </c>
      <c r="LBC2207" s="582" t="s">
        <v>1224</v>
      </c>
      <c r="LBD2207" s="582" t="s">
        <v>1224</v>
      </c>
      <c r="LBE2207" s="582" t="s">
        <v>1224</v>
      </c>
      <c r="LBF2207" s="582" t="s">
        <v>1224</v>
      </c>
      <c r="LBG2207" s="582" t="s">
        <v>1224</v>
      </c>
      <c r="LBH2207" s="582" t="s">
        <v>1224</v>
      </c>
      <c r="LBI2207" s="582" t="s">
        <v>1224</v>
      </c>
      <c r="LBJ2207" s="582" t="s">
        <v>1224</v>
      </c>
      <c r="LBK2207" s="582" t="s">
        <v>1224</v>
      </c>
      <c r="LBL2207" s="582" t="s">
        <v>1224</v>
      </c>
      <c r="LBM2207" s="582" t="s">
        <v>1224</v>
      </c>
      <c r="LBN2207" s="582" t="s">
        <v>1224</v>
      </c>
      <c r="LBO2207" s="582" t="s">
        <v>1224</v>
      </c>
      <c r="LBP2207" s="582" t="s">
        <v>1224</v>
      </c>
      <c r="LBQ2207" s="582" t="s">
        <v>1224</v>
      </c>
      <c r="LBR2207" s="582" t="s">
        <v>1224</v>
      </c>
      <c r="LBS2207" s="582" t="s">
        <v>1224</v>
      </c>
      <c r="LBT2207" s="582" t="s">
        <v>1224</v>
      </c>
      <c r="LBU2207" s="582" t="s">
        <v>1224</v>
      </c>
      <c r="LBV2207" s="582" t="s">
        <v>1224</v>
      </c>
      <c r="LBW2207" s="582" t="s">
        <v>1224</v>
      </c>
      <c r="LBX2207" s="582" t="s">
        <v>1224</v>
      </c>
      <c r="LBY2207" s="582" t="s">
        <v>1224</v>
      </c>
      <c r="LBZ2207" s="582" t="s">
        <v>1224</v>
      </c>
      <c r="LCA2207" s="582" t="s">
        <v>1224</v>
      </c>
      <c r="LCB2207" s="582" t="s">
        <v>1224</v>
      </c>
      <c r="LCC2207" s="582" t="s">
        <v>1224</v>
      </c>
      <c r="LCD2207" s="582" t="s">
        <v>1224</v>
      </c>
      <c r="LCE2207" s="582" t="s">
        <v>1224</v>
      </c>
      <c r="LCF2207" s="582" t="s">
        <v>1224</v>
      </c>
      <c r="LCG2207" s="582" t="s">
        <v>1224</v>
      </c>
      <c r="LCH2207" s="582" t="s">
        <v>1224</v>
      </c>
      <c r="LCI2207" s="582" t="s">
        <v>1224</v>
      </c>
      <c r="LCJ2207" s="582" t="s">
        <v>1224</v>
      </c>
      <c r="LCK2207" s="582" t="s">
        <v>1224</v>
      </c>
      <c r="LCL2207" s="582" t="s">
        <v>1224</v>
      </c>
      <c r="LCM2207" s="582" t="s">
        <v>1224</v>
      </c>
      <c r="LCN2207" s="582" t="s">
        <v>1224</v>
      </c>
      <c r="LCO2207" s="582" t="s">
        <v>1224</v>
      </c>
      <c r="LCP2207" s="582" t="s">
        <v>1224</v>
      </c>
      <c r="LCQ2207" s="582" t="s">
        <v>1224</v>
      </c>
      <c r="LCR2207" s="582" t="s">
        <v>1224</v>
      </c>
      <c r="LCS2207" s="582" t="s">
        <v>1224</v>
      </c>
      <c r="LCT2207" s="582" t="s">
        <v>1224</v>
      </c>
      <c r="LCU2207" s="582" t="s">
        <v>1224</v>
      </c>
      <c r="LCV2207" s="582" t="s">
        <v>1224</v>
      </c>
      <c r="LCW2207" s="582" t="s">
        <v>1224</v>
      </c>
      <c r="LCX2207" s="582" t="s">
        <v>1224</v>
      </c>
      <c r="LCY2207" s="582" t="s">
        <v>1224</v>
      </c>
      <c r="LCZ2207" s="582" t="s">
        <v>1224</v>
      </c>
      <c r="LDA2207" s="582" t="s">
        <v>1224</v>
      </c>
      <c r="LDB2207" s="582" t="s">
        <v>1224</v>
      </c>
      <c r="LDC2207" s="582" t="s">
        <v>1224</v>
      </c>
      <c r="LDD2207" s="582" t="s">
        <v>1224</v>
      </c>
      <c r="LDE2207" s="582" t="s">
        <v>1224</v>
      </c>
      <c r="LDF2207" s="582" t="s">
        <v>1224</v>
      </c>
      <c r="LDG2207" s="582" t="s">
        <v>1224</v>
      </c>
      <c r="LDH2207" s="582" t="s">
        <v>1224</v>
      </c>
      <c r="LDI2207" s="582" t="s">
        <v>1224</v>
      </c>
      <c r="LDJ2207" s="582" t="s">
        <v>1224</v>
      </c>
      <c r="LDK2207" s="582" t="s">
        <v>1224</v>
      </c>
      <c r="LDL2207" s="582" t="s">
        <v>1224</v>
      </c>
      <c r="LDM2207" s="582" t="s">
        <v>1224</v>
      </c>
      <c r="LDN2207" s="582" t="s">
        <v>1224</v>
      </c>
      <c r="LDO2207" s="582" t="s">
        <v>1224</v>
      </c>
      <c r="LDP2207" s="582" t="s">
        <v>1224</v>
      </c>
      <c r="LDQ2207" s="582" t="s">
        <v>1224</v>
      </c>
      <c r="LDR2207" s="582" t="s">
        <v>1224</v>
      </c>
      <c r="LDS2207" s="582" t="s">
        <v>1224</v>
      </c>
      <c r="LDT2207" s="582" t="s">
        <v>1224</v>
      </c>
      <c r="LDU2207" s="582" t="s">
        <v>1224</v>
      </c>
      <c r="LDV2207" s="582" t="s">
        <v>1224</v>
      </c>
      <c r="LDW2207" s="582" t="s">
        <v>1224</v>
      </c>
      <c r="LDX2207" s="582" t="s">
        <v>1224</v>
      </c>
      <c r="LDY2207" s="582" t="s">
        <v>1224</v>
      </c>
      <c r="LDZ2207" s="582" t="s">
        <v>1224</v>
      </c>
      <c r="LEA2207" s="582" t="s">
        <v>1224</v>
      </c>
      <c r="LEB2207" s="582" t="s">
        <v>1224</v>
      </c>
      <c r="LEC2207" s="582" t="s">
        <v>1224</v>
      </c>
      <c r="LED2207" s="582" t="s">
        <v>1224</v>
      </c>
      <c r="LEE2207" s="582" t="s">
        <v>1224</v>
      </c>
      <c r="LEF2207" s="582" t="s">
        <v>1224</v>
      </c>
      <c r="LEG2207" s="582" t="s">
        <v>1224</v>
      </c>
      <c r="LEH2207" s="582" t="s">
        <v>1224</v>
      </c>
      <c r="LEI2207" s="582" t="s">
        <v>1224</v>
      </c>
      <c r="LEJ2207" s="582" t="s">
        <v>1224</v>
      </c>
      <c r="LEK2207" s="582" t="s">
        <v>1224</v>
      </c>
      <c r="LEL2207" s="582" t="s">
        <v>1224</v>
      </c>
      <c r="LEM2207" s="582" t="s">
        <v>1224</v>
      </c>
      <c r="LEN2207" s="582" t="s">
        <v>1224</v>
      </c>
      <c r="LEO2207" s="582" t="s">
        <v>1224</v>
      </c>
      <c r="LEP2207" s="582" t="s">
        <v>1224</v>
      </c>
      <c r="LEQ2207" s="582" t="s">
        <v>1224</v>
      </c>
      <c r="LER2207" s="582" t="s">
        <v>1224</v>
      </c>
      <c r="LES2207" s="582" t="s">
        <v>1224</v>
      </c>
      <c r="LET2207" s="582" t="s">
        <v>1224</v>
      </c>
      <c r="LEU2207" s="582" t="s">
        <v>1224</v>
      </c>
      <c r="LEV2207" s="582" t="s">
        <v>1224</v>
      </c>
      <c r="LEW2207" s="582" t="s">
        <v>1224</v>
      </c>
      <c r="LEX2207" s="582" t="s">
        <v>1224</v>
      </c>
      <c r="LEY2207" s="582" t="s">
        <v>1224</v>
      </c>
      <c r="LEZ2207" s="582" t="s">
        <v>1224</v>
      </c>
      <c r="LFA2207" s="582" t="s">
        <v>1224</v>
      </c>
      <c r="LFB2207" s="582" t="s">
        <v>1224</v>
      </c>
      <c r="LFC2207" s="582" t="s">
        <v>1224</v>
      </c>
      <c r="LFD2207" s="582" t="s">
        <v>1224</v>
      </c>
      <c r="LFE2207" s="582" t="s">
        <v>1224</v>
      </c>
      <c r="LFF2207" s="582" t="s">
        <v>1224</v>
      </c>
      <c r="LFG2207" s="582" t="s">
        <v>1224</v>
      </c>
      <c r="LFH2207" s="582" t="s">
        <v>1224</v>
      </c>
      <c r="LFI2207" s="582" t="s">
        <v>1224</v>
      </c>
      <c r="LFJ2207" s="582" t="s">
        <v>1224</v>
      </c>
      <c r="LFK2207" s="582" t="s">
        <v>1224</v>
      </c>
      <c r="LFL2207" s="582" t="s">
        <v>1224</v>
      </c>
      <c r="LFM2207" s="582" t="s">
        <v>1224</v>
      </c>
      <c r="LFN2207" s="582" t="s">
        <v>1224</v>
      </c>
      <c r="LFO2207" s="582" t="s">
        <v>1224</v>
      </c>
      <c r="LFP2207" s="582" t="s">
        <v>1224</v>
      </c>
      <c r="LFQ2207" s="582" t="s">
        <v>1224</v>
      </c>
      <c r="LFR2207" s="582" t="s">
        <v>1224</v>
      </c>
      <c r="LFS2207" s="582" t="s">
        <v>1224</v>
      </c>
      <c r="LFT2207" s="582" t="s">
        <v>1224</v>
      </c>
      <c r="LFU2207" s="582" t="s">
        <v>1224</v>
      </c>
      <c r="LFV2207" s="582" t="s">
        <v>1224</v>
      </c>
      <c r="LFW2207" s="582" t="s">
        <v>1224</v>
      </c>
      <c r="LFX2207" s="582" t="s">
        <v>1224</v>
      </c>
      <c r="LFY2207" s="582" t="s">
        <v>1224</v>
      </c>
      <c r="LFZ2207" s="582" t="s">
        <v>1224</v>
      </c>
      <c r="LGA2207" s="582" t="s">
        <v>1224</v>
      </c>
      <c r="LGB2207" s="582" t="s">
        <v>1224</v>
      </c>
      <c r="LGC2207" s="582" t="s">
        <v>1224</v>
      </c>
      <c r="LGD2207" s="582" t="s">
        <v>1224</v>
      </c>
      <c r="LGE2207" s="582" t="s">
        <v>1224</v>
      </c>
      <c r="LGF2207" s="582" t="s">
        <v>1224</v>
      </c>
      <c r="LGG2207" s="582" t="s">
        <v>1224</v>
      </c>
      <c r="LGH2207" s="582" t="s">
        <v>1224</v>
      </c>
      <c r="LGI2207" s="582" t="s">
        <v>1224</v>
      </c>
      <c r="LGJ2207" s="582" t="s">
        <v>1224</v>
      </c>
      <c r="LGK2207" s="582" t="s">
        <v>1224</v>
      </c>
      <c r="LGL2207" s="582" t="s">
        <v>1224</v>
      </c>
      <c r="LGM2207" s="582" t="s">
        <v>1224</v>
      </c>
      <c r="LGN2207" s="582" t="s">
        <v>1224</v>
      </c>
      <c r="LGO2207" s="582" t="s">
        <v>1224</v>
      </c>
      <c r="LGP2207" s="582" t="s">
        <v>1224</v>
      </c>
      <c r="LGQ2207" s="582" t="s">
        <v>1224</v>
      </c>
      <c r="LGR2207" s="582" t="s">
        <v>1224</v>
      </c>
      <c r="LGS2207" s="582" t="s">
        <v>1224</v>
      </c>
      <c r="LGT2207" s="582" t="s">
        <v>1224</v>
      </c>
      <c r="LGU2207" s="582" t="s">
        <v>1224</v>
      </c>
      <c r="LGV2207" s="582" t="s">
        <v>1224</v>
      </c>
      <c r="LGW2207" s="582" t="s">
        <v>1224</v>
      </c>
      <c r="LGX2207" s="582" t="s">
        <v>1224</v>
      </c>
      <c r="LGY2207" s="582" t="s">
        <v>1224</v>
      </c>
      <c r="LGZ2207" s="582" t="s">
        <v>1224</v>
      </c>
      <c r="LHA2207" s="582" t="s">
        <v>1224</v>
      </c>
      <c r="LHB2207" s="582" t="s">
        <v>1224</v>
      </c>
      <c r="LHC2207" s="582" t="s">
        <v>1224</v>
      </c>
      <c r="LHD2207" s="582" t="s">
        <v>1224</v>
      </c>
      <c r="LHE2207" s="582" t="s">
        <v>1224</v>
      </c>
      <c r="LHF2207" s="582" t="s">
        <v>1224</v>
      </c>
      <c r="LHG2207" s="582" t="s">
        <v>1224</v>
      </c>
      <c r="LHH2207" s="582" t="s">
        <v>1224</v>
      </c>
      <c r="LHI2207" s="582" t="s">
        <v>1224</v>
      </c>
      <c r="LHJ2207" s="582" t="s">
        <v>1224</v>
      </c>
      <c r="LHK2207" s="582" t="s">
        <v>1224</v>
      </c>
      <c r="LHL2207" s="582" t="s">
        <v>1224</v>
      </c>
      <c r="LHM2207" s="582" t="s">
        <v>1224</v>
      </c>
      <c r="LHN2207" s="582" t="s">
        <v>1224</v>
      </c>
      <c r="LHO2207" s="582" t="s">
        <v>1224</v>
      </c>
      <c r="LHP2207" s="582" t="s">
        <v>1224</v>
      </c>
      <c r="LHQ2207" s="582" t="s">
        <v>1224</v>
      </c>
      <c r="LHR2207" s="582" t="s">
        <v>1224</v>
      </c>
      <c r="LHS2207" s="582" t="s">
        <v>1224</v>
      </c>
      <c r="LHT2207" s="582" t="s">
        <v>1224</v>
      </c>
      <c r="LHU2207" s="582" t="s">
        <v>1224</v>
      </c>
      <c r="LHV2207" s="582" t="s">
        <v>1224</v>
      </c>
      <c r="LHW2207" s="582" t="s">
        <v>1224</v>
      </c>
      <c r="LHX2207" s="582" t="s">
        <v>1224</v>
      </c>
      <c r="LHY2207" s="582" t="s">
        <v>1224</v>
      </c>
      <c r="LHZ2207" s="582" t="s">
        <v>1224</v>
      </c>
      <c r="LIA2207" s="582" t="s">
        <v>1224</v>
      </c>
      <c r="LIB2207" s="582" t="s">
        <v>1224</v>
      </c>
      <c r="LIC2207" s="582" t="s">
        <v>1224</v>
      </c>
      <c r="LID2207" s="582" t="s">
        <v>1224</v>
      </c>
      <c r="LIE2207" s="582" t="s">
        <v>1224</v>
      </c>
      <c r="LIF2207" s="582" t="s">
        <v>1224</v>
      </c>
      <c r="LIG2207" s="582" t="s">
        <v>1224</v>
      </c>
      <c r="LIH2207" s="582" t="s">
        <v>1224</v>
      </c>
      <c r="LII2207" s="582" t="s">
        <v>1224</v>
      </c>
      <c r="LIJ2207" s="582" t="s">
        <v>1224</v>
      </c>
      <c r="LIK2207" s="582" t="s">
        <v>1224</v>
      </c>
      <c r="LIL2207" s="582" t="s">
        <v>1224</v>
      </c>
      <c r="LIM2207" s="582" t="s">
        <v>1224</v>
      </c>
      <c r="LIN2207" s="582" t="s">
        <v>1224</v>
      </c>
      <c r="LIO2207" s="582" t="s">
        <v>1224</v>
      </c>
      <c r="LIP2207" s="582" t="s">
        <v>1224</v>
      </c>
      <c r="LIQ2207" s="582" t="s">
        <v>1224</v>
      </c>
      <c r="LIR2207" s="582" t="s">
        <v>1224</v>
      </c>
      <c r="LIS2207" s="582" t="s">
        <v>1224</v>
      </c>
      <c r="LIT2207" s="582" t="s">
        <v>1224</v>
      </c>
      <c r="LIU2207" s="582" t="s">
        <v>1224</v>
      </c>
      <c r="LIV2207" s="582" t="s">
        <v>1224</v>
      </c>
      <c r="LIW2207" s="582" t="s">
        <v>1224</v>
      </c>
      <c r="LIX2207" s="582" t="s">
        <v>1224</v>
      </c>
      <c r="LIY2207" s="582" t="s">
        <v>1224</v>
      </c>
      <c r="LIZ2207" s="582" t="s">
        <v>1224</v>
      </c>
      <c r="LJA2207" s="582" t="s">
        <v>1224</v>
      </c>
      <c r="LJB2207" s="582" t="s">
        <v>1224</v>
      </c>
      <c r="LJC2207" s="582" t="s">
        <v>1224</v>
      </c>
      <c r="LJD2207" s="582" t="s">
        <v>1224</v>
      </c>
      <c r="LJE2207" s="582" t="s">
        <v>1224</v>
      </c>
      <c r="LJF2207" s="582" t="s">
        <v>1224</v>
      </c>
      <c r="LJG2207" s="582" t="s">
        <v>1224</v>
      </c>
      <c r="LJH2207" s="582" t="s">
        <v>1224</v>
      </c>
      <c r="LJI2207" s="582" t="s">
        <v>1224</v>
      </c>
      <c r="LJJ2207" s="582" t="s">
        <v>1224</v>
      </c>
      <c r="LJK2207" s="582" t="s">
        <v>1224</v>
      </c>
      <c r="LJL2207" s="582" t="s">
        <v>1224</v>
      </c>
      <c r="LJM2207" s="582" t="s">
        <v>1224</v>
      </c>
      <c r="LJN2207" s="582" t="s">
        <v>1224</v>
      </c>
      <c r="LJO2207" s="582" t="s">
        <v>1224</v>
      </c>
      <c r="LJP2207" s="582" t="s">
        <v>1224</v>
      </c>
      <c r="LJQ2207" s="582" t="s">
        <v>1224</v>
      </c>
      <c r="LJR2207" s="582" t="s">
        <v>1224</v>
      </c>
      <c r="LJS2207" s="582" t="s">
        <v>1224</v>
      </c>
      <c r="LJT2207" s="582" t="s">
        <v>1224</v>
      </c>
      <c r="LJU2207" s="582" t="s">
        <v>1224</v>
      </c>
      <c r="LJV2207" s="582" t="s">
        <v>1224</v>
      </c>
      <c r="LJW2207" s="582" t="s">
        <v>1224</v>
      </c>
      <c r="LJX2207" s="582" t="s">
        <v>1224</v>
      </c>
      <c r="LJY2207" s="582" t="s">
        <v>1224</v>
      </c>
      <c r="LJZ2207" s="582" t="s">
        <v>1224</v>
      </c>
      <c r="LKA2207" s="582" t="s">
        <v>1224</v>
      </c>
      <c r="LKB2207" s="582" t="s">
        <v>1224</v>
      </c>
      <c r="LKC2207" s="582" t="s">
        <v>1224</v>
      </c>
      <c r="LKD2207" s="582" t="s">
        <v>1224</v>
      </c>
      <c r="LKE2207" s="582" t="s">
        <v>1224</v>
      </c>
      <c r="LKF2207" s="582" t="s">
        <v>1224</v>
      </c>
      <c r="LKG2207" s="582" t="s">
        <v>1224</v>
      </c>
      <c r="LKH2207" s="582" t="s">
        <v>1224</v>
      </c>
      <c r="LKI2207" s="582" t="s">
        <v>1224</v>
      </c>
      <c r="LKJ2207" s="582" t="s">
        <v>1224</v>
      </c>
      <c r="LKK2207" s="582" t="s">
        <v>1224</v>
      </c>
      <c r="LKL2207" s="582" t="s">
        <v>1224</v>
      </c>
      <c r="LKM2207" s="582" t="s">
        <v>1224</v>
      </c>
      <c r="LKN2207" s="582" t="s">
        <v>1224</v>
      </c>
      <c r="LKO2207" s="582" t="s">
        <v>1224</v>
      </c>
      <c r="LKP2207" s="582" t="s">
        <v>1224</v>
      </c>
      <c r="LKQ2207" s="582" t="s">
        <v>1224</v>
      </c>
      <c r="LKR2207" s="582" t="s">
        <v>1224</v>
      </c>
      <c r="LKS2207" s="582" t="s">
        <v>1224</v>
      </c>
      <c r="LKT2207" s="582" t="s">
        <v>1224</v>
      </c>
      <c r="LKU2207" s="582" t="s">
        <v>1224</v>
      </c>
      <c r="LKV2207" s="582" t="s">
        <v>1224</v>
      </c>
      <c r="LKW2207" s="582" t="s">
        <v>1224</v>
      </c>
      <c r="LKX2207" s="582" t="s">
        <v>1224</v>
      </c>
      <c r="LKY2207" s="582" t="s">
        <v>1224</v>
      </c>
      <c r="LKZ2207" s="582" t="s">
        <v>1224</v>
      </c>
      <c r="LLA2207" s="582" t="s">
        <v>1224</v>
      </c>
      <c r="LLB2207" s="582" t="s">
        <v>1224</v>
      </c>
      <c r="LLC2207" s="582" t="s">
        <v>1224</v>
      </c>
      <c r="LLD2207" s="582" t="s">
        <v>1224</v>
      </c>
      <c r="LLE2207" s="582" t="s">
        <v>1224</v>
      </c>
      <c r="LLF2207" s="582" t="s">
        <v>1224</v>
      </c>
      <c r="LLG2207" s="582" t="s">
        <v>1224</v>
      </c>
      <c r="LLH2207" s="582" t="s">
        <v>1224</v>
      </c>
      <c r="LLI2207" s="582" t="s">
        <v>1224</v>
      </c>
      <c r="LLJ2207" s="582" t="s">
        <v>1224</v>
      </c>
      <c r="LLK2207" s="582" t="s">
        <v>1224</v>
      </c>
      <c r="LLL2207" s="582" t="s">
        <v>1224</v>
      </c>
      <c r="LLM2207" s="582" t="s">
        <v>1224</v>
      </c>
      <c r="LLN2207" s="582" t="s">
        <v>1224</v>
      </c>
      <c r="LLO2207" s="582" t="s">
        <v>1224</v>
      </c>
      <c r="LLP2207" s="582" t="s">
        <v>1224</v>
      </c>
      <c r="LLQ2207" s="582" t="s">
        <v>1224</v>
      </c>
      <c r="LLR2207" s="582" t="s">
        <v>1224</v>
      </c>
      <c r="LLS2207" s="582" t="s">
        <v>1224</v>
      </c>
      <c r="LLT2207" s="582" t="s">
        <v>1224</v>
      </c>
      <c r="LLU2207" s="582" t="s">
        <v>1224</v>
      </c>
      <c r="LLV2207" s="582" t="s">
        <v>1224</v>
      </c>
      <c r="LLW2207" s="582" t="s">
        <v>1224</v>
      </c>
      <c r="LLX2207" s="582" t="s">
        <v>1224</v>
      </c>
      <c r="LLY2207" s="582" t="s">
        <v>1224</v>
      </c>
      <c r="LLZ2207" s="582" t="s">
        <v>1224</v>
      </c>
      <c r="LMA2207" s="582" t="s">
        <v>1224</v>
      </c>
      <c r="LMB2207" s="582" t="s">
        <v>1224</v>
      </c>
      <c r="LMC2207" s="582" t="s">
        <v>1224</v>
      </c>
      <c r="LMD2207" s="582" t="s">
        <v>1224</v>
      </c>
      <c r="LME2207" s="582" t="s">
        <v>1224</v>
      </c>
      <c r="LMF2207" s="582" t="s">
        <v>1224</v>
      </c>
      <c r="LMG2207" s="582" t="s">
        <v>1224</v>
      </c>
      <c r="LMH2207" s="582" t="s">
        <v>1224</v>
      </c>
      <c r="LMI2207" s="582" t="s">
        <v>1224</v>
      </c>
      <c r="LMJ2207" s="582" t="s">
        <v>1224</v>
      </c>
      <c r="LMK2207" s="582" t="s">
        <v>1224</v>
      </c>
      <c r="LML2207" s="582" t="s">
        <v>1224</v>
      </c>
      <c r="LMM2207" s="582" t="s">
        <v>1224</v>
      </c>
      <c r="LMN2207" s="582" t="s">
        <v>1224</v>
      </c>
      <c r="LMO2207" s="582" t="s">
        <v>1224</v>
      </c>
      <c r="LMP2207" s="582" t="s">
        <v>1224</v>
      </c>
      <c r="LMQ2207" s="582" t="s">
        <v>1224</v>
      </c>
      <c r="LMR2207" s="582" t="s">
        <v>1224</v>
      </c>
      <c r="LMS2207" s="582" t="s">
        <v>1224</v>
      </c>
      <c r="LMT2207" s="582" t="s">
        <v>1224</v>
      </c>
      <c r="LMU2207" s="582" t="s">
        <v>1224</v>
      </c>
      <c r="LMV2207" s="582" t="s">
        <v>1224</v>
      </c>
      <c r="LMW2207" s="582" t="s">
        <v>1224</v>
      </c>
      <c r="LMX2207" s="582" t="s">
        <v>1224</v>
      </c>
      <c r="LMY2207" s="582" t="s">
        <v>1224</v>
      </c>
      <c r="LMZ2207" s="582" t="s">
        <v>1224</v>
      </c>
      <c r="LNA2207" s="582" t="s">
        <v>1224</v>
      </c>
      <c r="LNB2207" s="582" t="s">
        <v>1224</v>
      </c>
      <c r="LNC2207" s="582" t="s">
        <v>1224</v>
      </c>
      <c r="LND2207" s="582" t="s">
        <v>1224</v>
      </c>
      <c r="LNE2207" s="582" t="s">
        <v>1224</v>
      </c>
      <c r="LNF2207" s="582" t="s">
        <v>1224</v>
      </c>
      <c r="LNG2207" s="582" t="s">
        <v>1224</v>
      </c>
      <c r="LNH2207" s="582" t="s">
        <v>1224</v>
      </c>
      <c r="LNI2207" s="582" t="s">
        <v>1224</v>
      </c>
      <c r="LNJ2207" s="582" t="s">
        <v>1224</v>
      </c>
      <c r="LNK2207" s="582" t="s">
        <v>1224</v>
      </c>
      <c r="LNL2207" s="582" t="s">
        <v>1224</v>
      </c>
      <c r="LNM2207" s="582" t="s">
        <v>1224</v>
      </c>
      <c r="LNN2207" s="582" t="s">
        <v>1224</v>
      </c>
      <c r="LNO2207" s="582" t="s">
        <v>1224</v>
      </c>
      <c r="LNP2207" s="582" t="s">
        <v>1224</v>
      </c>
      <c r="LNQ2207" s="582" t="s">
        <v>1224</v>
      </c>
      <c r="LNR2207" s="582" t="s">
        <v>1224</v>
      </c>
      <c r="LNS2207" s="582" t="s">
        <v>1224</v>
      </c>
      <c r="LNT2207" s="582" t="s">
        <v>1224</v>
      </c>
      <c r="LNU2207" s="582" t="s">
        <v>1224</v>
      </c>
      <c r="LNV2207" s="582" t="s">
        <v>1224</v>
      </c>
      <c r="LNW2207" s="582" t="s">
        <v>1224</v>
      </c>
      <c r="LNX2207" s="582" t="s">
        <v>1224</v>
      </c>
      <c r="LNY2207" s="582" t="s">
        <v>1224</v>
      </c>
      <c r="LNZ2207" s="582" t="s">
        <v>1224</v>
      </c>
      <c r="LOA2207" s="582" t="s">
        <v>1224</v>
      </c>
      <c r="LOB2207" s="582" t="s">
        <v>1224</v>
      </c>
      <c r="LOC2207" s="582" t="s">
        <v>1224</v>
      </c>
      <c r="LOD2207" s="582" t="s">
        <v>1224</v>
      </c>
      <c r="LOE2207" s="582" t="s">
        <v>1224</v>
      </c>
      <c r="LOF2207" s="582" t="s">
        <v>1224</v>
      </c>
      <c r="LOG2207" s="582" t="s">
        <v>1224</v>
      </c>
      <c r="LOH2207" s="582" t="s">
        <v>1224</v>
      </c>
      <c r="LOI2207" s="582" t="s">
        <v>1224</v>
      </c>
      <c r="LOJ2207" s="582" t="s">
        <v>1224</v>
      </c>
      <c r="LOK2207" s="582" t="s">
        <v>1224</v>
      </c>
      <c r="LOL2207" s="582" t="s">
        <v>1224</v>
      </c>
      <c r="LOM2207" s="582" t="s">
        <v>1224</v>
      </c>
      <c r="LON2207" s="582" t="s">
        <v>1224</v>
      </c>
      <c r="LOO2207" s="582" t="s">
        <v>1224</v>
      </c>
      <c r="LOP2207" s="582" t="s">
        <v>1224</v>
      </c>
      <c r="LOQ2207" s="582" t="s">
        <v>1224</v>
      </c>
      <c r="LOR2207" s="582" t="s">
        <v>1224</v>
      </c>
      <c r="LOS2207" s="582" t="s">
        <v>1224</v>
      </c>
      <c r="LOT2207" s="582" t="s">
        <v>1224</v>
      </c>
      <c r="LOU2207" s="582" t="s">
        <v>1224</v>
      </c>
      <c r="LOV2207" s="582" t="s">
        <v>1224</v>
      </c>
      <c r="LOW2207" s="582" t="s">
        <v>1224</v>
      </c>
      <c r="LOX2207" s="582" t="s">
        <v>1224</v>
      </c>
      <c r="LOY2207" s="582" t="s">
        <v>1224</v>
      </c>
      <c r="LOZ2207" s="582" t="s">
        <v>1224</v>
      </c>
      <c r="LPA2207" s="582" t="s">
        <v>1224</v>
      </c>
      <c r="LPB2207" s="582" t="s">
        <v>1224</v>
      </c>
      <c r="LPC2207" s="582" t="s">
        <v>1224</v>
      </c>
      <c r="LPD2207" s="582" t="s">
        <v>1224</v>
      </c>
      <c r="LPE2207" s="582" t="s">
        <v>1224</v>
      </c>
      <c r="LPF2207" s="582" t="s">
        <v>1224</v>
      </c>
      <c r="LPG2207" s="582" t="s">
        <v>1224</v>
      </c>
      <c r="LPH2207" s="582" t="s">
        <v>1224</v>
      </c>
      <c r="LPI2207" s="582" t="s">
        <v>1224</v>
      </c>
      <c r="LPJ2207" s="582" t="s">
        <v>1224</v>
      </c>
      <c r="LPK2207" s="582" t="s">
        <v>1224</v>
      </c>
      <c r="LPL2207" s="582" t="s">
        <v>1224</v>
      </c>
      <c r="LPM2207" s="582" t="s">
        <v>1224</v>
      </c>
      <c r="LPN2207" s="582" t="s">
        <v>1224</v>
      </c>
      <c r="LPO2207" s="582" t="s">
        <v>1224</v>
      </c>
      <c r="LPP2207" s="582" t="s">
        <v>1224</v>
      </c>
      <c r="LPQ2207" s="582" t="s">
        <v>1224</v>
      </c>
      <c r="LPR2207" s="582" t="s">
        <v>1224</v>
      </c>
      <c r="LPS2207" s="582" t="s">
        <v>1224</v>
      </c>
      <c r="LPT2207" s="582" t="s">
        <v>1224</v>
      </c>
      <c r="LPU2207" s="582" t="s">
        <v>1224</v>
      </c>
      <c r="LPV2207" s="582" t="s">
        <v>1224</v>
      </c>
      <c r="LPW2207" s="582" t="s">
        <v>1224</v>
      </c>
      <c r="LPX2207" s="582" t="s">
        <v>1224</v>
      </c>
      <c r="LPY2207" s="582" t="s">
        <v>1224</v>
      </c>
      <c r="LPZ2207" s="582" t="s">
        <v>1224</v>
      </c>
      <c r="LQA2207" s="582" t="s">
        <v>1224</v>
      </c>
      <c r="LQB2207" s="582" t="s">
        <v>1224</v>
      </c>
      <c r="LQC2207" s="582" t="s">
        <v>1224</v>
      </c>
      <c r="LQD2207" s="582" t="s">
        <v>1224</v>
      </c>
      <c r="LQE2207" s="582" t="s">
        <v>1224</v>
      </c>
      <c r="LQF2207" s="582" t="s">
        <v>1224</v>
      </c>
      <c r="LQG2207" s="582" t="s">
        <v>1224</v>
      </c>
      <c r="LQH2207" s="582" t="s">
        <v>1224</v>
      </c>
      <c r="LQI2207" s="582" t="s">
        <v>1224</v>
      </c>
      <c r="LQJ2207" s="582" t="s">
        <v>1224</v>
      </c>
      <c r="LQK2207" s="582" t="s">
        <v>1224</v>
      </c>
      <c r="LQL2207" s="582" t="s">
        <v>1224</v>
      </c>
      <c r="LQM2207" s="582" t="s">
        <v>1224</v>
      </c>
      <c r="LQN2207" s="582" t="s">
        <v>1224</v>
      </c>
      <c r="LQO2207" s="582" t="s">
        <v>1224</v>
      </c>
      <c r="LQP2207" s="582" t="s">
        <v>1224</v>
      </c>
      <c r="LQQ2207" s="582" t="s">
        <v>1224</v>
      </c>
      <c r="LQR2207" s="582" t="s">
        <v>1224</v>
      </c>
      <c r="LQS2207" s="582" t="s">
        <v>1224</v>
      </c>
      <c r="LQT2207" s="582" t="s">
        <v>1224</v>
      </c>
      <c r="LQU2207" s="582" t="s">
        <v>1224</v>
      </c>
      <c r="LQV2207" s="582" t="s">
        <v>1224</v>
      </c>
      <c r="LQW2207" s="582" t="s">
        <v>1224</v>
      </c>
      <c r="LQX2207" s="582" t="s">
        <v>1224</v>
      </c>
      <c r="LQY2207" s="582" t="s">
        <v>1224</v>
      </c>
      <c r="LQZ2207" s="582" t="s">
        <v>1224</v>
      </c>
      <c r="LRA2207" s="582" t="s">
        <v>1224</v>
      </c>
      <c r="LRB2207" s="582" t="s">
        <v>1224</v>
      </c>
      <c r="LRC2207" s="582" t="s">
        <v>1224</v>
      </c>
      <c r="LRD2207" s="582" t="s">
        <v>1224</v>
      </c>
      <c r="LRE2207" s="582" t="s">
        <v>1224</v>
      </c>
      <c r="LRF2207" s="582" t="s">
        <v>1224</v>
      </c>
      <c r="LRG2207" s="582" t="s">
        <v>1224</v>
      </c>
      <c r="LRH2207" s="582" t="s">
        <v>1224</v>
      </c>
      <c r="LRI2207" s="582" t="s">
        <v>1224</v>
      </c>
      <c r="LRJ2207" s="582" t="s">
        <v>1224</v>
      </c>
      <c r="LRK2207" s="582" t="s">
        <v>1224</v>
      </c>
      <c r="LRL2207" s="582" t="s">
        <v>1224</v>
      </c>
      <c r="LRM2207" s="582" t="s">
        <v>1224</v>
      </c>
      <c r="LRN2207" s="582" t="s">
        <v>1224</v>
      </c>
      <c r="LRO2207" s="582" t="s">
        <v>1224</v>
      </c>
      <c r="LRP2207" s="582" t="s">
        <v>1224</v>
      </c>
      <c r="LRQ2207" s="582" t="s">
        <v>1224</v>
      </c>
      <c r="LRR2207" s="582" t="s">
        <v>1224</v>
      </c>
      <c r="LRS2207" s="582" t="s">
        <v>1224</v>
      </c>
      <c r="LRT2207" s="582" t="s">
        <v>1224</v>
      </c>
      <c r="LRU2207" s="582" t="s">
        <v>1224</v>
      </c>
      <c r="LRV2207" s="582" t="s">
        <v>1224</v>
      </c>
      <c r="LRW2207" s="582" t="s">
        <v>1224</v>
      </c>
      <c r="LRX2207" s="582" t="s">
        <v>1224</v>
      </c>
      <c r="LRY2207" s="582" t="s">
        <v>1224</v>
      </c>
      <c r="LRZ2207" s="582" t="s">
        <v>1224</v>
      </c>
      <c r="LSA2207" s="582" t="s">
        <v>1224</v>
      </c>
      <c r="LSB2207" s="582" t="s">
        <v>1224</v>
      </c>
      <c r="LSC2207" s="582" t="s">
        <v>1224</v>
      </c>
      <c r="LSD2207" s="582" t="s">
        <v>1224</v>
      </c>
      <c r="LSE2207" s="582" t="s">
        <v>1224</v>
      </c>
      <c r="LSF2207" s="582" t="s">
        <v>1224</v>
      </c>
      <c r="LSG2207" s="582" t="s">
        <v>1224</v>
      </c>
      <c r="LSH2207" s="582" t="s">
        <v>1224</v>
      </c>
      <c r="LSI2207" s="582" t="s">
        <v>1224</v>
      </c>
      <c r="LSJ2207" s="582" t="s">
        <v>1224</v>
      </c>
      <c r="LSK2207" s="582" t="s">
        <v>1224</v>
      </c>
      <c r="LSL2207" s="582" t="s">
        <v>1224</v>
      </c>
      <c r="LSM2207" s="582" t="s">
        <v>1224</v>
      </c>
      <c r="LSN2207" s="582" t="s">
        <v>1224</v>
      </c>
      <c r="LSO2207" s="582" t="s">
        <v>1224</v>
      </c>
      <c r="LSP2207" s="582" t="s">
        <v>1224</v>
      </c>
      <c r="LSQ2207" s="582" t="s">
        <v>1224</v>
      </c>
      <c r="LSR2207" s="582" t="s">
        <v>1224</v>
      </c>
      <c r="LSS2207" s="582" t="s">
        <v>1224</v>
      </c>
      <c r="LST2207" s="582" t="s">
        <v>1224</v>
      </c>
      <c r="LSU2207" s="582" t="s">
        <v>1224</v>
      </c>
      <c r="LSV2207" s="582" t="s">
        <v>1224</v>
      </c>
      <c r="LSW2207" s="582" t="s">
        <v>1224</v>
      </c>
      <c r="LSX2207" s="582" t="s">
        <v>1224</v>
      </c>
      <c r="LSY2207" s="582" t="s">
        <v>1224</v>
      </c>
      <c r="LSZ2207" s="582" t="s">
        <v>1224</v>
      </c>
      <c r="LTA2207" s="582" t="s">
        <v>1224</v>
      </c>
      <c r="LTB2207" s="582" t="s">
        <v>1224</v>
      </c>
      <c r="LTC2207" s="582" t="s">
        <v>1224</v>
      </c>
      <c r="LTD2207" s="582" t="s">
        <v>1224</v>
      </c>
      <c r="LTE2207" s="582" t="s">
        <v>1224</v>
      </c>
      <c r="LTF2207" s="582" t="s">
        <v>1224</v>
      </c>
      <c r="LTG2207" s="582" t="s">
        <v>1224</v>
      </c>
      <c r="LTH2207" s="582" t="s">
        <v>1224</v>
      </c>
      <c r="LTI2207" s="582" t="s">
        <v>1224</v>
      </c>
      <c r="LTJ2207" s="582" t="s">
        <v>1224</v>
      </c>
      <c r="LTK2207" s="582" t="s">
        <v>1224</v>
      </c>
      <c r="LTL2207" s="582" t="s">
        <v>1224</v>
      </c>
      <c r="LTM2207" s="582" t="s">
        <v>1224</v>
      </c>
      <c r="LTN2207" s="582" t="s">
        <v>1224</v>
      </c>
      <c r="LTO2207" s="582" t="s">
        <v>1224</v>
      </c>
      <c r="LTP2207" s="582" t="s">
        <v>1224</v>
      </c>
      <c r="LTQ2207" s="582" t="s">
        <v>1224</v>
      </c>
      <c r="LTR2207" s="582" t="s">
        <v>1224</v>
      </c>
      <c r="LTS2207" s="582" t="s">
        <v>1224</v>
      </c>
      <c r="LTT2207" s="582" t="s">
        <v>1224</v>
      </c>
      <c r="LTU2207" s="582" t="s">
        <v>1224</v>
      </c>
      <c r="LTV2207" s="582" t="s">
        <v>1224</v>
      </c>
      <c r="LTW2207" s="582" t="s">
        <v>1224</v>
      </c>
      <c r="LTX2207" s="582" t="s">
        <v>1224</v>
      </c>
      <c r="LTY2207" s="582" t="s">
        <v>1224</v>
      </c>
      <c r="LTZ2207" s="582" t="s">
        <v>1224</v>
      </c>
      <c r="LUA2207" s="582" t="s">
        <v>1224</v>
      </c>
      <c r="LUB2207" s="582" t="s">
        <v>1224</v>
      </c>
      <c r="LUC2207" s="582" t="s">
        <v>1224</v>
      </c>
      <c r="LUD2207" s="582" t="s">
        <v>1224</v>
      </c>
      <c r="LUE2207" s="582" t="s">
        <v>1224</v>
      </c>
      <c r="LUF2207" s="582" t="s">
        <v>1224</v>
      </c>
      <c r="LUG2207" s="582" t="s">
        <v>1224</v>
      </c>
      <c r="LUH2207" s="582" t="s">
        <v>1224</v>
      </c>
      <c r="LUI2207" s="582" t="s">
        <v>1224</v>
      </c>
      <c r="LUJ2207" s="582" t="s">
        <v>1224</v>
      </c>
      <c r="LUK2207" s="582" t="s">
        <v>1224</v>
      </c>
      <c r="LUL2207" s="582" t="s">
        <v>1224</v>
      </c>
      <c r="LUM2207" s="582" t="s">
        <v>1224</v>
      </c>
      <c r="LUN2207" s="582" t="s">
        <v>1224</v>
      </c>
      <c r="LUO2207" s="582" t="s">
        <v>1224</v>
      </c>
      <c r="LUP2207" s="582" t="s">
        <v>1224</v>
      </c>
      <c r="LUQ2207" s="582" t="s">
        <v>1224</v>
      </c>
      <c r="LUR2207" s="582" t="s">
        <v>1224</v>
      </c>
      <c r="LUS2207" s="582" t="s">
        <v>1224</v>
      </c>
      <c r="LUT2207" s="582" t="s">
        <v>1224</v>
      </c>
      <c r="LUU2207" s="582" t="s">
        <v>1224</v>
      </c>
      <c r="LUV2207" s="582" t="s">
        <v>1224</v>
      </c>
      <c r="LUW2207" s="582" t="s">
        <v>1224</v>
      </c>
      <c r="LUX2207" s="582" t="s">
        <v>1224</v>
      </c>
      <c r="LUY2207" s="582" t="s">
        <v>1224</v>
      </c>
      <c r="LUZ2207" s="582" t="s">
        <v>1224</v>
      </c>
      <c r="LVA2207" s="582" t="s">
        <v>1224</v>
      </c>
      <c r="LVB2207" s="582" t="s">
        <v>1224</v>
      </c>
      <c r="LVC2207" s="582" t="s">
        <v>1224</v>
      </c>
      <c r="LVD2207" s="582" t="s">
        <v>1224</v>
      </c>
      <c r="LVE2207" s="582" t="s">
        <v>1224</v>
      </c>
      <c r="LVF2207" s="582" t="s">
        <v>1224</v>
      </c>
      <c r="LVG2207" s="582" t="s">
        <v>1224</v>
      </c>
      <c r="LVH2207" s="582" t="s">
        <v>1224</v>
      </c>
      <c r="LVI2207" s="582" t="s">
        <v>1224</v>
      </c>
      <c r="LVJ2207" s="582" t="s">
        <v>1224</v>
      </c>
      <c r="LVK2207" s="582" t="s">
        <v>1224</v>
      </c>
      <c r="LVL2207" s="582" t="s">
        <v>1224</v>
      </c>
      <c r="LVM2207" s="582" t="s">
        <v>1224</v>
      </c>
      <c r="LVN2207" s="582" t="s">
        <v>1224</v>
      </c>
      <c r="LVO2207" s="582" t="s">
        <v>1224</v>
      </c>
      <c r="LVP2207" s="582" t="s">
        <v>1224</v>
      </c>
      <c r="LVQ2207" s="582" t="s">
        <v>1224</v>
      </c>
      <c r="LVR2207" s="582" t="s">
        <v>1224</v>
      </c>
      <c r="LVS2207" s="582" t="s">
        <v>1224</v>
      </c>
      <c r="LVT2207" s="582" t="s">
        <v>1224</v>
      </c>
      <c r="LVU2207" s="582" t="s">
        <v>1224</v>
      </c>
      <c r="LVV2207" s="582" t="s">
        <v>1224</v>
      </c>
      <c r="LVW2207" s="582" t="s">
        <v>1224</v>
      </c>
      <c r="LVX2207" s="582" t="s">
        <v>1224</v>
      </c>
      <c r="LVY2207" s="582" t="s">
        <v>1224</v>
      </c>
      <c r="LVZ2207" s="582" t="s">
        <v>1224</v>
      </c>
      <c r="LWA2207" s="582" t="s">
        <v>1224</v>
      </c>
      <c r="LWB2207" s="582" t="s">
        <v>1224</v>
      </c>
      <c r="LWC2207" s="582" t="s">
        <v>1224</v>
      </c>
      <c r="LWD2207" s="582" t="s">
        <v>1224</v>
      </c>
      <c r="LWE2207" s="582" t="s">
        <v>1224</v>
      </c>
      <c r="LWF2207" s="582" t="s">
        <v>1224</v>
      </c>
      <c r="LWG2207" s="582" t="s">
        <v>1224</v>
      </c>
      <c r="LWH2207" s="582" t="s">
        <v>1224</v>
      </c>
      <c r="LWI2207" s="582" t="s">
        <v>1224</v>
      </c>
      <c r="LWJ2207" s="582" t="s">
        <v>1224</v>
      </c>
      <c r="LWK2207" s="582" t="s">
        <v>1224</v>
      </c>
      <c r="LWL2207" s="582" t="s">
        <v>1224</v>
      </c>
      <c r="LWM2207" s="582" t="s">
        <v>1224</v>
      </c>
      <c r="LWN2207" s="582" t="s">
        <v>1224</v>
      </c>
      <c r="LWO2207" s="582" t="s">
        <v>1224</v>
      </c>
      <c r="LWP2207" s="582" t="s">
        <v>1224</v>
      </c>
      <c r="LWQ2207" s="582" t="s">
        <v>1224</v>
      </c>
      <c r="LWR2207" s="582" t="s">
        <v>1224</v>
      </c>
      <c r="LWS2207" s="582" t="s">
        <v>1224</v>
      </c>
      <c r="LWT2207" s="582" t="s">
        <v>1224</v>
      </c>
      <c r="LWU2207" s="582" t="s">
        <v>1224</v>
      </c>
      <c r="LWV2207" s="582" t="s">
        <v>1224</v>
      </c>
      <c r="LWW2207" s="582" t="s">
        <v>1224</v>
      </c>
      <c r="LWX2207" s="582" t="s">
        <v>1224</v>
      </c>
      <c r="LWY2207" s="582" t="s">
        <v>1224</v>
      </c>
      <c r="LWZ2207" s="582" t="s">
        <v>1224</v>
      </c>
      <c r="LXA2207" s="582" t="s">
        <v>1224</v>
      </c>
      <c r="LXB2207" s="582" t="s">
        <v>1224</v>
      </c>
      <c r="LXC2207" s="582" t="s">
        <v>1224</v>
      </c>
      <c r="LXD2207" s="582" t="s">
        <v>1224</v>
      </c>
      <c r="LXE2207" s="582" t="s">
        <v>1224</v>
      </c>
      <c r="LXF2207" s="582" t="s">
        <v>1224</v>
      </c>
      <c r="LXG2207" s="582" t="s">
        <v>1224</v>
      </c>
      <c r="LXH2207" s="582" t="s">
        <v>1224</v>
      </c>
      <c r="LXI2207" s="582" t="s">
        <v>1224</v>
      </c>
      <c r="LXJ2207" s="582" t="s">
        <v>1224</v>
      </c>
      <c r="LXK2207" s="582" t="s">
        <v>1224</v>
      </c>
      <c r="LXL2207" s="582" t="s">
        <v>1224</v>
      </c>
      <c r="LXM2207" s="582" t="s">
        <v>1224</v>
      </c>
      <c r="LXN2207" s="582" t="s">
        <v>1224</v>
      </c>
      <c r="LXO2207" s="582" t="s">
        <v>1224</v>
      </c>
      <c r="LXP2207" s="582" t="s">
        <v>1224</v>
      </c>
      <c r="LXQ2207" s="582" t="s">
        <v>1224</v>
      </c>
      <c r="LXR2207" s="582" t="s">
        <v>1224</v>
      </c>
      <c r="LXS2207" s="582" t="s">
        <v>1224</v>
      </c>
      <c r="LXT2207" s="582" t="s">
        <v>1224</v>
      </c>
      <c r="LXU2207" s="582" t="s">
        <v>1224</v>
      </c>
      <c r="LXV2207" s="582" t="s">
        <v>1224</v>
      </c>
      <c r="LXW2207" s="582" t="s">
        <v>1224</v>
      </c>
      <c r="LXX2207" s="582" t="s">
        <v>1224</v>
      </c>
      <c r="LXY2207" s="582" t="s">
        <v>1224</v>
      </c>
      <c r="LXZ2207" s="582" t="s">
        <v>1224</v>
      </c>
      <c r="LYA2207" s="582" t="s">
        <v>1224</v>
      </c>
      <c r="LYB2207" s="582" t="s">
        <v>1224</v>
      </c>
      <c r="LYC2207" s="582" t="s">
        <v>1224</v>
      </c>
      <c r="LYD2207" s="582" t="s">
        <v>1224</v>
      </c>
      <c r="LYE2207" s="582" t="s">
        <v>1224</v>
      </c>
      <c r="LYF2207" s="582" t="s">
        <v>1224</v>
      </c>
      <c r="LYG2207" s="582" t="s">
        <v>1224</v>
      </c>
      <c r="LYH2207" s="582" t="s">
        <v>1224</v>
      </c>
      <c r="LYI2207" s="582" t="s">
        <v>1224</v>
      </c>
      <c r="LYJ2207" s="582" t="s">
        <v>1224</v>
      </c>
      <c r="LYK2207" s="582" t="s">
        <v>1224</v>
      </c>
      <c r="LYL2207" s="582" t="s">
        <v>1224</v>
      </c>
      <c r="LYM2207" s="582" t="s">
        <v>1224</v>
      </c>
      <c r="LYN2207" s="582" t="s">
        <v>1224</v>
      </c>
      <c r="LYO2207" s="582" t="s">
        <v>1224</v>
      </c>
      <c r="LYP2207" s="582" t="s">
        <v>1224</v>
      </c>
      <c r="LYQ2207" s="582" t="s">
        <v>1224</v>
      </c>
      <c r="LYR2207" s="582" t="s">
        <v>1224</v>
      </c>
      <c r="LYS2207" s="582" t="s">
        <v>1224</v>
      </c>
      <c r="LYT2207" s="582" t="s">
        <v>1224</v>
      </c>
      <c r="LYU2207" s="582" t="s">
        <v>1224</v>
      </c>
      <c r="LYV2207" s="582" t="s">
        <v>1224</v>
      </c>
      <c r="LYW2207" s="582" t="s">
        <v>1224</v>
      </c>
      <c r="LYX2207" s="582" t="s">
        <v>1224</v>
      </c>
      <c r="LYY2207" s="582" t="s">
        <v>1224</v>
      </c>
      <c r="LYZ2207" s="582" t="s">
        <v>1224</v>
      </c>
      <c r="LZA2207" s="582" t="s">
        <v>1224</v>
      </c>
      <c r="LZB2207" s="582" t="s">
        <v>1224</v>
      </c>
      <c r="LZC2207" s="582" t="s">
        <v>1224</v>
      </c>
      <c r="LZD2207" s="582" t="s">
        <v>1224</v>
      </c>
      <c r="LZE2207" s="582" t="s">
        <v>1224</v>
      </c>
      <c r="LZF2207" s="582" t="s">
        <v>1224</v>
      </c>
      <c r="LZG2207" s="582" t="s">
        <v>1224</v>
      </c>
      <c r="LZH2207" s="582" t="s">
        <v>1224</v>
      </c>
      <c r="LZI2207" s="582" t="s">
        <v>1224</v>
      </c>
      <c r="LZJ2207" s="582" t="s">
        <v>1224</v>
      </c>
      <c r="LZK2207" s="582" t="s">
        <v>1224</v>
      </c>
      <c r="LZL2207" s="582" t="s">
        <v>1224</v>
      </c>
      <c r="LZM2207" s="582" t="s">
        <v>1224</v>
      </c>
      <c r="LZN2207" s="582" t="s">
        <v>1224</v>
      </c>
      <c r="LZO2207" s="582" t="s">
        <v>1224</v>
      </c>
      <c r="LZP2207" s="582" t="s">
        <v>1224</v>
      </c>
      <c r="LZQ2207" s="582" t="s">
        <v>1224</v>
      </c>
      <c r="LZR2207" s="582" t="s">
        <v>1224</v>
      </c>
      <c r="LZS2207" s="582" t="s">
        <v>1224</v>
      </c>
      <c r="LZT2207" s="582" t="s">
        <v>1224</v>
      </c>
      <c r="LZU2207" s="582" t="s">
        <v>1224</v>
      </c>
      <c r="LZV2207" s="582" t="s">
        <v>1224</v>
      </c>
      <c r="LZW2207" s="582" t="s">
        <v>1224</v>
      </c>
      <c r="LZX2207" s="582" t="s">
        <v>1224</v>
      </c>
      <c r="LZY2207" s="582" t="s">
        <v>1224</v>
      </c>
      <c r="LZZ2207" s="582" t="s">
        <v>1224</v>
      </c>
      <c r="MAA2207" s="582" t="s">
        <v>1224</v>
      </c>
      <c r="MAB2207" s="582" t="s">
        <v>1224</v>
      </c>
      <c r="MAC2207" s="582" t="s">
        <v>1224</v>
      </c>
      <c r="MAD2207" s="582" t="s">
        <v>1224</v>
      </c>
      <c r="MAE2207" s="582" t="s">
        <v>1224</v>
      </c>
      <c r="MAF2207" s="582" t="s">
        <v>1224</v>
      </c>
      <c r="MAG2207" s="582" t="s">
        <v>1224</v>
      </c>
      <c r="MAH2207" s="582" t="s">
        <v>1224</v>
      </c>
      <c r="MAI2207" s="582" t="s">
        <v>1224</v>
      </c>
      <c r="MAJ2207" s="582" t="s">
        <v>1224</v>
      </c>
      <c r="MAK2207" s="582" t="s">
        <v>1224</v>
      </c>
      <c r="MAL2207" s="582" t="s">
        <v>1224</v>
      </c>
      <c r="MAM2207" s="582" t="s">
        <v>1224</v>
      </c>
      <c r="MAN2207" s="582" t="s">
        <v>1224</v>
      </c>
      <c r="MAO2207" s="582" t="s">
        <v>1224</v>
      </c>
      <c r="MAP2207" s="582" t="s">
        <v>1224</v>
      </c>
      <c r="MAQ2207" s="582" t="s">
        <v>1224</v>
      </c>
      <c r="MAR2207" s="582" t="s">
        <v>1224</v>
      </c>
      <c r="MAS2207" s="582" t="s">
        <v>1224</v>
      </c>
      <c r="MAT2207" s="582" t="s">
        <v>1224</v>
      </c>
      <c r="MAU2207" s="582" t="s">
        <v>1224</v>
      </c>
      <c r="MAV2207" s="582" t="s">
        <v>1224</v>
      </c>
      <c r="MAW2207" s="582" t="s">
        <v>1224</v>
      </c>
      <c r="MAX2207" s="582" t="s">
        <v>1224</v>
      </c>
      <c r="MAY2207" s="582" t="s">
        <v>1224</v>
      </c>
      <c r="MAZ2207" s="582" t="s">
        <v>1224</v>
      </c>
      <c r="MBA2207" s="582" t="s">
        <v>1224</v>
      </c>
      <c r="MBB2207" s="582" t="s">
        <v>1224</v>
      </c>
      <c r="MBC2207" s="582" t="s">
        <v>1224</v>
      </c>
      <c r="MBD2207" s="582" t="s">
        <v>1224</v>
      </c>
      <c r="MBE2207" s="582" t="s">
        <v>1224</v>
      </c>
      <c r="MBF2207" s="582" t="s">
        <v>1224</v>
      </c>
      <c r="MBG2207" s="582" t="s">
        <v>1224</v>
      </c>
      <c r="MBH2207" s="582" t="s">
        <v>1224</v>
      </c>
      <c r="MBI2207" s="582" t="s">
        <v>1224</v>
      </c>
      <c r="MBJ2207" s="582" t="s">
        <v>1224</v>
      </c>
      <c r="MBK2207" s="582" t="s">
        <v>1224</v>
      </c>
      <c r="MBL2207" s="582" t="s">
        <v>1224</v>
      </c>
      <c r="MBM2207" s="582" t="s">
        <v>1224</v>
      </c>
      <c r="MBN2207" s="582" t="s">
        <v>1224</v>
      </c>
      <c r="MBO2207" s="582" t="s">
        <v>1224</v>
      </c>
      <c r="MBP2207" s="582" t="s">
        <v>1224</v>
      </c>
      <c r="MBQ2207" s="582" t="s">
        <v>1224</v>
      </c>
      <c r="MBR2207" s="582" t="s">
        <v>1224</v>
      </c>
      <c r="MBS2207" s="582" t="s">
        <v>1224</v>
      </c>
      <c r="MBT2207" s="582" t="s">
        <v>1224</v>
      </c>
      <c r="MBU2207" s="582" t="s">
        <v>1224</v>
      </c>
      <c r="MBV2207" s="582" t="s">
        <v>1224</v>
      </c>
      <c r="MBW2207" s="582" t="s">
        <v>1224</v>
      </c>
      <c r="MBX2207" s="582" t="s">
        <v>1224</v>
      </c>
      <c r="MBY2207" s="582" t="s">
        <v>1224</v>
      </c>
      <c r="MBZ2207" s="582" t="s">
        <v>1224</v>
      </c>
      <c r="MCA2207" s="582" t="s">
        <v>1224</v>
      </c>
      <c r="MCB2207" s="582" t="s">
        <v>1224</v>
      </c>
      <c r="MCC2207" s="582" t="s">
        <v>1224</v>
      </c>
      <c r="MCD2207" s="582" t="s">
        <v>1224</v>
      </c>
      <c r="MCE2207" s="582" t="s">
        <v>1224</v>
      </c>
      <c r="MCF2207" s="582" t="s">
        <v>1224</v>
      </c>
      <c r="MCG2207" s="582" t="s">
        <v>1224</v>
      </c>
      <c r="MCH2207" s="582" t="s">
        <v>1224</v>
      </c>
      <c r="MCI2207" s="582" t="s">
        <v>1224</v>
      </c>
      <c r="MCJ2207" s="582" t="s">
        <v>1224</v>
      </c>
      <c r="MCK2207" s="582" t="s">
        <v>1224</v>
      </c>
      <c r="MCL2207" s="582" t="s">
        <v>1224</v>
      </c>
      <c r="MCM2207" s="582" t="s">
        <v>1224</v>
      </c>
      <c r="MCN2207" s="582" t="s">
        <v>1224</v>
      </c>
      <c r="MCO2207" s="582" t="s">
        <v>1224</v>
      </c>
      <c r="MCP2207" s="582" t="s">
        <v>1224</v>
      </c>
      <c r="MCQ2207" s="582" t="s">
        <v>1224</v>
      </c>
      <c r="MCR2207" s="582" t="s">
        <v>1224</v>
      </c>
      <c r="MCS2207" s="582" t="s">
        <v>1224</v>
      </c>
      <c r="MCT2207" s="582" t="s">
        <v>1224</v>
      </c>
      <c r="MCU2207" s="582" t="s">
        <v>1224</v>
      </c>
      <c r="MCV2207" s="582" t="s">
        <v>1224</v>
      </c>
      <c r="MCW2207" s="582" t="s">
        <v>1224</v>
      </c>
      <c r="MCX2207" s="582" t="s">
        <v>1224</v>
      </c>
      <c r="MCY2207" s="582" t="s">
        <v>1224</v>
      </c>
      <c r="MCZ2207" s="582" t="s">
        <v>1224</v>
      </c>
      <c r="MDA2207" s="582" t="s">
        <v>1224</v>
      </c>
      <c r="MDB2207" s="582" t="s">
        <v>1224</v>
      </c>
      <c r="MDC2207" s="582" t="s">
        <v>1224</v>
      </c>
      <c r="MDD2207" s="582" t="s">
        <v>1224</v>
      </c>
      <c r="MDE2207" s="582" t="s">
        <v>1224</v>
      </c>
      <c r="MDF2207" s="582" t="s">
        <v>1224</v>
      </c>
      <c r="MDG2207" s="582" t="s">
        <v>1224</v>
      </c>
      <c r="MDH2207" s="582" t="s">
        <v>1224</v>
      </c>
      <c r="MDI2207" s="582" t="s">
        <v>1224</v>
      </c>
      <c r="MDJ2207" s="582" t="s">
        <v>1224</v>
      </c>
      <c r="MDK2207" s="582" t="s">
        <v>1224</v>
      </c>
      <c r="MDL2207" s="582" t="s">
        <v>1224</v>
      </c>
      <c r="MDM2207" s="582" t="s">
        <v>1224</v>
      </c>
      <c r="MDN2207" s="582" t="s">
        <v>1224</v>
      </c>
      <c r="MDO2207" s="582" t="s">
        <v>1224</v>
      </c>
      <c r="MDP2207" s="582" t="s">
        <v>1224</v>
      </c>
      <c r="MDQ2207" s="582" t="s">
        <v>1224</v>
      </c>
      <c r="MDR2207" s="582" t="s">
        <v>1224</v>
      </c>
      <c r="MDS2207" s="582" t="s">
        <v>1224</v>
      </c>
      <c r="MDT2207" s="582" t="s">
        <v>1224</v>
      </c>
      <c r="MDU2207" s="582" t="s">
        <v>1224</v>
      </c>
      <c r="MDV2207" s="582" t="s">
        <v>1224</v>
      </c>
      <c r="MDW2207" s="582" t="s">
        <v>1224</v>
      </c>
      <c r="MDX2207" s="582" t="s">
        <v>1224</v>
      </c>
      <c r="MDY2207" s="582" t="s">
        <v>1224</v>
      </c>
      <c r="MDZ2207" s="582" t="s">
        <v>1224</v>
      </c>
      <c r="MEA2207" s="582" t="s">
        <v>1224</v>
      </c>
      <c r="MEB2207" s="582" t="s">
        <v>1224</v>
      </c>
      <c r="MEC2207" s="582" t="s">
        <v>1224</v>
      </c>
      <c r="MED2207" s="582" t="s">
        <v>1224</v>
      </c>
      <c r="MEE2207" s="582" t="s">
        <v>1224</v>
      </c>
      <c r="MEF2207" s="582" t="s">
        <v>1224</v>
      </c>
      <c r="MEG2207" s="582" t="s">
        <v>1224</v>
      </c>
      <c r="MEH2207" s="582" t="s">
        <v>1224</v>
      </c>
      <c r="MEI2207" s="582" t="s">
        <v>1224</v>
      </c>
      <c r="MEJ2207" s="582" t="s">
        <v>1224</v>
      </c>
      <c r="MEK2207" s="582" t="s">
        <v>1224</v>
      </c>
      <c r="MEL2207" s="582" t="s">
        <v>1224</v>
      </c>
      <c r="MEM2207" s="582" t="s">
        <v>1224</v>
      </c>
      <c r="MEN2207" s="582" t="s">
        <v>1224</v>
      </c>
      <c r="MEO2207" s="582" t="s">
        <v>1224</v>
      </c>
      <c r="MEP2207" s="582" t="s">
        <v>1224</v>
      </c>
      <c r="MEQ2207" s="582" t="s">
        <v>1224</v>
      </c>
      <c r="MER2207" s="582" t="s">
        <v>1224</v>
      </c>
      <c r="MES2207" s="582" t="s">
        <v>1224</v>
      </c>
      <c r="MET2207" s="582" t="s">
        <v>1224</v>
      </c>
      <c r="MEU2207" s="582" t="s">
        <v>1224</v>
      </c>
      <c r="MEV2207" s="582" t="s">
        <v>1224</v>
      </c>
      <c r="MEW2207" s="582" t="s">
        <v>1224</v>
      </c>
      <c r="MEX2207" s="582" t="s">
        <v>1224</v>
      </c>
      <c r="MEY2207" s="582" t="s">
        <v>1224</v>
      </c>
      <c r="MEZ2207" s="582" t="s">
        <v>1224</v>
      </c>
      <c r="MFA2207" s="582" t="s">
        <v>1224</v>
      </c>
      <c r="MFB2207" s="582" t="s">
        <v>1224</v>
      </c>
      <c r="MFC2207" s="582" t="s">
        <v>1224</v>
      </c>
      <c r="MFD2207" s="582" t="s">
        <v>1224</v>
      </c>
      <c r="MFE2207" s="582" t="s">
        <v>1224</v>
      </c>
      <c r="MFF2207" s="582" t="s">
        <v>1224</v>
      </c>
      <c r="MFG2207" s="582" t="s">
        <v>1224</v>
      </c>
      <c r="MFH2207" s="582" t="s">
        <v>1224</v>
      </c>
      <c r="MFI2207" s="582" t="s">
        <v>1224</v>
      </c>
      <c r="MFJ2207" s="582" t="s">
        <v>1224</v>
      </c>
      <c r="MFK2207" s="582" t="s">
        <v>1224</v>
      </c>
      <c r="MFL2207" s="582" t="s">
        <v>1224</v>
      </c>
      <c r="MFM2207" s="582" t="s">
        <v>1224</v>
      </c>
      <c r="MFN2207" s="582" t="s">
        <v>1224</v>
      </c>
      <c r="MFO2207" s="582" t="s">
        <v>1224</v>
      </c>
      <c r="MFP2207" s="582" t="s">
        <v>1224</v>
      </c>
      <c r="MFQ2207" s="582" t="s">
        <v>1224</v>
      </c>
      <c r="MFR2207" s="582" t="s">
        <v>1224</v>
      </c>
      <c r="MFS2207" s="582" t="s">
        <v>1224</v>
      </c>
      <c r="MFT2207" s="582" t="s">
        <v>1224</v>
      </c>
      <c r="MFU2207" s="582" t="s">
        <v>1224</v>
      </c>
      <c r="MFV2207" s="582" t="s">
        <v>1224</v>
      </c>
      <c r="MFW2207" s="582" t="s">
        <v>1224</v>
      </c>
      <c r="MFX2207" s="582" t="s">
        <v>1224</v>
      </c>
      <c r="MFY2207" s="582" t="s">
        <v>1224</v>
      </c>
      <c r="MFZ2207" s="582" t="s">
        <v>1224</v>
      </c>
      <c r="MGA2207" s="582" t="s">
        <v>1224</v>
      </c>
      <c r="MGB2207" s="582" t="s">
        <v>1224</v>
      </c>
      <c r="MGC2207" s="582" t="s">
        <v>1224</v>
      </c>
      <c r="MGD2207" s="582" t="s">
        <v>1224</v>
      </c>
      <c r="MGE2207" s="582" t="s">
        <v>1224</v>
      </c>
      <c r="MGF2207" s="582" t="s">
        <v>1224</v>
      </c>
      <c r="MGG2207" s="582" t="s">
        <v>1224</v>
      </c>
      <c r="MGH2207" s="582" t="s">
        <v>1224</v>
      </c>
      <c r="MGI2207" s="582" t="s">
        <v>1224</v>
      </c>
      <c r="MGJ2207" s="582" t="s">
        <v>1224</v>
      </c>
      <c r="MGK2207" s="582" t="s">
        <v>1224</v>
      </c>
      <c r="MGL2207" s="582" t="s">
        <v>1224</v>
      </c>
      <c r="MGM2207" s="582" t="s">
        <v>1224</v>
      </c>
      <c r="MGN2207" s="582" t="s">
        <v>1224</v>
      </c>
      <c r="MGO2207" s="582" t="s">
        <v>1224</v>
      </c>
      <c r="MGP2207" s="582" t="s">
        <v>1224</v>
      </c>
      <c r="MGQ2207" s="582" t="s">
        <v>1224</v>
      </c>
      <c r="MGR2207" s="582" t="s">
        <v>1224</v>
      </c>
      <c r="MGS2207" s="582" t="s">
        <v>1224</v>
      </c>
      <c r="MGT2207" s="582" t="s">
        <v>1224</v>
      </c>
      <c r="MGU2207" s="582" t="s">
        <v>1224</v>
      </c>
      <c r="MGV2207" s="582" t="s">
        <v>1224</v>
      </c>
      <c r="MGW2207" s="582" t="s">
        <v>1224</v>
      </c>
      <c r="MGX2207" s="582" t="s">
        <v>1224</v>
      </c>
      <c r="MGY2207" s="582" t="s">
        <v>1224</v>
      </c>
      <c r="MGZ2207" s="582" t="s">
        <v>1224</v>
      </c>
      <c r="MHA2207" s="582" t="s">
        <v>1224</v>
      </c>
      <c r="MHB2207" s="582" t="s">
        <v>1224</v>
      </c>
      <c r="MHC2207" s="582" t="s">
        <v>1224</v>
      </c>
      <c r="MHD2207" s="582" t="s">
        <v>1224</v>
      </c>
      <c r="MHE2207" s="582" t="s">
        <v>1224</v>
      </c>
      <c r="MHF2207" s="582" t="s">
        <v>1224</v>
      </c>
      <c r="MHG2207" s="582" t="s">
        <v>1224</v>
      </c>
      <c r="MHH2207" s="582" t="s">
        <v>1224</v>
      </c>
      <c r="MHI2207" s="582" t="s">
        <v>1224</v>
      </c>
      <c r="MHJ2207" s="582" t="s">
        <v>1224</v>
      </c>
      <c r="MHK2207" s="582" t="s">
        <v>1224</v>
      </c>
      <c r="MHL2207" s="582" t="s">
        <v>1224</v>
      </c>
      <c r="MHM2207" s="582" t="s">
        <v>1224</v>
      </c>
      <c r="MHN2207" s="582" t="s">
        <v>1224</v>
      </c>
      <c r="MHO2207" s="582" t="s">
        <v>1224</v>
      </c>
      <c r="MHP2207" s="582" t="s">
        <v>1224</v>
      </c>
      <c r="MHQ2207" s="582" t="s">
        <v>1224</v>
      </c>
      <c r="MHR2207" s="582" t="s">
        <v>1224</v>
      </c>
      <c r="MHS2207" s="582" t="s">
        <v>1224</v>
      </c>
      <c r="MHT2207" s="582" t="s">
        <v>1224</v>
      </c>
      <c r="MHU2207" s="582" t="s">
        <v>1224</v>
      </c>
      <c r="MHV2207" s="582" t="s">
        <v>1224</v>
      </c>
      <c r="MHW2207" s="582" t="s">
        <v>1224</v>
      </c>
      <c r="MHX2207" s="582" t="s">
        <v>1224</v>
      </c>
      <c r="MHY2207" s="582" t="s">
        <v>1224</v>
      </c>
      <c r="MHZ2207" s="582" t="s">
        <v>1224</v>
      </c>
      <c r="MIA2207" s="582" t="s">
        <v>1224</v>
      </c>
      <c r="MIB2207" s="582" t="s">
        <v>1224</v>
      </c>
      <c r="MIC2207" s="582" t="s">
        <v>1224</v>
      </c>
      <c r="MID2207" s="582" t="s">
        <v>1224</v>
      </c>
      <c r="MIE2207" s="582" t="s">
        <v>1224</v>
      </c>
      <c r="MIF2207" s="582" t="s">
        <v>1224</v>
      </c>
      <c r="MIG2207" s="582" t="s">
        <v>1224</v>
      </c>
      <c r="MIH2207" s="582" t="s">
        <v>1224</v>
      </c>
      <c r="MII2207" s="582" t="s">
        <v>1224</v>
      </c>
      <c r="MIJ2207" s="582" t="s">
        <v>1224</v>
      </c>
      <c r="MIK2207" s="582" t="s">
        <v>1224</v>
      </c>
      <c r="MIL2207" s="582" t="s">
        <v>1224</v>
      </c>
      <c r="MIM2207" s="582" t="s">
        <v>1224</v>
      </c>
      <c r="MIN2207" s="582" t="s">
        <v>1224</v>
      </c>
      <c r="MIO2207" s="582" t="s">
        <v>1224</v>
      </c>
      <c r="MIP2207" s="582" t="s">
        <v>1224</v>
      </c>
      <c r="MIQ2207" s="582" t="s">
        <v>1224</v>
      </c>
      <c r="MIR2207" s="582" t="s">
        <v>1224</v>
      </c>
      <c r="MIS2207" s="582" t="s">
        <v>1224</v>
      </c>
      <c r="MIT2207" s="582" t="s">
        <v>1224</v>
      </c>
      <c r="MIU2207" s="582" t="s">
        <v>1224</v>
      </c>
      <c r="MIV2207" s="582" t="s">
        <v>1224</v>
      </c>
      <c r="MIW2207" s="582" t="s">
        <v>1224</v>
      </c>
      <c r="MIX2207" s="582" t="s">
        <v>1224</v>
      </c>
      <c r="MIY2207" s="582" t="s">
        <v>1224</v>
      </c>
      <c r="MIZ2207" s="582" t="s">
        <v>1224</v>
      </c>
      <c r="MJA2207" s="582" t="s">
        <v>1224</v>
      </c>
      <c r="MJB2207" s="582" t="s">
        <v>1224</v>
      </c>
      <c r="MJC2207" s="582" t="s">
        <v>1224</v>
      </c>
      <c r="MJD2207" s="582" t="s">
        <v>1224</v>
      </c>
      <c r="MJE2207" s="582" t="s">
        <v>1224</v>
      </c>
      <c r="MJF2207" s="582" t="s">
        <v>1224</v>
      </c>
      <c r="MJG2207" s="582" t="s">
        <v>1224</v>
      </c>
      <c r="MJH2207" s="582" t="s">
        <v>1224</v>
      </c>
      <c r="MJI2207" s="582" t="s">
        <v>1224</v>
      </c>
      <c r="MJJ2207" s="582" t="s">
        <v>1224</v>
      </c>
      <c r="MJK2207" s="582" t="s">
        <v>1224</v>
      </c>
      <c r="MJL2207" s="582" t="s">
        <v>1224</v>
      </c>
      <c r="MJM2207" s="582" t="s">
        <v>1224</v>
      </c>
      <c r="MJN2207" s="582" t="s">
        <v>1224</v>
      </c>
      <c r="MJO2207" s="582" t="s">
        <v>1224</v>
      </c>
      <c r="MJP2207" s="582" t="s">
        <v>1224</v>
      </c>
      <c r="MJQ2207" s="582" t="s">
        <v>1224</v>
      </c>
      <c r="MJR2207" s="582" t="s">
        <v>1224</v>
      </c>
      <c r="MJS2207" s="582" t="s">
        <v>1224</v>
      </c>
      <c r="MJT2207" s="582" t="s">
        <v>1224</v>
      </c>
      <c r="MJU2207" s="582" t="s">
        <v>1224</v>
      </c>
      <c r="MJV2207" s="582" t="s">
        <v>1224</v>
      </c>
      <c r="MJW2207" s="582" t="s">
        <v>1224</v>
      </c>
      <c r="MJX2207" s="582" t="s">
        <v>1224</v>
      </c>
      <c r="MJY2207" s="582" t="s">
        <v>1224</v>
      </c>
      <c r="MJZ2207" s="582" t="s">
        <v>1224</v>
      </c>
      <c r="MKA2207" s="582" t="s">
        <v>1224</v>
      </c>
      <c r="MKB2207" s="582" t="s">
        <v>1224</v>
      </c>
      <c r="MKC2207" s="582" t="s">
        <v>1224</v>
      </c>
      <c r="MKD2207" s="582" t="s">
        <v>1224</v>
      </c>
      <c r="MKE2207" s="582" t="s">
        <v>1224</v>
      </c>
      <c r="MKF2207" s="582" t="s">
        <v>1224</v>
      </c>
      <c r="MKG2207" s="582" t="s">
        <v>1224</v>
      </c>
      <c r="MKH2207" s="582" t="s">
        <v>1224</v>
      </c>
      <c r="MKI2207" s="582" t="s">
        <v>1224</v>
      </c>
      <c r="MKJ2207" s="582" t="s">
        <v>1224</v>
      </c>
      <c r="MKK2207" s="582" t="s">
        <v>1224</v>
      </c>
      <c r="MKL2207" s="582" t="s">
        <v>1224</v>
      </c>
      <c r="MKM2207" s="582" t="s">
        <v>1224</v>
      </c>
      <c r="MKN2207" s="582" t="s">
        <v>1224</v>
      </c>
      <c r="MKO2207" s="582" t="s">
        <v>1224</v>
      </c>
      <c r="MKP2207" s="582" t="s">
        <v>1224</v>
      </c>
      <c r="MKQ2207" s="582" t="s">
        <v>1224</v>
      </c>
      <c r="MKR2207" s="582" t="s">
        <v>1224</v>
      </c>
      <c r="MKS2207" s="582" t="s">
        <v>1224</v>
      </c>
      <c r="MKT2207" s="582" t="s">
        <v>1224</v>
      </c>
      <c r="MKU2207" s="582" t="s">
        <v>1224</v>
      </c>
      <c r="MKV2207" s="582" t="s">
        <v>1224</v>
      </c>
      <c r="MKW2207" s="582" t="s">
        <v>1224</v>
      </c>
      <c r="MKX2207" s="582" t="s">
        <v>1224</v>
      </c>
      <c r="MKY2207" s="582" t="s">
        <v>1224</v>
      </c>
      <c r="MKZ2207" s="582" t="s">
        <v>1224</v>
      </c>
      <c r="MLA2207" s="582" t="s">
        <v>1224</v>
      </c>
      <c r="MLB2207" s="582" t="s">
        <v>1224</v>
      </c>
      <c r="MLC2207" s="582" t="s">
        <v>1224</v>
      </c>
      <c r="MLD2207" s="582" t="s">
        <v>1224</v>
      </c>
      <c r="MLE2207" s="582" t="s">
        <v>1224</v>
      </c>
      <c r="MLF2207" s="582" t="s">
        <v>1224</v>
      </c>
      <c r="MLG2207" s="582" t="s">
        <v>1224</v>
      </c>
      <c r="MLH2207" s="582" t="s">
        <v>1224</v>
      </c>
      <c r="MLI2207" s="582" t="s">
        <v>1224</v>
      </c>
      <c r="MLJ2207" s="582" t="s">
        <v>1224</v>
      </c>
      <c r="MLK2207" s="582" t="s">
        <v>1224</v>
      </c>
      <c r="MLL2207" s="582" t="s">
        <v>1224</v>
      </c>
      <c r="MLM2207" s="582" t="s">
        <v>1224</v>
      </c>
      <c r="MLN2207" s="582" t="s">
        <v>1224</v>
      </c>
      <c r="MLO2207" s="582" t="s">
        <v>1224</v>
      </c>
      <c r="MLP2207" s="582" t="s">
        <v>1224</v>
      </c>
      <c r="MLQ2207" s="582" t="s">
        <v>1224</v>
      </c>
      <c r="MLR2207" s="582" t="s">
        <v>1224</v>
      </c>
      <c r="MLS2207" s="582" t="s">
        <v>1224</v>
      </c>
      <c r="MLT2207" s="582" t="s">
        <v>1224</v>
      </c>
      <c r="MLU2207" s="582" t="s">
        <v>1224</v>
      </c>
      <c r="MLV2207" s="582" t="s">
        <v>1224</v>
      </c>
      <c r="MLW2207" s="582" t="s">
        <v>1224</v>
      </c>
      <c r="MLX2207" s="582" t="s">
        <v>1224</v>
      </c>
      <c r="MLY2207" s="582" t="s">
        <v>1224</v>
      </c>
      <c r="MLZ2207" s="582" t="s">
        <v>1224</v>
      </c>
      <c r="MMA2207" s="582" t="s">
        <v>1224</v>
      </c>
      <c r="MMB2207" s="582" t="s">
        <v>1224</v>
      </c>
      <c r="MMC2207" s="582" t="s">
        <v>1224</v>
      </c>
      <c r="MMD2207" s="582" t="s">
        <v>1224</v>
      </c>
      <c r="MME2207" s="582" t="s">
        <v>1224</v>
      </c>
      <c r="MMF2207" s="582" t="s">
        <v>1224</v>
      </c>
      <c r="MMG2207" s="582" t="s">
        <v>1224</v>
      </c>
      <c r="MMH2207" s="582" t="s">
        <v>1224</v>
      </c>
      <c r="MMI2207" s="582" t="s">
        <v>1224</v>
      </c>
      <c r="MMJ2207" s="582" t="s">
        <v>1224</v>
      </c>
      <c r="MMK2207" s="582" t="s">
        <v>1224</v>
      </c>
      <c r="MML2207" s="582" t="s">
        <v>1224</v>
      </c>
      <c r="MMM2207" s="582" t="s">
        <v>1224</v>
      </c>
      <c r="MMN2207" s="582" t="s">
        <v>1224</v>
      </c>
      <c r="MMO2207" s="582" t="s">
        <v>1224</v>
      </c>
      <c r="MMP2207" s="582" t="s">
        <v>1224</v>
      </c>
      <c r="MMQ2207" s="582" t="s">
        <v>1224</v>
      </c>
      <c r="MMR2207" s="582" t="s">
        <v>1224</v>
      </c>
      <c r="MMS2207" s="582" t="s">
        <v>1224</v>
      </c>
      <c r="MMT2207" s="582" t="s">
        <v>1224</v>
      </c>
      <c r="MMU2207" s="582" t="s">
        <v>1224</v>
      </c>
      <c r="MMV2207" s="582" t="s">
        <v>1224</v>
      </c>
      <c r="MMW2207" s="582" t="s">
        <v>1224</v>
      </c>
      <c r="MMX2207" s="582" t="s">
        <v>1224</v>
      </c>
      <c r="MMY2207" s="582" t="s">
        <v>1224</v>
      </c>
      <c r="MMZ2207" s="582" t="s">
        <v>1224</v>
      </c>
      <c r="MNA2207" s="582" t="s">
        <v>1224</v>
      </c>
      <c r="MNB2207" s="582" t="s">
        <v>1224</v>
      </c>
      <c r="MNC2207" s="582" t="s">
        <v>1224</v>
      </c>
      <c r="MND2207" s="582" t="s">
        <v>1224</v>
      </c>
      <c r="MNE2207" s="582" t="s">
        <v>1224</v>
      </c>
      <c r="MNF2207" s="582" t="s">
        <v>1224</v>
      </c>
      <c r="MNG2207" s="582" t="s">
        <v>1224</v>
      </c>
      <c r="MNH2207" s="582" t="s">
        <v>1224</v>
      </c>
      <c r="MNI2207" s="582" t="s">
        <v>1224</v>
      </c>
      <c r="MNJ2207" s="582" t="s">
        <v>1224</v>
      </c>
      <c r="MNK2207" s="582" t="s">
        <v>1224</v>
      </c>
      <c r="MNL2207" s="582" t="s">
        <v>1224</v>
      </c>
      <c r="MNM2207" s="582" t="s">
        <v>1224</v>
      </c>
      <c r="MNN2207" s="582" t="s">
        <v>1224</v>
      </c>
      <c r="MNO2207" s="582" t="s">
        <v>1224</v>
      </c>
      <c r="MNP2207" s="582" t="s">
        <v>1224</v>
      </c>
      <c r="MNQ2207" s="582" t="s">
        <v>1224</v>
      </c>
      <c r="MNR2207" s="582" t="s">
        <v>1224</v>
      </c>
      <c r="MNS2207" s="582" t="s">
        <v>1224</v>
      </c>
      <c r="MNT2207" s="582" t="s">
        <v>1224</v>
      </c>
      <c r="MNU2207" s="582" t="s">
        <v>1224</v>
      </c>
      <c r="MNV2207" s="582" t="s">
        <v>1224</v>
      </c>
      <c r="MNW2207" s="582" t="s">
        <v>1224</v>
      </c>
      <c r="MNX2207" s="582" t="s">
        <v>1224</v>
      </c>
      <c r="MNY2207" s="582" t="s">
        <v>1224</v>
      </c>
      <c r="MNZ2207" s="582" t="s">
        <v>1224</v>
      </c>
      <c r="MOA2207" s="582" t="s">
        <v>1224</v>
      </c>
      <c r="MOB2207" s="582" t="s">
        <v>1224</v>
      </c>
      <c r="MOC2207" s="582" t="s">
        <v>1224</v>
      </c>
      <c r="MOD2207" s="582" t="s">
        <v>1224</v>
      </c>
      <c r="MOE2207" s="582" t="s">
        <v>1224</v>
      </c>
      <c r="MOF2207" s="582" t="s">
        <v>1224</v>
      </c>
      <c r="MOG2207" s="582" t="s">
        <v>1224</v>
      </c>
      <c r="MOH2207" s="582" t="s">
        <v>1224</v>
      </c>
      <c r="MOI2207" s="582" t="s">
        <v>1224</v>
      </c>
      <c r="MOJ2207" s="582" t="s">
        <v>1224</v>
      </c>
      <c r="MOK2207" s="582" t="s">
        <v>1224</v>
      </c>
      <c r="MOL2207" s="582" t="s">
        <v>1224</v>
      </c>
      <c r="MOM2207" s="582" t="s">
        <v>1224</v>
      </c>
      <c r="MON2207" s="582" t="s">
        <v>1224</v>
      </c>
      <c r="MOO2207" s="582" t="s">
        <v>1224</v>
      </c>
      <c r="MOP2207" s="582" t="s">
        <v>1224</v>
      </c>
      <c r="MOQ2207" s="582" t="s">
        <v>1224</v>
      </c>
      <c r="MOR2207" s="582" t="s">
        <v>1224</v>
      </c>
      <c r="MOS2207" s="582" t="s">
        <v>1224</v>
      </c>
      <c r="MOT2207" s="582" t="s">
        <v>1224</v>
      </c>
      <c r="MOU2207" s="582" t="s">
        <v>1224</v>
      </c>
      <c r="MOV2207" s="582" t="s">
        <v>1224</v>
      </c>
      <c r="MOW2207" s="582" t="s">
        <v>1224</v>
      </c>
      <c r="MOX2207" s="582" t="s">
        <v>1224</v>
      </c>
      <c r="MOY2207" s="582" t="s">
        <v>1224</v>
      </c>
      <c r="MOZ2207" s="582" t="s">
        <v>1224</v>
      </c>
      <c r="MPA2207" s="582" t="s">
        <v>1224</v>
      </c>
      <c r="MPB2207" s="582" t="s">
        <v>1224</v>
      </c>
      <c r="MPC2207" s="582" t="s">
        <v>1224</v>
      </c>
      <c r="MPD2207" s="582" t="s">
        <v>1224</v>
      </c>
      <c r="MPE2207" s="582" t="s">
        <v>1224</v>
      </c>
      <c r="MPF2207" s="582" t="s">
        <v>1224</v>
      </c>
      <c r="MPG2207" s="582" t="s">
        <v>1224</v>
      </c>
      <c r="MPH2207" s="582" t="s">
        <v>1224</v>
      </c>
      <c r="MPI2207" s="582" t="s">
        <v>1224</v>
      </c>
      <c r="MPJ2207" s="582" t="s">
        <v>1224</v>
      </c>
      <c r="MPK2207" s="582" t="s">
        <v>1224</v>
      </c>
      <c r="MPL2207" s="582" t="s">
        <v>1224</v>
      </c>
      <c r="MPM2207" s="582" t="s">
        <v>1224</v>
      </c>
      <c r="MPN2207" s="582" t="s">
        <v>1224</v>
      </c>
      <c r="MPO2207" s="582" t="s">
        <v>1224</v>
      </c>
      <c r="MPP2207" s="582" t="s">
        <v>1224</v>
      </c>
      <c r="MPQ2207" s="582" t="s">
        <v>1224</v>
      </c>
      <c r="MPR2207" s="582" t="s">
        <v>1224</v>
      </c>
      <c r="MPS2207" s="582" t="s">
        <v>1224</v>
      </c>
      <c r="MPT2207" s="582" t="s">
        <v>1224</v>
      </c>
      <c r="MPU2207" s="582" t="s">
        <v>1224</v>
      </c>
      <c r="MPV2207" s="582" t="s">
        <v>1224</v>
      </c>
      <c r="MPW2207" s="582" t="s">
        <v>1224</v>
      </c>
      <c r="MPX2207" s="582" t="s">
        <v>1224</v>
      </c>
      <c r="MPY2207" s="582" t="s">
        <v>1224</v>
      </c>
      <c r="MPZ2207" s="582" t="s">
        <v>1224</v>
      </c>
      <c r="MQA2207" s="582" t="s">
        <v>1224</v>
      </c>
      <c r="MQB2207" s="582" t="s">
        <v>1224</v>
      </c>
      <c r="MQC2207" s="582" t="s">
        <v>1224</v>
      </c>
      <c r="MQD2207" s="582" t="s">
        <v>1224</v>
      </c>
      <c r="MQE2207" s="582" t="s">
        <v>1224</v>
      </c>
      <c r="MQF2207" s="582" t="s">
        <v>1224</v>
      </c>
      <c r="MQG2207" s="582" t="s">
        <v>1224</v>
      </c>
      <c r="MQH2207" s="582" t="s">
        <v>1224</v>
      </c>
      <c r="MQI2207" s="582" t="s">
        <v>1224</v>
      </c>
      <c r="MQJ2207" s="582" t="s">
        <v>1224</v>
      </c>
      <c r="MQK2207" s="582" t="s">
        <v>1224</v>
      </c>
      <c r="MQL2207" s="582" t="s">
        <v>1224</v>
      </c>
      <c r="MQM2207" s="582" t="s">
        <v>1224</v>
      </c>
      <c r="MQN2207" s="582" t="s">
        <v>1224</v>
      </c>
      <c r="MQO2207" s="582" t="s">
        <v>1224</v>
      </c>
      <c r="MQP2207" s="582" t="s">
        <v>1224</v>
      </c>
      <c r="MQQ2207" s="582" t="s">
        <v>1224</v>
      </c>
      <c r="MQR2207" s="582" t="s">
        <v>1224</v>
      </c>
      <c r="MQS2207" s="582" t="s">
        <v>1224</v>
      </c>
      <c r="MQT2207" s="582" t="s">
        <v>1224</v>
      </c>
      <c r="MQU2207" s="582" t="s">
        <v>1224</v>
      </c>
      <c r="MQV2207" s="582" t="s">
        <v>1224</v>
      </c>
      <c r="MQW2207" s="582" t="s">
        <v>1224</v>
      </c>
      <c r="MQX2207" s="582" t="s">
        <v>1224</v>
      </c>
      <c r="MQY2207" s="582" t="s">
        <v>1224</v>
      </c>
      <c r="MQZ2207" s="582" t="s">
        <v>1224</v>
      </c>
      <c r="MRA2207" s="582" t="s">
        <v>1224</v>
      </c>
      <c r="MRB2207" s="582" t="s">
        <v>1224</v>
      </c>
      <c r="MRC2207" s="582" t="s">
        <v>1224</v>
      </c>
      <c r="MRD2207" s="582" t="s">
        <v>1224</v>
      </c>
      <c r="MRE2207" s="582" t="s">
        <v>1224</v>
      </c>
      <c r="MRF2207" s="582" t="s">
        <v>1224</v>
      </c>
      <c r="MRG2207" s="582" t="s">
        <v>1224</v>
      </c>
      <c r="MRH2207" s="582" t="s">
        <v>1224</v>
      </c>
      <c r="MRI2207" s="582" t="s">
        <v>1224</v>
      </c>
      <c r="MRJ2207" s="582" t="s">
        <v>1224</v>
      </c>
      <c r="MRK2207" s="582" t="s">
        <v>1224</v>
      </c>
      <c r="MRL2207" s="582" t="s">
        <v>1224</v>
      </c>
      <c r="MRM2207" s="582" t="s">
        <v>1224</v>
      </c>
      <c r="MRN2207" s="582" t="s">
        <v>1224</v>
      </c>
      <c r="MRO2207" s="582" t="s">
        <v>1224</v>
      </c>
      <c r="MRP2207" s="582" t="s">
        <v>1224</v>
      </c>
      <c r="MRQ2207" s="582" t="s">
        <v>1224</v>
      </c>
      <c r="MRR2207" s="582" t="s">
        <v>1224</v>
      </c>
      <c r="MRS2207" s="582" t="s">
        <v>1224</v>
      </c>
      <c r="MRT2207" s="582" t="s">
        <v>1224</v>
      </c>
      <c r="MRU2207" s="582" t="s">
        <v>1224</v>
      </c>
      <c r="MRV2207" s="582" t="s">
        <v>1224</v>
      </c>
      <c r="MRW2207" s="582" t="s">
        <v>1224</v>
      </c>
      <c r="MRX2207" s="582" t="s">
        <v>1224</v>
      </c>
      <c r="MRY2207" s="582" t="s">
        <v>1224</v>
      </c>
      <c r="MRZ2207" s="582" t="s">
        <v>1224</v>
      </c>
      <c r="MSA2207" s="582" t="s">
        <v>1224</v>
      </c>
      <c r="MSB2207" s="582" t="s">
        <v>1224</v>
      </c>
      <c r="MSC2207" s="582" t="s">
        <v>1224</v>
      </c>
      <c r="MSD2207" s="582" t="s">
        <v>1224</v>
      </c>
      <c r="MSE2207" s="582" t="s">
        <v>1224</v>
      </c>
      <c r="MSF2207" s="582" t="s">
        <v>1224</v>
      </c>
      <c r="MSG2207" s="582" t="s">
        <v>1224</v>
      </c>
      <c r="MSH2207" s="582" t="s">
        <v>1224</v>
      </c>
      <c r="MSI2207" s="582" t="s">
        <v>1224</v>
      </c>
      <c r="MSJ2207" s="582" t="s">
        <v>1224</v>
      </c>
      <c r="MSK2207" s="582" t="s">
        <v>1224</v>
      </c>
      <c r="MSL2207" s="582" t="s">
        <v>1224</v>
      </c>
      <c r="MSM2207" s="582" t="s">
        <v>1224</v>
      </c>
      <c r="MSN2207" s="582" t="s">
        <v>1224</v>
      </c>
      <c r="MSO2207" s="582" t="s">
        <v>1224</v>
      </c>
      <c r="MSP2207" s="582" t="s">
        <v>1224</v>
      </c>
      <c r="MSQ2207" s="582" t="s">
        <v>1224</v>
      </c>
      <c r="MSR2207" s="582" t="s">
        <v>1224</v>
      </c>
      <c r="MSS2207" s="582" t="s">
        <v>1224</v>
      </c>
      <c r="MST2207" s="582" t="s">
        <v>1224</v>
      </c>
      <c r="MSU2207" s="582" t="s">
        <v>1224</v>
      </c>
      <c r="MSV2207" s="582" t="s">
        <v>1224</v>
      </c>
      <c r="MSW2207" s="582" t="s">
        <v>1224</v>
      </c>
      <c r="MSX2207" s="582" t="s">
        <v>1224</v>
      </c>
      <c r="MSY2207" s="582" t="s">
        <v>1224</v>
      </c>
      <c r="MSZ2207" s="582" t="s">
        <v>1224</v>
      </c>
      <c r="MTA2207" s="582" t="s">
        <v>1224</v>
      </c>
      <c r="MTB2207" s="582" t="s">
        <v>1224</v>
      </c>
      <c r="MTC2207" s="582" t="s">
        <v>1224</v>
      </c>
      <c r="MTD2207" s="582" t="s">
        <v>1224</v>
      </c>
      <c r="MTE2207" s="582" t="s">
        <v>1224</v>
      </c>
      <c r="MTF2207" s="582" t="s">
        <v>1224</v>
      </c>
      <c r="MTG2207" s="582" t="s">
        <v>1224</v>
      </c>
      <c r="MTH2207" s="582" t="s">
        <v>1224</v>
      </c>
      <c r="MTI2207" s="582" t="s">
        <v>1224</v>
      </c>
      <c r="MTJ2207" s="582" t="s">
        <v>1224</v>
      </c>
      <c r="MTK2207" s="582" t="s">
        <v>1224</v>
      </c>
      <c r="MTL2207" s="582" t="s">
        <v>1224</v>
      </c>
      <c r="MTM2207" s="582" t="s">
        <v>1224</v>
      </c>
      <c r="MTN2207" s="582" t="s">
        <v>1224</v>
      </c>
      <c r="MTO2207" s="582" t="s">
        <v>1224</v>
      </c>
      <c r="MTP2207" s="582" t="s">
        <v>1224</v>
      </c>
      <c r="MTQ2207" s="582" t="s">
        <v>1224</v>
      </c>
      <c r="MTR2207" s="582" t="s">
        <v>1224</v>
      </c>
      <c r="MTS2207" s="582" t="s">
        <v>1224</v>
      </c>
      <c r="MTT2207" s="582" t="s">
        <v>1224</v>
      </c>
      <c r="MTU2207" s="582" t="s">
        <v>1224</v>
      </c>
      <c r="MTV2207" s="582" t="s">
        <v>1224</v>
      </c>
      <c r="MTW2207" s="582" t="s">
        <v>1224</v>
      </c>
      <c r="MTX2207" s="582" t="s">
        <v>1224</v>
      </c>
      <c r="MTY2207" s="582" t="s">
        <v>1224</v>
      </c>
      <c r="MTZ2207" s="582" t="s">
        <v>1224</v>
      </c>
      <c r="MUA2207" s="582" t="s">
        <v>1224</v>
      </c>
      <c r="MUB2207" s="582" t="s">
        <v>1224</v>
      </c>
      <c r="MUC2207" s="582" t="s">
        <v>1224</v>
      </c>
      <c r="MUD2207" s="582" t="s">
        <v>1224</v>
      </c>
      <c r="MUE2207" s="582" t="s">
        <v>1224</v>
      </c>
      <c r="MUF2207" s="582" t="s">
        <v>1224</v>
      </c>
      <c r="MUG2207" s="582" t="s">
        <v>1224</v>
      </c>
      <c r="MUH2207" s="582" t="s">
        <v>1224</v>
      </c>
      <c r="MUI2207" s="582" t="s">
        <v>1224</v>
      </c>
      <c r="MUJ2207" s="582" t="s">
        <v>1224</v>
      </c>
      <c r="MUK2207" s="582" t="s">
        <v>1224</v>
      </c>
      <c r="MUL2207" s="582" t="s">
        <v>1224</v>
      </c>
      <c r="MUM2207" s="582" t="s">
        <v>1224</v>
      </c>
      <c r="MUN2207" s="582" t="s">
        <v>1224</v>
      </c>
      <c r="MUO2207" s="582" t="s">
        <v>1224</v>
      </c>
      <c r="MUP2207" s="582" t="s">
        <v>1224</v>
      </c>
      <c r="MUQ2207" s="582" t="s">
        <v>1224</v>
      </c>
      <c r="MUR2207" s="582" t="s">
        <v>1224</v>
      </c>
      <c r="MUS2207" s="582" t="s">
        <v>1224</v>
      </c>
      <c r="MUT2207" s="582" t="s">
        <v>1224</v>
      </c>
      <c r="MUU2207" s="582" t="s">
        <v>1224</v>
      </c>
      <c r="MUV2207" s="582" t="s">
        <v>1224</v>
      </c>
      <c r="MUW2207" s="582" t="s">
        <v>1224</v>
      </c>
      <c r="MUX2207" s="582" t="s">
        <v>1224</v>
      </c>
      <c r="MUY2207" s="582" t="s">
        <v>1224</v>
      </c>
      <c r="MUZ2207" s="582" t="s">
        <v>1224</v>
      </c>
      <c r="MVA2207" s="582" t="s">
        <v>1224</v>
      </c>
      <c r="MVB2207" s="582" t="s">
        <v>1224</v>
      </c>
      <c r="MVC2207" s="582" t="s">
        <v>1224</v>
      </c>
      <c r="MVD2207" s="582" t="s">
        <v>1224</v>
      </c>
      <c r="MVE2207" s="582" t="s">
        <v>1224</v>
      </c>
      <c r="MVF2207" s="582" t="s">
        <v>1224</v>
      </c>
      <c r="MVG2207" s="582" t="s">
        <v>1224</v>
      </c>
      <c r="MVH2207" s="582" t="s">
        <v>1224</v>
      </c>
      <c r="MVI2207" s="582" t="s">
        <v>1224</v>
      </c>
      <c r="MVJ2207" s="582" t="s">
        <v>1224</v>
      </c>
      <c r="MVK2207" s="582" t="s">
        <v>1224</v>
      </c>
      <c r="MVL2207" s="582" t="s">
        <v>1224</v>
      </c>
      <c r="MVM2207" s="582" t="s">
        <v>1224</v>
      </c>
      <c r="MVN2207" s="582" t="s">
        <v>1224</v>
      </c>
      <c r="MVO2207" s="582" t="s">
        <v>1224</v>
      </c>
      <c r="MVP2207" s="582" t="s">
        <v>1224</v>
      </c>
      <c r="MVQ2207" s="582" t="s">
        <v>1224</v>
      </c>
      <c r="MVR2207" s="582" t="s">
        <v>1224</v>
      </c>
      <c r="MVS2207" s="582" t="s">
        <v>1224</v>
      </c>
      <c r="MVT2207" s="582" t="s">
        <v>1224</v>
      </c>
      <c r="MVU2207" s="582" t="s">
        <v>1224</v>
      </c>
      <c r="MVV2207" s="582" t="s">
        <v>1224</v>
      </c>
      <c r="MVW2207" s="582" t="s">
        <v>1224</v>
      </c>
      <c r="MVX2207" s="582" t="s">
        <v>1224</v>
      </c>
      <c r="MVY2207" s="582" t="s">
        <v>1224</v>
      </c>
      <c r="MVZ2207" s="582" t="s">
        <v>1224</v>
      </c>
      <c r="MWA2207" s="582" t="s">
        <v>1224</v>
      </c>
      <c r="MWB2207" s="582" t="s">
        <v>1224</v>
      </c>
      <c r="MWC2207" s="582" t="s">
        <v>1224</v>
      </c>
      <c r="MWD2207" s="582" t="s">
        <v>1224</v>
      </c>
      <c r="MWE2207" s="582" t="s">
        <v>1224</v>
      </c>
      <c r="MWF2207" s="582" t="s">
        <v>1224</v>
      </c>
      <c r="MWG2207" s="582" t="s">
        <v>1224</v>
      </c>
      <c r="MWH2207" s="582" t="s">
        <v>1224</v>
      </c>
      <c r="MWI2207" s="582" t="s">
        <v>1224</v>
      </c>
      <c r="MWJ2207" s="582" t="s">
        <v>1224</v>
      </c>
      <c r="MWK2207" s="582" t="s">
        <v>1224</v>
      </c>
      <c r="MWL2207" s="582" t="s">
        <v>1224</v>
      </c>
      <c r="MWM2207" s="582" t="s">
        <v>1224</v>
      </c>
      <c r="MWN2207" s="582" t="s">
        <v>1224</v>
      </c>
      <c r="MWO2207" s="582" t="s">
        <v>1224</v>
      </c>
      <c r="MWP2207" s="582" t="s">
        <v>1224</v>
      </c>
      <c r="MWQ2207" s="582" t="s">
        <v>1224</v>
      </c>
      <c r="MWR2207" s="582" t="s">
        <v>1224</v>
      </c>
      <c r="MWS2207" s="582" t="s">
        <v>1224</v>
      </c>
      <c r="MWT2207" s="582" t="s">
        <v>1224</v>
      </c>
      <c r="MWU2207" s="582" t="s">
        <v>1224</v>
      </c>
      <c r="MWV2207" s="582" t="s">
        <v>1224</v>
      </c>
      <c r="MWW2207" s="582" t="s">
        <v>1224</v>
      </c>
      <c r="MWX2207" s="582" t="s">
        <v>1224</v>
      </c>
      <c r="MWY2207" s="582" t="s">
        <v>1224</v>
      </c>
      <c r="MWZ2207" s="582" t="s">
        <v>1224</v>
      </c>
      <c r="MXA2207" s="582" t="s">
        <v>1224</v>
      </c>
      <c r="MXB2207" s="582" t="s">
        <v>1224</v>
      </c>
      <c r="MXC2207" s="582" t="s">
        <v>1224</v>
      </c>
      <c r="MXD2207" s="582" t="s">
        <v>1224</v>
      </c>
      <c r="MXE2207" s="582" t="s">
        <v>1224</v>
      </c>
      <c r="MXF2207" s="582" t="s">
        <v>1224</v>
      </c>
      <c r="MXG2207" s="582" t="s">
        <v>1224</v>
      </c>
      <c r="MXH2207" s="582" t="s">
        <v>1224</v>
      </c>
      <c r="MXI2207" s="582" t="s">
        <v>1224</v>
      </c>
      <c r="MXJ2207" s="582" t="s">
        <v>1224</v>
      </c>
      <c r="MXK2207" s="582" t="s">
        <v>1224</v>
      </c>
      <c r="MXL2207" s="582" t="s">
        <v>1224</v>
      </c>
      <c r="MXM2207" s="582" t="s">
        <v>1224</v>
      </c>
      <c r="MXN2207" s="582" t="s">
        <v>1224</v>
      </c>
      <c r="MXO2207" s="582" t="s">
        <v>1224</v>
      </c>
      <c r="MXP2207" s="582" t="s">
        <v>1224</v>
      </c>
      <c r="MXQ2207" s="582" t="s">
        <v>1224</v>
      </c>
      <c r="MXR2207" s="582" t="s">
        <v>1224</v>
      </c>
      <c r="MXS2207" s="582" t="s">
        <v>1224</v>
      </c>
      <c r="MXT2207" s="582" t="s">
        <v>1224</v>
      </c>
      <c r="MXU2207" s="582" t="s">
        <v>1224</v>
      </c>
      <c r="MXV2207" s="582" t="s">
        <v>1224</v>
      </c>
      <c r="MXW2207" s="582" t="s">
        <v>1224</v>
      </c>
      <c r="MXX2207" s="582" t="s">
        <v>1224</v>
      </c>
      <c r="MXY2207" s="582" t="s">
        <v>1224</v>
      </c>
      <c r="MXZ2207" s="582" t="s">
        <v>1224</v>
      </c>
      <c r="MYA2207" s="582" t="s">
        <v>1224</v>
      </c>
      <c r="MYB2207" s="582" t="s">
        <v>1224</v>
      </c>
      <c r="MYC2207" s="582" t="s">
        <v>1224</v>
      </c>
      <c r="MYD2207" s="582" t="s">
        <v>1224</v>
      </c>
      <c r="MYE2207" s="582" t="s">
        <v>1224</v>
      </c>
      <c r="MYF2207" s="582" t="s">
        <v>1224</v>
      </c>
      <c r="MYG2207" s="582" t="s">
        <v>1224</v>
      </c>
      <c r="MYH2207" s="582" t="s">
        <v>1224</v>
      </c>
      <c r="MYI2207" s="582" t="s">
        <v>1224</v>
      </c>
      <c r="MYJ2207" s="582" t="s">
        <v>1224</v>
      </c>
      <c r="MYK2207" s="582" t="s">
        <v>1224</v>
      </c>
      <c r="MYL2207" s="582" t="s">
        <v>1224</v>
      </c>
      <c r="MYM2207" s="582" t="s">
        <v>1224</v>
      </c>
      <c r="MYN2207" s="582" t="s">
        <v>1224</v>
      </c>
      <c r="MYO2207" s="582" t="s">
        <v>1224</v>
      </c>
      <c r="MYP2207" s="582" t="s">
        <v>1224</v>
      </c>
      <c r="MYQ2207" s="582" t="s">
        <v>1224</v>
      </c>
      <c r="MYR2207" s="582" t="s">
        <v>1224</v>
      </c>
      <c r="MYS2207" s="582" t="s">
        <v>1224</v>
      </c>
      <c r="MYT2207" s="582" t="s">
        <v>1224</v>
      </c>
      <c r="MYU2207" s="582" t="s">
        <v>1224</v>
      </c>
      <c r="MYV2207" s="582" t="s">
        <v>1224</v>
      </c>
      <c r="MYW2207" s="582" t="s">
        <v>1224</v>
      </c>
      <c r="MYX2207" s="582" t="s">
        <v>1224</v>
      </c>
      <c r="MYY2207" s="582" t="s">
        <v>1224</v>
      </c>
      <c r="MYZ2207" s="582" t="s">
        <v>1224</v>
      </c>
      <c r="MZA2207" s="582" t="s">
        <v>1224</v>
      </c>
      <c r="MZB2207" s="582" t="s">
        <v>1224</v>
      </c>
      <c r="MZC2207" s="582" t="s">
        <v>1224</v>
      </c>
      <c r="MZD2207" s="582" t="s">
        <v>1224</v>
      </c>
      <c r="MZE2207" s="582" t="s">
        <v>1224</v>
      </c>
      <c r="MZF2207" s="582" t="s">
        <v>1224</v>
      </c>
      <c r="MZG2207" s="582" t="s">
        <v>1224</v>
      </c>
      <c r="MZH2207" s="582" t="s">
        <v>1224</v>
      </c>
      <c r="MZI2207" s="582" t="s">
        <v>1224</v>
      </c>
      <c r="MZJ2207" s="582" t="s">
        <v>1224</v>
      </c>
      <c r="MZK2207" s="582" t="s">
        <v>1224</v>
      </c>
      <c r="MZL2207" s="582" t="s">
        <v>1224</v>
      </c>
      <c r="MZM2207" s="582" t="s">
        <v>1224</v>
      </c>
      <c r="MZN2207" s="582" t="s">
        <v>1224</v>
      </c>
      <c r="MZO2207" s="582" t="s">
        <v>1224</v>
      </c>
      <c r="MZP2207" s="582" t="s">
        <v>1224</v>
      </c>
      <c r="MZQ2207" s="582" t="s">
        <v>1224</v>
      </c>
      <c r="MZR2207" s="582" t="s">
        <v>1224</v>
      </c>
      <c r="MZS2207" s="582" t="s">
        <v>1224</v>
      </c>
      <c r="MZT2207" s="582" t="s">
        <v>1224</v>
      </c>
      <c r="MZU2207" s="582" t="s">
        <v>1224</v>
      </c>
      <c r="MZV2207" s="582" t="s">
        <v>1224</v>
      </c>
      <c r="MZW2207" s="582" t="s">
        <v>1224</v>
      </c>
      <c r="MZX2207" s="582" t="s">
        <v>1224</v>
      </c>
      <c r="MZY2207" s="582" t="s">
        <v>1224</v>
      </c>
      <c r="MZZ2207" s="582" t="s">
        <v>1224</v>
      </c>
      <c r="NAA2207" s="582" t="s">
        <v>1224</v>
      </c>
      <c r="NAB2207" s="582" t="s">
        <v>1224</v>
      </c>
      <c r="NAC2207" s="582" t="s">
        <v>1224</v>
      </c>
      <c r="NAD2207" s="582" t="s">
        <v>1224</v>
      </c>
      <c r="NAE2207" s="582" t="s">
        <v>1224</v>
      </c>
      <c r="NAF2207" s="582" t="s">
        <v>1224</v>
      </c>
      <c r="NAG2207" s="582" t="s">
        <v>1224</v>
      </c>
      <c r="NAH2207" s="582" t="s">
        <v>1224</v>
      </c>
      <c r="NAI2207" s="582" t="s">
        <v>1224</v>
      </c>
      <c r="NAJ2207" s="582" t="s">
        <v>1224</v>
      </c>
      <c r="NAK2207" s="582" t="s">
        <v>1224</v>
      </c>
      <c r="NAL2207" s="582" t="s">
        <v>1224</v>
      </c>
      <c r="NAM2207" s="582" t="s">
        <v>1224</v>
      </c>
      <c r="NAN2207" s="582" t="s">
        <v>1224</v>
      </c>
      <c r="NAO2207" s="582" t="s">
        <v>1224</v>
      </c>
      <c r="NAP2207" s="582" t="s">
        <v>1224</v>
      </c>
      <c r="NAQ2207" s="582" t="s">
        <v>1224</v>
      </c>
      <c r="NAR2207" s="582" t="s">
        <v>1224</v>
      </c>
      <c r="NAS2207" s="582" t="s">
        <v>1224</v>
      </c>
      <c r="NAT2207" s="582" t="s">
        <v>1224</v>
      </c>
      <c r="NAU2207" s="582" t="s">
        <v>1224</v>
      </c>
      <c r="NAV2207" s="582" t="s">
        <v>1224</v>
      </c>
      <c r="NAW2207" s="582" t="s">
        <v>1224</v>
      </c>
      <c r="NAX2207" s="582" t="s">
        <v>1224</v>
      </c>
      <c r="NAY2207" s="582" t="s">
        <v>1224</v>
      </c>
      <c r="NAZ2207" s="582" t="s">
        <v>1224</v>
      </c>
      <c r="NBA2207" s="582" t="s">
        <v>1224</v>
      </c>
      <c r="NBB2207" s="582" t="s">
        <v>1224</v>
      </c>
      <c r="NBC2207" s="582" t="s">
        <v>1224</v>
      </c>
      <c r="NBD2207" s="582" t="s">
        <v>1224</v>
      </c>
      <c r="NBE2207" s="582" t="s">
        <v>1224</v>
      </c>
      <c r="NBF2207" s="582" t="s">
        <v>1224</v>
      </c>
      <c r="NBG2207" s="582" t="s">
        <v>1224</v>
      </c>
      <c r="NBH2207" s="582" t="s">
        <v>1224</v>
      </c>
      <c r="NBI2207" s="582" t="s">
        <v>1224</v>
      </c>
      <c r="NBJ2207" s="582" t="s">
        <v>1224</v>
      </c>
      <c r="NBK2207" s="582" t="s">
        <v>1224</v>
      </c>
      <c r="NBL2207" s="582" t="s">
        <v>1224</v>
      </c>
      <c r="NBM2207" s="582" t="s">
        <v>1224</v>
      </c>
      <c r="NBN2207" s="582" t="s">
        <v>1224</v>
      </c>
      <c r="NBO2207" s="582" t="s">
        <v>1224</v>
      </c>
      <c r="NBP2207" s="582" t="s">
        <v>1224</v>
      </c>
      <c r="NBQ2207" s="582" t="s">
        <v>1224</v>
      </c>
      <c r="NBR2207" s="582" t="s">
        <v>1224</v>
      </c>
      <c r="NBS2207" s="582" t="s">
        <v>1224</v>
      </c>
      <c r="NBT2207" s="582" t="s">
        <v>1224</v>
      </c>
      <c r="NBU2207" s="582" t="s">
        <v>1224</v>
      </c>
      <c r="NBV2207" s="582" t="s">
        <v>1224</v>
      </c>
      <c r="NBW2207" s="582" t="s">
        <v>1224</v>
      </c>
      <c r="NBX2207" s="582" t="s">
        <v>1224</v>
      </c>
      <c r="NBY2207" s="582" t="s">
        <v>1224</v>
      </c>
      <c r="NBZ2207" s="582" t="s">
        <v>1224</v>
      </c>
      <c r="NCA2207" s="582" t="s">
        <v>1224</v>
      </c>
      <c r="NCB2207" s="582" t="s">
        <v>1224</v>
      </c>
      <c r="NCC2207" s="582" t="s">
        <v>1224</v>
      </c>
      <c r="NCD2207" s="582" t="s">
        <v>1224</v>
      </c>
      <c r="NCE2207" s="582" t="s">
        <v>1224</v>
      </c>
      <c r="NCF2207" s="582" t="s">
        <v>1224</v>
      </c>
      <c r="NCG2207" s="582" t="s">
        <v>1224</v>
      </c>
      <c r="NCH2207" s="582" t="s">
        <v>1224</v>
      </c>
      <c r="NCI2207" s="582" t="s">
        <v>1224</v>
      </c>
      <c r="NCJ2207" s="582" t="s">
        <v>1224</v>
      </c>
      <c r="NCK2207" s="582" t="s">
        <v>1224</v>
      </c>
      <c r="NCL2207" s="582" t="s">
        <v>1224</v>
      </c>
      <c r="NCM2207" s="582" t="s">
        <v>1224</v>
      </c>
      <c r="NCN2207" s="582" t="s">
        <v>1224</v>
      </c>
      <c r="NCO2207" s="582" t="s">
        <v>1224</v>
      </c>
      <c r="NCP2207" s="582" t="s">
        <v>1224</v>
      </c>
      <c r="NCQ2207" s="582" t="s">
        <v>1224</v>
      </c>
      <c r="NCR2207" s="582" t="s">
        <v>1224</v>
      </c>
      <c r="NCS2207" s="582" t="s">
        <v>1224</v>
      </c>
      <c r="NCT2207" s="582" t="s">
        <v>1224</v>
      </c>
      <c r="NCU2207" s="582" t="s">
        <v>1224</v>
      </c>
      <c r="NCV2207" s="582" t="s">
        <v>1224</v>
      </c>
      <c r="NCW2207" s="582" t="s">
        <v>1224</v>
      </c>
      <c r="NCX2207" s="582" t="s">
        <v>1224</v>
      </c>
      <c r="NCY2207" s="582" t="s">
        <v>1224</v>
      </c>
      <c r="NCZ2207" s="582" t="s">
        <v>1224</v>
      </c>
      <c r="NDA2207" s="582" t="s">
        <v>1224</v>
      </c>
      <c r="NDB2207" s="582" t="s">
        <v>1224</v>
      </c>
      <c r="NDC2207" s="582" t="s">
        <v>1224</v>
      </c>
      <c r="NDD2207" s="582" t="s">
        <v>1224</v>
      </c>
      <c r="NDE2207" s="582" t="s">
        <v>1224</v>
      </c>
      <c r="NDF2207" s="582" t="s">
        <v>1224</v>
      </c>
      <c r="NDG2207" s="582" t="s">
        <v>1224</v>
      </c>
      <c r="NDH2207" s="582" t="s">
        <v>1224</v>
      </c>
      <c r="NDI2207" s="582" t="s">
        <v>1224</v>
      </c>
      <c r="NDJ2207" s="582" t="s">
        <v>1224</v>
      </c>
      <c r="NDK2207" s="582" t="s">
        <v>1224</v>
      </c>
      <c r="NDL2207" s="582" t="s">
        <v>1224</v>
      </c>
      <c r="NDM2207" s="582" t="s">
        <v>1224</v>
      </c>
      <c r="NDN2207" s="582" t="s">
        <v>1224</v>
      </c>
      <c r="NDO2207" s="582" t="s">
        <v>1224</v>
      </c>
      <c r="NDP2207" s="582" t="s">
        <v>1224</v>
      </c>
      <c r="NDQ2207" s="582" t="s">
        <v>1224</v>
      </c>
      <c r="NDR2207" s="582" t="s">
        <v>1224</v>
      </c>
      <c r="NDS2207" s="582" t="s">
        <v>1224</v>
      </c>
      <c r="NDT2207" s="582" t="s">
        <v>1224</v>
      </c>
      <c r="NDU2207" s="582" t="s">
        <v>1224</v>
      </c>
      <c r="NDV2207" s="582" t="s">
        <v>1224</v>
      </c>
      <c r="NDW2207" s="582" t="s">
        <v>1224</v>
      </c>
      <c r="NDX2207" s="582" t="s">
        <v>1224</v>
      </c>
      <c r="NDY2207" s="582" t="s">
        <v>1224</v>
      </c>
      <c r="NDZ2207" s="582" t="s">
        <v>1224</v>
      </c>
      <c r="NEA2207" s="582" t="s">
        <v>1224</v>
      </c>
      <c r="NEB2207" s="582" t="s">
        <v>1224</v>
      </c>
      <c r="NEC2207" s="582" t="s">
        <v>1224</v>
      </c>
      <c r="NED2207" s="582" t="s">
        <v>1224</v>
      </c>
      <c r="NEE2207" s="582" t="s">
        <v>1224</v>
      </c>
      <c r="NEF2207" s="582" t="s">
        <v>1224</v>
      </c>
      <c r="NEG2207" s="582" t="s">
        <v>1224</v>
      </c>
      <c r="NEH2207" s="582" t="s">
        <v>1224</v>
      </c>
      <c r="NEI2207" s="582" t="s">
        <v>1224</v>
      </c>
      <c r="NEJ2207" s="582" t="s">
        <v>1224</v>
      </c>
      <c r="NEK2207" s="582" t="s">
        <v>1224</v>
      </c>
      <c r="NEL2207" s="582" t="s">
        <v>1224</v>
      </c>
      <c r="NEM2207" s="582" t="s">
        <v>1224</v>
      </c>
      <c r="NEN2207" s="582" t="s">
        <v>1224</v>
      </c>
      <c r="NEO2207" s="582" t="s">
        <v>1224</v>
      </c>
      <c r="NEP2207" s="582" t="s">
        <v>1224</v>
      </c>
      <c r="NEQ2207" s="582" t="s">
        <v>1224</v>
      </c>
      <c r="NER2207" s="582" t="s">
        <v>1224</v>
      </c>
      <c r="NES2207" s="582" t="s">
        <v>1224</v>
      </c>
      <c r="NET2207" s="582" t="s">
        <v>1224</v>
      </c>
      <c r="NEU2207" s="582" t="s">
        <v>1224</v>
      </c>
      <c r="NEV2207" s="582" t="s">
        <v>1224</v>
      </c>
      <c r="NEW2207" s="582" t="s">
        <v>1224</v>
      </c>
      <c r="NEX2207" s="582" t="s">
        <v>1224</v>
      </c>
      <c r="NEY2207" s="582" t="s">
        <v>1224</v>
      </c>
      <c r="NEZ2207" s="582" t="s">
        <v>1224</v>
      </c>
      <c r="NFA2207" s="582" t="s">
        <v>1224</v>
      </c>
      <c r="NFB2207" s="582" t="s">
        <v>1224</v>
      </c>
      <c r="NFC2207" s="582" t="s">
        <v>1224</v>
      </c>
      <c r="NFD2207" s="582" t="s">
        <v>1224</v>
      </c>
      <c r="NFE2207" s="582" t="s">
        <v>1224</v>
      </c>
      <c r="NFF2207" s="582" t="s">
        <v>1224</v>
      </c>
      <c r="NFG2207" s="582" t="s">
        <v>1224</v>
      </c>
      <c r="NFH2207" s="582" t="s">
        <v>1224</v>
      </c>
      <c r="NFI2207" s="582" t="s">
        <v>1224</v>
      </c>
      <c r="NFJ2207" s="582" t="s">
        <v>1224</v>
      </c>
      <c r="NFK2207" s="582" t="s">
        <v>1224</v>
      </c>
      <c r="NFL2207" s="582" t="s">
        <v>1224</v>
      </c>
      <c r="NFM2207" s="582" t="s">
        <v>1224</v>
      </c>
      <c r="NFN2207" s="582" t="s">
        <v>1224</v>
      </c>
      <c r="NFO2207" s="582" t="s">
        <v>1224</v>
      </c>
      <c r="NFP2207" s="582" t="s">
        <v>1224</v>
      </c>
      <c r="NFQ2207" s="582" t="s">
        <v>1224</v>
      </c>
      <c r="NFR2207" s="582" t="s">
        <v>1224</v>
      </c>
      <c r="NFS2207" s="582" t="s">
        <v>1224</v>
      </c>
      <c r="NFT2207" s="582" t="s">
        <v>1224</v>
      </c>
      <c r="NFU2207" s="582" t="s">
        <v>1224</v>
      </c>
      <c r="NFV2207" s="582" t="s">
        <v>1224</v>
      </c>
      <c r="NFW2207" s="582" t="s">
        <v>1224</v>
      </c>
      <c r="NFX2207" s="582" t="s">
        <v>1224</v>
      </c>
      <c r="NFY2207" s="582" t="s">
        <v>1224</v>
      </c>
      <c r="NFZ2207" s="582" t="s">
        <v>1224</v>
      </c>
      <c r="NGA2207" s="582" t="s">
        <v>1224</v>
      </c>
      <c r="NGB2207" s="582" t="s">
        <v>1224</v>
      </c>
      <c r="NGC2207" s="582" t="s">
        <v>1224</v>
      </c>
      <c r="NGD2207" s="582" t="s">
        <v>1224</v>
      </c>
      <c r="NGE2207" s="582" t="s">
        <v>1224</v>
      </c>
      <c r="NGF2207" s="582" t="s">
        <v>1224</v>
      </c>
      <c r="NGG2207" s="582" t="s">
        <v>1224</v>
      </c>
      <c r="NGH2207" s="582" t="s">
        <v>1224</v>
      </c>
      <c r="NGI2207" s="582" t="s">
        <v>1224</v>
      </c>
      <c r="NGJ2207" s="582" t="s">
        <v>1224</v>
      </c>
      <c r="NGK2207" s="582" t="s">
        <v>1224</v>
      </c>
      <c r="NGL2207" s="582" t="s">
        <v>1224</v>
      </c>
      <c r="NGM2207" s="582" t="s">
        <v>1224</v>
      </c>
      <c r="NGN2207" s="582" t="s">
        <v>1224</v>
      </c>
      <c r="NGO2207" s="582" t="s">
        <v>1224</v>
      </c>
      <c r="NGP2207" s="582" t="s">
        <v>1224</v>
      </c>
      <c r="NGQ2207" s="582" t="s">
        <v>1224</v>
      </c>
      <c r="NGR2207" s="582" t="s">
        <v>1224</v>
      </c>
      <c r="NGS2207" s="582" t="s">
        <v>1224</v>
      </c>
      <c r="NGT2207" s="582" t="s">
        <v>1224</v>
      </c>
      <c r="NGU2207" s="582" t="s">
        <v>1224</v>
      </c>
      <c r="NGV2207" s="582" t="s">
        <v>1224</v>
      </c>
      <c r="NGW2207" s="582" t="s">
        <v>1224</v>
      </c>
      <c r="NGX2207" s="582" t="s">
        <v>1224</v>
      </c>
      <c r="NGY2207" s="582" t="s">
        <v>1224</v>
      </c>
      <c r="NGZ2207" s="582" t="s">
        <v>1224</v>
      </c>
      <c r="NHA2207" s="582" t="s">
        <v>1224</v>
      </c>
      <c r="NHB2207" s="582" t="s">
        <v>1224</v>
      </c>
      <c r="NHC2207" s="582" t="s">
        <v>1224</v>
      </c>
      <c r="NHD2207" s="582" t="s">
        <v>1224</v>
      </c>
      <c r="NHE2207" s="582" t="s">
        <v>1224</v>
      </c>
      <c r="NHF2207" s="582" t="s">
        <v>1224</v>
      </c>
      <c r="NHG2207" s="582" t="s">
        <v>1224</v>
      </c>
      <c r="NHH2207" s="582" t="s">
        <v>1224</v>
      </c>
      <c r="NHI2207" s="582" t="s">
        <v>1224</v>
      </c>
      <c r="NHJ2207" s="582" t="s">
        <v>1224</v>
      </c>
      <c r="NHK2207" s="582" t="s">
        <v>1224</v>
      </c>
      <c r="NHL2207" s="582" t="s">
        <v>1224</v>
      </c>
      <c r="NHM2207" s="582" t="s">
        <v>1224</v>
      </c>
      <c r="NHN2207" s="582" t="s">
        <v>1224</v>
      </c>
      <c r="NHO2207" s="582" t="s">
        <v>1224</v>
      </c>
      <c r="NHP2207" s="582" t="s">
        <v>1224</v>
      </c>
      <c r="NHQ2207" s="582" t="s">
        <v>1224</v>
      </c>
      <c r="NHR2207" s="582" t="s">
        <v>1224</v>
      </c>
      <c r="NHS2207" s="582" t="s">
        <v>1224</v>
      </c>
      <c r="NHT2207" s="582" t="s">
        <v>1224</v>
      </c>
      <c r="NHU2207" s="582" t="s">
        <v>1224</v>
      </c>
      <c r="NHV2207" s="582" t="s">
        <v>1224</v>
      </c>
      <c r="NHW2207" s="582" t="s">
        <v>1224</v>
      </c>
      <c r="NHX2207" s="582" t="s">
        <v>1224</v>
      </c>
      <c r="NHY2207" s="582" t="s">
        <v>1224</v>
      </c>
      <c r="NHZ2207" s="582" t="s">
        <v>1224</v>
      </c>
      <c r="NIA2207" s="582" t="s">
        <v>1224</v>
      </c>
      <c r="NIB2207" s="582" t="s">
        <v>1224</v>
      </c>
      <c r="NIC2207" s="582" t="s">
        <v>1224</v>
      </c>
      <c r="NID2207" s="582" t="s">
        <v>1224</v>
      </c>
      <c r="NIE2207" s="582" t="s">
        <v>1224</v>
      </c>
      <c r="NIF2207" s="582" t="s">
        <v>1224</v>
      </c>
      <c r="NIG2207" s="582" t="s">
        <v>1224</v>
      </c>
      <c r="NIH2207" s="582" t="s">
        <v>1224</v>
      </c>
      <c r="NII2207" s="582" t="s">
        <v>1224</v>
      </c>
      <c r="NIJ2207" s="582" t="s">
        <v>1224</v>
      </c>
      <c r="NIK2207" s="582" t="s">
        <v>1224</v>
      </c>
      <c r="NIL2207" s="582" t="s">
        <v>1224</v>
      </c>
      <c r="NIM2207" s="582" t="s">
        <v>1224</v>
      </c>
      <c r="NIN2207" s="582" t="s">
        <v>1224</v>
      </c>
      <c r="NIO2207" s="582" t="s">
        <v>1224</v>
      </c>
      <c r="NIP2207" s="582" t="s">
        <v>1224</v>
      </c>
      <c r="NIQ2207" s="582" t="s">
        <v>1224</v>
      </c>
      <c r="NIR2207" s="582" t="s">
        <v>1224</v>
      </c>
      <c r="NIS2207" s="582" t="s">
        <v>1224</v>
      </c>
      <c r="NIT2207" s="582" t="s">
        <v>1224</v>
      </c>
      <c r="NIU2207" s="582" t="s">
        <v>1224</v>
      </c>
      <c r="NIV2207" s="582" t="s">
        <v>1224</v>
      </c>
      <c r="NIW2207" s="582" t="s">
        <v>1224</v>
      </c>
      <c r="NIX2207" s="582" t="s">
        <v>1224</v>
      </c>
      <c r="NIY2207" s="582" t="s">
        <v>1224</v>
      </c>
      <c r="NIZ2207" s="582" t="s">
        <v>1224</v>
      </c>
      <c r="NJA2207" s="582" t="s">
        <v>1224</v>
      </c>
      <c r="NJB2207" s="582" t="s">
        <v>1224</v>
      </c>
      <c r="NJC2207" s="582" t="s">
        <v>1224</v>
      </c>
      <c r="NJD2207" s="582" t="s">
        <v>1224</v>
      </c>
      <c r="NJE2207" s="582" t="s">
        <v>1224</v>
      </c>
      <c r="NJF2207" s="582" t="s">
        <v>1224</v>
      </c>
      <c r="NJG2207" s="582" t="s">
        <v>1224</v>
      </c>
      <c r="NJH2207" s="582" t="s">
        <v>1224</v>
      </c>
      <c r="NJI2207" s="582" t="s">
        <v>1224</v>
      </c>
      <c r="NJJ2207" s="582" t="s">
        <v>1224</v>
      </c>
      <c r="NJK2207" s="582" t="s">
        <v>1224</v>
      </c>
      <c r="NJL2207" s="582" t="s">
        <v>1224</v>
      </c>
      <c r="NJM2207" s="582" t="s">
        <v>1224</v>
      </c>
      <c r="NJN2207" s="582" t="s">
        <v>1224</v>
      </c>
      <c r="NJO2207" s="582" t="s">
        <v>1224</v>
      </c>
      <c r="NJP2207" s="582" t="s">
        <v>1224</v>
      </c>
      <c r="NJQ2207" s="582" t="s">
        <v>1224</v>
      </c>
      <c r="NJR2207" s="582" t="s">
        <v>1224</v>
      </c>
      <c r="NJS2207" s="582" t="s">
        <v>1224</v>
      </c>
      <c r="NJT2207" s="582" t="s">
        <v>1224</v>
      </c>
      <c r="NJU2207" s="582" t="s">
        <v>1224</v>
      </c>
      <c r="NJV2207" s="582" t="s">
        <v>1224</v>
      </c>
      <c r="NJW2207" s="582" t="s">
        <v>1224</v>
      </c>
      <c r="NJX2207" s="582" t="s">
        <v>1224</v>
      </c>
      <c r="NJY2207" s="582" t="s">
        <v>1224</v>
      </c>
      <c r="NJZ2207" s="582" t="s">
        <v>1224</v>
      </c>
      <c r="NKA2207" s="582" t="s">
        <v>1224</v>
      </c>
      <c r="NKB2207" s="582" t="s">
        <v>1224</v>
      </c>
      <c r="NKC2207" s="582" t="s">
        <v>1224</v>
      </c>
      <c r="NKD2207" s="582" t="s">
        <v>1224</v>
      </c>
      <c r="NKE2207" s="582" t="s">
        <v>1224</v>
      </c>
      <c r="NKF2207" s="582" t="s">
        <v>1224</v>
      </c>
      <c r="NKG2207" s="582" t="s">
        <v>1224</v>
      </c>
      <c r="NKH2207" s="582" t="s">
        <v>1224</v>
      </c>
      <c r="NKI2207" s="582" t="s">
        <v>1224</v>
      </c>
      <c r="NKJ2207" s="582" t="s">
        <v>1224</v>
      </c>
      <c r="NKK2207" s="582" t="s">
        <v>1224</v>
      </c>
      <c r="NKL2207" s="582" t="s">
        <v>1224</v>
      </c>
      <c r="NKM2207" s="582" t="s">
        <v>1224</v>
      </c>
      <c r="NKN2207" s="582" t="s">
        <v>1224</v>
      </c>
      <c r="NKO2207" s="582" t="s">
        <v>1224</v>
      </c>
      <c r="NKP2207" s="582" t="s">
        <v>1224</v>
      </c>
      <c r="NKQ2207" s="582" t="s">
        <v>1224</v>
      </c>
      <c r="NKR2207" s="582" t="s">
        <v>1224</v>
      </c>
      <c r="NKS2207" s="582" t="s">
        <v>1224</v>
      </c>
      <c r="NKT2207" s="582" t="s">
        <v>1224</v>
      </c>
      <c r="NKU2207" s="582" t="s">
        <v>1224</v>
      </c>
      <c r="NKV2207" s="582" t="s">
        <v>1224</v>
      </c>
      <c r="NKW2207" s="582" t="s">
        <v>1224</v>
      </c>
      <c r="NKX2207" s="582" t="s">
        <v>1224</v>
      </c>
      <c r="NKY2207" s="582" t="s">
        <v>1224</v>
      </c>
      <c r="NKZ2207" s="582" t="s">
        <v>1224</v>
      </c>
      <c r="NLA2207" s="582" t="s">
        <v>1224</v>
      </c>
      <c r="NLB2207" s="582" t="s">
        <v>1224</v>
      </c>
      <c r="NLC2207" s="582" t="s">
        <v>1224</v>
      </c>
      <c r="NLD2207" s="582" t="s">
        <v>1224</v>
      </c>
      <c r="NLE2207" s="582" t="s">
        <v>1224</v>
      </c>
      <c r="NLF2207" s="582" t="s">
        <v>1224</v>
      </c>
      <c r="NLG2207" s="582" t="s">
        <v>1224</v>
      </c>
      <c r="NLH2207" s="582" t="s">
        <v>1224</v>
      </c>
      <c r="NLI2207" s="582" t="s">
        <v>1224</v>
      </c>
      <c r="NLJ2207" s="582" t="s">
        <v>1224</v>
      </c>
      <c r="NLK2207" s="582" t="s">
        <v>1224</v>
      </c>
      <c r="NLL2207" s="582" t="s">
        <v>1224</v>
      </c>
      <c r="NLM2207" s="582" t="s">
        <v>1224</v>
      </c>
      <c r="NLN2207" s="582" t="s">
        <v>1224</v>
      </c>
      <c r="NLO2207" s="582" t="s">
        <v>1224</v>
      </c>
      <c r="NLP2207" s="582" t="s">
        <v>1224</v>
      </c>
      <c r="NLQ2207" s="582" t="s">
        <v>1224</v>
      </c>
      <c r="NLR2207" s="582" t="s">
        <v>1224</v>
      </c>
      <c r="NLS2207" s="582" t="s">
        <v>1224</v>
      </c>
      <c r="NLT2207" s="582" t="s">
        <v>1224</v>
      </c>
      <c r="NLU2207" s="582" t="s">
        <v>1224</v>
      </c>
      <c r="NLV2207" s="582" t="s">
        <v>1224</v>
      </c>
      <c r="NLW2207" s="582" t="s">
        <v>1224</v>
      </c>
      <c r="NLX2207" s="582" t="s">
        <v>1224</v>
      </c>
      <c r="NLY2207" s="582" t="s">
        <v>1224</v>
      </c>
      <c r="NLZ2207" s="582" t="s">
        <v>1224</v>
      </c>
      <c r="NMA2207" s="582" t="s">
        <v>1224</v>
      </c>
      <c r="NMB2207" s="582" t="s">
        <v>1224</v>
      </c>
      <c r="NMC2207" s="582" t="s">
        <v>1224</v>
      </c>
      <c r="NMD2207" s="582" t="s">
        <v>1224</v>
      </c>
      <c r="NME2207" s="582" t="s">
        <v>1224</v>
      </c>
      <c r="NMF2207" s="582" t="s">
        <v>1224</v>
      </c>
      <c r="NMG2207" s="582" t="s">
        <v>1224</v>
      </c>
      <c r="NMH2207" s="582" t="s">
        <v>1224</v>
      </c>
      <c r="NMI2207" s="582" t="s">
        <v>1224</v>
      </c>
      <c r="NMJ2207" s="582" t="s">
        <v>1224</v>
      </c>
      <c r="NMK2207" s="582" t="s">
        <v>1224</v>
      </c>
      <c r="NML2207" s="582" t="s">
        <v>1224</v>
      </c>
      <c r="NMM2207" s="582" t="s">
        <v>1224</v>
      </c>
      <c r="NMN2207" s="582" t="s">
        <v>1224</v>
      </c>
      <c r="NMO2207" s="582" t="s">
        <v>1224</v>
      </c>
      <c r="NMP2207" s="582" t="s">
        <v>1224</v>
      </c>
      <c r="NMQ2207" s="582" t="s">
        <v>1224</v>
      </c>
      <c r="NMR2207" s="582" t="s">
        <v>1224</v>
      </c>
      <c r="NMS2207" s="582" t="s">
        <v>1224</v>
      </c>
      <c r="NMT2207" s="582" t="s">
        <v>1224</v>
      </c>
      <c r="NMU2207" s="582" t="s">
        <v>1224</v>
      </c>
      <c r="NMV2207" s="582" t="s">
        <v>1224</v>
      </c>
      <c r="NMW2207" s="582" t="s">
        <v>1224</v>
      </c>
      <c r="NMX2207" s="582" t="s">
        <v>1224</v>
      </c>
      <c r="NMY2207" s="582" t="s">
        <v>1224</v>
      </c>
      <c r="NMZ2207" s="582" t="s">
        <v>1224</v>
      </c>
      <c r="NNA2207" s="582" t="s">
        <v>1224</v>
      </c>
      <c r="NNB2207" s="582" t="s">
        <v>1224</v>
      </c>
      <c r="NNC2207" s="582" t="s">
        <v>1224</v>
      </c>
      <c r="NND2207" s="582" t="s">
        <v>1224</v>
      </c>
      <c r="NNE2207" s="582" t="s">
        <v>1224</v>
      </c>
      <c r="NNF2207" s="582" t="s">
        <v>1224</v>
      </c>
      <c r="NNG2207" s="582" t="s">
        <v>1224</v>
      </c>
      <c r="NNH2207" s="582" t="s">
        <v>1224</v>
      </c>
      <c r="NNI2207" s="582" t="s">
        <v>1224</v>
      </c>
      <c r="NNJ2207" s="582" t="s">
        <v>1224</v>
      </c>
      <c r="NNK2207" s="582" t="s">
        <v>1224</v>
      </c>
      <c r="NNL2207" s="582" t="s">
        <v>1224</v>
      </c>
      <c r="NNM2207" s="582" t="s">
        <v>1224</v>
      </c>
      <c r="NNN2207" s="582" t="s">
        <v>1224</v>
      </c>
      <c r="NNO2207" s="582" t="s">
        <v>1224</v>
      </c>
      <c r="NNP2207" s="582" t="s">
        <v>1224</v>
      </c>
      <c r="NNQ2207" s="582" t="s">
        <v>1224</v>
      </c>
      <c r="NNR2207" s="582" t="s">
        <v>1224</v>
      </c>
      <c r="NNS2207" s="582" t="s">
        <v>1224</v>
      </c>
      <c r="NNT2207" s="582" t="s">
        <v>1224</v>
      </c>
      <c r="NNU2207" s="582" t="s">
        <v>1224</v>
      </c>
      <c r="NNV2207" s="582" t="s">
        <v>1224</v>
      </c>
      <c r="NNW2207" s="582" t="s">
        <v>1224</v>
      </c>
      <c r="NNX2207" s="582" t="s">
        <v>1224</v>
      </c>
      <c r="NNY2207" s="582" t="s">
        <v>1224</v>
      </c>
      <c r="NNZ2207" s="582" t="s">
        <v>1224</v>
      </c>
      <c r="NOA2207" s="582" t="s">
        <v>1224</v>
      </c>
      <c r="NOB2207" s="582" t="s">
        <v>1224</v>
      </c>
      <c r="NOC2207" s="582" t="s">
        <v>1224</v>
      </c>
      <c r="NOD2207" s="582" t="s">
        <v>1224</v>
      </c>
      <c r="NOE2207" s="582" t="s">
        <v>1224</v>
      </c>
      <c r="NOF2207" s="582" t="s">
        <v>1224</v>
      </c>
      <c r="NOG2207" s="582" t="s">
        <v>1224</v>
      </c>
      <c r="NOH2207" s="582" t="s">
        <v>1224</v>
      </c>
      <c r="NOI2207" s="582" t="s">
        <v>1224</v>
      </c>
      <c r="NOJ2207" s="582" t="s">
        <v>1224</v>
      </c>
      <c r="NOK2207" s="582" t="s">
        <v>1224</v>
      </c>
      <c r="NOL2207" s="582" t="s">
        <v>1224</v>
      </c>
      <c r="NOM2207" s="582" t="s">
        <v>1224</v>
      </c>
      <c r="NON2207" s="582" t="s">
        <v>1224</v>
      </c>
      <c r="NOO2207" s="582" t="s">
        <v>1224</v>
      </c>
      <c r="NOP2207" s="582" t="s">
        <v>1224</v>
      </c>
      <c r="NOQ2207" s="582" t="s">
        <v>1224</v>
      </c>
      <c r="NOR2207" s="582" t="s">
        <v>1224</v>
      </c>
      <c r="NOS2207" s="582" t="s">
        <v>1224</v>
      </c>
      <c r="NOT2207" s="582" t="s">
        <v>1224</v>
      </c>
      <c r="NOU2207" s="582" t="s">
        <v>1224</v>
      </c>
      <c r="NOV2207" s="582" t="s">
        <v>1224</v>
      </c>
      <c r="NOW2207" s="582" t="s">
        <v>1224</v>
      </c>
      <c r="NOX2207" s="582" t="s">
        <v>1224</v>
      </c>
      <c r="NOY2207" s="582" t="s">
        <v>1224</v>
      </c>
      <c r="NOZ2207" s="582" t="s">
        <v>1224</v>
      </c>
      <c r="NPA2207" s="582" t="s">
        <v>1224</v>
      </c>
      <c r="NPB2207" s="582" t="s">
        <v>1224</v>
      </c>
      <c r="NPC2207" s="582" t="s">
        <v>1224</v>
      </c>
      <c r="NPD2207" s="582" t="s">
        <v>1224</v>
      </c>
      <c r="NPE2207" s="582" t="s">
        <v>1224</v>
      </c>
      <c r="NPF2207" s="582" t="s">
        <v>1224</v>
      </c>
      <c r="NPG2207" s="582" t="s">
        <v>1224</v>
      </c>
      <c r="NPH2207" s="582" t="s">
        <v>1224</v>
      </c>
      <c r="NPI2207" s="582" t="s">
        <v>1224</v>
      </c>
      <c r="NPJ2207" s="582" t="s">
        <v>1224</v>
      </c>
      <c r="NPK2207" s="582" t="s">
        <v>1224</v>
      </c>
      <c r="NPL2207" s="582" t="s">
        <v>1224</v>
      </c>
      <c r="NPM2207" s="582" t="s">
        <v>1224</v>
      </c>
      <c r="NPN2207" s="582" t="s">
        <v>1224</v>
      </c>
      <c r="NPO2207" s="582" t="s">
        <v>1224</v>
      </c>
      <c r="NPP2207" s="582" t="s">
        <v>1224</v>
      </c>
      <c r="NPQ2207" s="582" t="s">
        <v>1224</v>
      </c>
      <c r="NPR2207" s="582" t="s">
        <v>1224</v>
      </c>
      <c r="NPS2207" s="582" t="s">
        <v>1224</v>
      </c>
      <c r="NPT2207" s="582" t="s">
        <v>1224</v>
      </c>
      <c r="NPU2207" s="582" t="s">
        <v>1224</v>
      </c>
      <c r="NPV2207" s="582" t="s">
        <v>1224</v>
      </c>
      <c r="NPW2207" s="582" t="s">
        <v>1224</v>
      </c>
      <c r="NPX2207" s="582" t="s">
        <v>1224</v>
      </c>
      <c r="NPY2207" s="582" t="s">
        <v>1224</v>
      </c>
      <c r="NPZ2207" s="582" t="s">
        <v>1224</v>
      </c>
      <c r="NQA2207" s="582" t="s">
        <v>1224</v>
      </c>
      <c r="NQB2207" s="582" t="s">
        <v>1224</v>
      </c>
      <c r="NQC2207" s="582" t="s">
        <v>1224</v>
      </c>
      <c r="NQD2207" s="582" t="s">
        <v>1224</v>
      </c>
      <c r="NQE2207" s="582" t="s">
        <v>1224</v>
      </c>
      <c r="NQF2207" s="582" t="s">
        <v>1224</v>
      </c>
      <c r="NQG2207" s="582" t="s">
        <v>1224</v>
      </c>
      <c r="NQH2207" s="582" t="s">
        <v>1224</v>
      </c>
      <c r="NQI2207" s="582" t="s">
        <v>1224</v>
      </c>
      <c r="NQJ2207" s="582" t="s">
        <v>1224</v>
      </c>
      <c r="NQK2207" s="582" t="s">
        <v>1224</v>
      </c>
      <c r="NQL2207" s="582" t="s">
        <v>1224</v>
      </c>
      <c r="NQM2207" s="582" t="s">
        <v>1224</v>
      </c>
      <c r="NQN2207" s="582" t="s">
        <v>1224</v>
      </c>
      <c r="NQO2207" s="582" t="s">
        <v>1224</v>
      </c>
      <c r="NQP2207" s="582" t="s">
        <v>1224</v>
      </c>
      <c r="NQQ2207" s="582" t="s">
        <v>1224</v>
      </c>
      <c r="NQR2207" s="582" t="s">
        <v>1224</v>
      </c>
      <c r="NQS2207" s="582" t="s">
        <v>1224</v>
      </c>
      <c r="NQT2207" s="582" t="s">
        <v>1224</v>
      </c>
      <c r="NQU2207" s="582" t="s">
        <v>1224</v>
      </c>
      <c r="NQV2207" s="582" t="s">
        <v>1224</v>
      </c>
      <c r="NQW2207" s="582" t="s">
        <v>1224</v>
      </c>
      <c r="NQX2207" s="582" t="s">
        <v>1224</v>
      </c>
      <c r="NQY2207" s="582" t="s">
        <v>1224</v>
      </c>
      <c r="NQZ2207" s="582" t="s">
        <v>1224</v>
      </c>
      <c r="NRA2207" s="582" t="s">
        <v>1224</v>
      </c>
      <c r="NRB2207" s="582" t="s">
        <v>1224</v>
      </c>
      <c r="NRC2207" s="582" t="s">
        <v>1224</v>
      </c>
      <c r="NRD2207" s="582" t="s">
        <v>1224</v>
      </c>
      <c r="NRE2207" s="582" t="s">
        <v>1224</v>
      </c>
      <c r="NRF2207" s="582" t="s">
        <v>1224</v>
      </c>
      <c r="NRG2207" s="582" t="s">
        <v>1224</v>
      </c>
      <c r="NRH2207" s="582" t="s">
        <v>1224</v>
      </c>
      <c r="NRI2207" s="582" t="s">
        <v>1224</v>
      </c>
      <c r="NRJ2207" s="582" t="s">
        <v>1224</v>
      </c>
      <c r="NRK2207" s="582" t="s">
        <v>1224</v>
      </c>
      <c r="NRL2207" s="582" t="s">
        <v>1224</v>
      </c>
      <c r="NRM2207" s="582" t="s">
        <v>1224</v>
      </c>
      <c r="NRN2207" s="582" t="s">
        <v>1224</v>
      </c>
      <c r="NRO2207" s="582" t="s">
        <v>1224</v>
      </c>
      <c r="NRP2207" s="582" t="s">
        <v>1224</v>
      </c>
      <c r="NRQ2207" s="582" t="s">
        <v>1224</v>
      </c>
      <c r="NRR2207" s="582" t="s">
        <v>1224</v>
      </c>
      <c r="NRS2207" s="582" t="s">
        <v>1224</v>
      </c>
      <c r="NRT2207" s="582" t="s">
        <v>1224</v>
      </c>
      <c r="NRU2207" s="582" t="s">
        <v>1224</v>
      </c>
      <c r="NRV2207" s="582" t="s">
        <v>1224</v>
      </c>
      <c r="NRW2207" s="582" t="s">
        <v>1224</v>
      </c>
      <c r="NRX2207" s="582" t="s">
        <v>1224</v>
      </c>
      <c r="NRY2207" s="582" t="s">
        <v>1224</v>
      </c>
      <c r="NRZ2207" s="582" t="s">
        <v>1224</v>
      </c>
      <c r="NSA2207" s="582" t="s">
        <v>1224</v>
      </c>
      <c r="NSB2207" s="582" t="s">
        <v>1224</v>
      </c>
      <c r="NSC2207" s="582" t="s">
        <v>1224</v>
      </c>
      <c r="NSD2207" s="582" t="s">
        <v>1224</v>
      </c>
      <c r="NSE2207" s="582" t="s">
        <v>1224</v>
      </c>
      <c r="NSF2207" s="582" t="s">
        <v>1224</v>
      </c>
      <c r="NSG2207" s="582" t="s">
        <v>1224</v>
      </c>
      <c r="NSH2207" s="582" t="s">
        <v>1224</v>
      </c>
      <c r="NSI2207" s="582" t="s">
        <v>1224</v>
      </c>
      <c r="NSJ2207" s="582" t="s">
        <v>1224</v>
      </c>
      <c r="NSK2207" s="582" t="s">
        <v>1224</v>
      </c>
      <c r="NSL2207" s="582" t="s">
        <v>1224</v>
      </c>
      <c r="NSM2207" s="582" t="s">
        <v>1224</v>
      </c>
      <c r="NSN2207" s="582" t="s">
        <v>1224</v>
      </c>
      <c r="NSO2207" s="582" t="s">
        <v>1224</v>
      </c>
      <c r="NSP2207" s="582" t="s">
        <v>1224</v>
      </c>
      <c r="NSQ2207" s="582" t="s">
        <v>1224</v>
      </c>
      <c r="NSR2207" s="582" t="s">
        <v>1224</v>
      </c>
      <c r="NSS2207" s="582" t="s">
        <v>1224</v>
      </c>
      <c r="NST2207" s="582" t="s">
        <v>1224</v>
      </c>
      <c r="NSU2207" s="582" t="s">
        <v>1224</v>
      </c>
      <c r="NSV2207" s="582" t="s">
        <v>1224</v>
      </c>
      <c r="NSW2207" s="582" t="s">
        <v>1224</v>
      </c>
      <c r="NSX2207" s="582" t="s">
        <v>1224</v>
      </c>
      <c r="NSY2207" s="582" t="s">
        <v>1224</v>
      </c>
      <c r="NSZ2207" s="582" t="s">
        <v>1224</v>
      </c>
      <c r="NTA2207" s="582" t="s">
        <v>1224</v>
      </c>
      <c r="NTB2207" s="582" t="s">
        <v>1224</v>
      </c>
      <c r="NTC2207" s="582" t="s">
        <v>1224</v>
      </c>
      <c r="NTD2207" s="582" t="s">
        <v>1224</v>
      </c>
      <c r="NTE2207" s="582" t="s">
        <v>1224</v>
      </c>
      <c r="NTF2207" s="582" t="s">
        <v>1224</v>
      </c>
      <c r="NTG2207" s="582" t="s">
        <v>1224</v>
      </c>
      <c r="NTH2207" s="582" t="s">
        <v>1224</v>
      </c>
      <c r="NTI2207" s="582" t="s">
        <v>1224</v>
      </c>
      <c r="NTJ2207" s="582" t="s">
        <v>1224</v>
      </c>
      <c r="NTK2207" s="582" t="s">
        <v>1224</v>
      </c>
      <c r="NTL2207" s="582" t="s">
        <v>1224</v>
      </c>
      <c r="NTM2207" s="582" t="s">
        <v>1224</v>
      </c>
      <c r="NTN2207" s="582" t="s">
        <v>1224</v>
      </c>
      <c r="NTO2207" s="582" t="s">
        <v>1224</v>
      </c>
      <c r="NTP2207" s="582" t="s">
        <v>1224</v>
      </c>
      <c r="NTQ2207" s="582" t="s">
        <v>1224</v>
      </c>
      <c r="NTR2207" s="582" t="s">
        <v>1224</v>
      </c>
      <c r="NTS2207" s="582" t="s">
        <v>1224</v>
      </c>
      <c r="NTT2207" s="582" t="s">
        <v>1224</v>
      </c>
      <c r="NTU2207" s="582" t="s">
        <v>1224</v>
      </c>
      <c r="NTV2207" s="582" t="s">
        <v>1224</v>
      </c>
      <c r="NTW2207" s="582" t="s">
        <v>1224</v>
      </c>
      <c r="NTX2207" s="582" t="s">
        <v>1224</v>
      </c>
      <c r="NTY2207" s="582" t="s">
        <v>1224</v>
      </c>
      <c r="NTZ2207" s="582" t="s">
        <v>1224</v>
      </c>
      <c r="NUA2207" s="582" t="s">
        <v>1224</v>
      </c>
      <c r="NUB2207" s="582" t="s">
        <v>1224</v>
      </c>
      <c r="NUC2207" s="582" t="s">
        <v>1224</v>
      </c>
      <c r="NUD2207" s="582" t="s">
        <v>1224</v>
      </c>
      <c r="NUE2207" s="582" t="s">
        <v>1224</v>
      </c>
      <c r="NUF2207" s="582" t="s">
        <v>1224</v>
      </c>
      <c r="NUG2207" s="582" t="s">
        <v>1224</v>
      </c>
      <c r="NUH2207" s="582" t="s">
        <v>1224</v>
      </c>
      <c r="NUI2207" s="582" t="s">
        <v>1224</v>
      </c>
      <c r="NUJ2207" s="582" t="s">
        <v>1224</v>
      </c>
      <c r="NUK2207" s="582" t="s">
        <v>1224</v>
      </c>
      <c r="NUL2207" s="582" t="s">
        <v>1224</v>
      </c>
      <c r="NUM2207" s="582" t="s">
        <v>1224</v>
      </c>
      <c r="NUN2207" s="582" t="s">
        <v>1224</v>
      </c>
      <c r="NUO2207" s="582" t="s">
        <v>1224</v>
      </c>
      <c r="NUP2207" s="582" t="s">
        <v>1224</v>
      </c>
      <c r="NUQ2207" s="582" t="s">
        <v>1224</v>
      </c>
      <c r="NUR2207" s="582" t="s">
        <v>1224</v>
      </c>
      <c r="NUS2207" s="582" t="s">
        <v>1224</v>
      </c>
      <c r="NUT2207" s="582" t="s">
        <v>1224</v>
      </c>
      <c r="NUU2207" s="582" t="s">
        <v>1224</v>
      </c>
      <c r="NUV2207" s="582" t="s">
        <v>1224</v>
      </c>
      <c r="NUW2207" s="582" t="s">
        <v>1224</v>
      </c>
      <c r="NUX2207" s="582" t="s">
        <v>1224</v>
      </c>
      <c r="NUY2207" s="582" t="s">
        <v>1224</v>
      </c>
      <c r="NUZ2207" s="582" t="s">
        <v>1224</v>
      </c>
      <c r="NVA2207" s="582" t="s">
        <v>1224</v>
      </c>
      <c r="NVB2207" s="582" t="s">
        <v>1224</v>
      </c>
      <c r="NVC2207" s="582" t="s">
        <v>1224</v>
      </c>
      <c r="NVD2207" s="582" t="s">
        <v>1224</v>
      </c>
      <c r="NVE2207" s="582" t="s">
        <v>1224</v>
      </c>
      <c r="NVF2207" s="582" t="s">
        <v>1224</v>
      </c>
      <c r="NVG2207" s="582" t="s">
        <v>1224</v>
      </c>
      <c r="NVH2207" s="582" t="s">
        <v>1224</v>
      </c>
      <c r="NVI2207" s="582" t="s">
        <v>1224</v>
      </c>
      <c r="NVJ2207" s="582" t="s">
        <v>1224</v>
      </c>
      <c r="NVK2207" s="582" t="s">
        <v>1224</v>
      </c>
      <c r="NVL2207" s="582" t="s">
        <v>1224</v>
      </c>
      <c r="NVM2207" s="582" t="s">
        <v>1224</v>
      </c>
      <c r="NVN2207" s="582" t="s">
        <v>1224</v>
      </c>
      <c r="NVO2207" s="582" t="s">
        <v>1224</v>
      </c>
      <c r="NVP2207" s="582" t="s">
        <v>1224</v>
      </c>
      <c r="NVQ2207" s="582" t="s">
        <v>1224</v>
      </c>
      <c r="NVR2207" s="582" t="s">
        <v>1224</v>
      </c>
      <c r="NVS2207" s="582" t="s">
        <v>1224</v>
      </c>
      <c r="NVT2207" s="582" t="s">
        <v>1224</v>
      </c>
      <c r="NVU2207" s="582" t="s">
        <v>1224</v>
      </c>
      <c r="NVV2207" s="582" t="s">
        <v>1224</v>
      </c>
      <c r="NVW2207" s="582" t="s">
        <v>1224</v>
      </c>
      <c r="NVX2207" s="582" t="s">
        <v>1224</v>
      </c>
      <c r="NVY2207" s="582" t="s">
        <v>1224</v>
      </c>
      <c r="NVZ2207" s="582" t="s">
        <v>1224</v>
      </c>
      <c r="NWA2207" s="582" t="s">
        <v>1224</v>
      </c>
      <c r="NWB2207" s="582" t="s">
        <v>1224</v>
      </c>
      <c r="NWC2207" s="582" t="s">
        <v>1224</v>
      </c>
      <c r="NWD2207" s="582" t="s">
        <v>1224</v>
      </c>
      <c r="NWE2207" s="582" t="s">
        <v>1224</v>
      </c>
      <c r="NWF2207" s="582" t="s">
        <v>1224</v>
      </c>
      <c r="NWG2207" s="582" t="s">
        <v>1224</v>
      </c>
      <c r="NWH2207" s="582" t="s">
        <v>1224</v>
      </c>
      <c r="NWI2207" s="582" t="s">
        <v>1224</v>
      </c>
      <c r="NWJ2207" s="582" t="s">
        <v>1224</v>
      </c>
      <c r="NWK2207" s="582" t="s">
        <v>1224</v>
      </c>
      <c r="NWL2207" s="582" t="s">
        <v>1224</v>
      </c>
      <c r="NWM2207" s="582" t="s">
        <v>1224</v>
      </c>
      <c r="NWN2207" s="582" t="s">
        <v>1224</v>
      </c>
      <c r="NWO2207" s="582" t="s">
        <v>1224</v>
      </c>
      <c r="NWP2207" s="582" t="s">
        <v>1224</v>
      </c>
      <c r="NWQ2207" s="582" t="s">
        <v>1224</v>
      </c>
      <c r="NWR2207" s="582" t="s">
        <v>1224</v>
      </c>
      <c r="NWS2207" s="582" t="s">
        <v>1224</v>
      </c>
      <c r="NWT2207" s="582" t="s">
        <v>1224</v>
      </c>
      <c r="NWU2207" s="582" t="s">
        <v>1224</v>
      </c>
      <c r="NWV2207" s="582" t="s">
        <v>1224</v>
      </c>
      <c r="NWW2207" s="582" t="s">
        <v>1224</v>
      </c>
      <c r="NWX2207" s="582" t="s">
        <v>1224</v>
      </c>
      <c r="NWY2207" s="582" t="s">
        <v>1224</v>
      </c>
      <c r="NWZ2207" s="582" t="s">
        <v>1224</v>
      </c>
      <c r="NXA2207" s="582" t="s">
        <v>1224</v>
      </c>
      <c r="NXB2207" s="582" t="s">
        <v>1224</v>
      </c>
      <c r="NXC2207" s="582" t="s">
        <v>1224</v>
      </c>
      <c r="NXD2207" s="582" t="s">
        <v>1224</v>
      </c>
      <c r="NXE2207" s="582" t="s">
        <v>1224</v>
      </c>
      <c r="NXF2207" s="582" t="s">
        <v>1224</v>
      </c>
      <c r="NXG2207" s="582" t="s">
        <v>1224</v>
      </c>
      <c r="NXH2207" s="582" t="s">
        <v>1224</v>
      </c>
      <c r="NXI2207" s="582" t="s">
        <v>1224</v>
      </c>
      <c r="NXJ2207" s="582" t="s">
        <v>1224</v>
      </c>
      <c r="NXK2207" s="582" t="s">
        <v>1224</v>
      </c>
      <c r="NXL2207" s="582" t="s">
        <v>1224</v>
      </c>
      <c r="NXM2207" s="582" t="s">
        <v>1224</v>
      </c>
      <c r="NXN2207" s="582" t="s">
        <v>1224</v>
      </c>
      <c r="NXO2207" s="582" t="s">
        <v>1224</v>
      </c>
      <c r="NXP2207" s="582" t="s">
        <v>1224</v>
      </c>
      <c r="NXQ2207" s="582" t="s">
        <v>1224</v>
      </c>
      <c r="NXR2207" s="582" t="s">
        <v>1224</v>
      </c>
      <c r="NXS2207" s="582" t="s">
        <v>1224</v>
      </c>
      <c r="NXT2207" s="582" t="s">
        <v>1224</v>
      </c>
      <c r="NXU2207" s="582" t="s">
        <v>1224</v>
      </c>
      <c r="NXV2207" s="582" t="s">
        <v>1224</v>
      </c>
      <c r="NXW2207" s="582" t="s">
        <v>1224</v>
      </c>
      <c r="NXX2207" s="582" t="s">
        <v>1224</v>
      </c>
      <c r="NXY2207" s="582" t="s">
        <v>1224</v>
      </c>
      <c r="NXZ2207" s="582" t="s">
        <v>1224</v>
      </c>
      <c r="NYA2207" s="582" t="s">
        <v>1224</v>
      </c>
      <c r="NYB2207" s="582" t="s">
        <v>1224</v>
      </c>
      <c r="NYC2207" s="582" t="s">
        <v>1224</v>
      </c>
      <c r="NYD2207" s="582" t="s">
        <v>1224</v>
      </c>
      <c r="NYE2207" s="582" t="s">
        <v>1224</v>
      </c>
      <c r="NYF2207" s="582" t="s">
        <v>1224</v>
      </c>
      <c r="NYG2207" s="582" t="s">
        <v>1224</v>
      </c>
      <c r="NYH2207" s="582" t="s">
        <v>1224</v>
      </c>
      <c r="NYI2207" s="582" t="s">
        <v>1224</v>
      </c>
      <c r="NYJ2207" s="582" t="s">
        <v>1224</v>
      </c>
      <c r="NYK2207" s="582" t="s">
        <v>1224</v>
      </c>
      <c r="NYL2207" s="582" t="s">
        <v>1224</v>
      </c>
      <c r="NYM2207" s="582" t="s">
        <v>1224</v>
      </c>
      <c r="NYN2207" s="582" t="s">
        <v>1224</v>
      </c>
      <c r="NYO2207" s="582" t="s">
        <v>1224</v>
      </c>
      <c r="NYP2207" s="582" t="s">
        <v>1224</v>
      </c>
      <c r="NYQ2207" s="582" t="s">
        <v>1224</v>
      </c>
      <c r="NYR2207" s="582" t="s">
        <v>1224</v>
      </c>
      <c r="NYS2207" s="582" t="s">
        <v>1224</v>
      </c>
      <c r="NYT2207" s="582" t="s">
        <v>1224</v>
      </c>
      <c r="NYU2207" s="582" t="s">
        <v>1224</v>
      </c>
      <c r="NYV2207" s="582" t="s">
        <v>1224</v>
      </c>
      <c r="NYW2207" s="582" t="s">
        <v>1224</v>
      </c>
      <c r="NYX2207" s="582" t="s">
        <v>1224</v>
      </c>
      <c r="NYY2207" s="582" t="s">
        <v>1224</v>
      </c>
      <c r="NYZ2207" s="582" t="s">
        <v>1224</v>
      </c>
      <c r="NZA2207" s="582" t="s">
        <v>1224</v>
      </c>
      <c r="NZB2207" s="582" t="s">
        <v>1224</v>
      </c>
      <c r="NZC2207" s="582" t="s">
        <v>1224</v>
      </c>
      <c r="NZD2207" s="582" t="s">
        <v>1224</v>
      </c>
      <c r="NZE2207" s="582" t="s">
        <v>1224</v>
      </c>
      <c r="NZF2207" s="582" t="s">
        <v>1224</v>
      </c>
      <c r="NZG2207" s="582" t="s">
        <v>1224</v>
      </c>
      <c r="NZH2207" s="582" t="s">
        <v>1224</v>
      </c>
      <c r="NZI2207" s="582" t="s">
        <v>1224</v>
      </c>
      <c r="NZJ2207" s="582" t="s">
        <v>1224</v>
      </c>
      <c r="NZK2207" s="582" t="s">
        <v>1224</v>
      </c>
      <c r="NZL2207" s="582" t="s">
        <v>1224</v>
      </c>
      <c r="NZM2207" s="582" t="s">
        <v>1224</v>
      </c>
      <c r="NZN2207" s="582" t="s">
        <v>1224</v>
      </c>
      <c r="NZO2207" s="582" t="s">
        <v>1224</v>
      </c>
      <c r="NZP2207" s="582" t="s">
        <v>1224</v>
      </c>
      <c r="NZQ2207" s="582" t="s">
        <v>1224</v>
      </c>
      <c r="NZR2207" s="582" t="s">
        <v>1224</v>
      </c>
      <c r="NZS2207" s="582" t="s">
        <v>1224</v>
      </c>
      <c r="NZT2207" s="582" t="s">
        <v>1224</v>
      </c>
      <c r="NZU2207" s="582" t="s">
        <v>1224</v>
      </c>
      <c r="NZV2207" s="582" t="s">
        <v>1224</v>
      </c>
      <c r="NZW2207" s="582" t="s">
        <v>1224</v>
      </c>
      <c r="NZX2207" s="582" t="s">
        <v>1224</v>
      </c>
      <c r="NZY2207" s="582" t="s">
        <v>1224</v>
      </c>
      <c r="NZZ2207" s="582" t="s">
        <v>1224</v>
      </c>
      <c r="OAA2207" s="582" t="s">
        <v>1224</v>
      </c>
      <c r="OAB2207" s="582" t="s">
        <v>1224</v>
      </c>
      <c r="OAC2207" s="582" t="s">
        <v>1224</v>
      </c>
      <c r="OAD2207" s="582" t="s">
        <v>1224</v>
      </c>
      <c r="OAE2207" s="582" t="s">
        <v>1224</v>
      </c>
      <c r="OAF2207" s="582" t="s">
        <v>1224</v>
      </c>
      <c r="OAG2207" s="582" t="s">
        <v>1224</v>
      </c>
      <c r="OAH2207" s="582" t="s">
        <v>1224</v>
      </c>
      <c r="OAI2207" s="582" t="s">
        <v>1224</v>
      </c>
      <c r="OAJ2207" s="582" t="s">
        <v>1224</v>
      </c>
      <c r="OAK2207" s="582" t="s">
        <v>1224</v>
      </c>
      <c r="OAL2207" s="582" t="s">
        <v>1224</v>
      </c>
      <c r="OAM2207" s="582" t="s">
        <v>1224</v>
      </c>
      <c r="OAN2207" s="582" t="s">
        <v>1224</v>
      </c>
      <c r="OAO2207" s="582" t="s">
        <v>1224</v>
      </c>
      <c r="OAP2207" s="582" t="s">
        <v>1224</v>
      </c>
      <c r="OAQ2207" s="582" t="s">
        <v>1224</v>
      </c>
      <c r="OAR2207" s="582" t="s">
        <v>1224</v>
      </c>
      <c r="OAS2207" s="582" t="s">
        <v>1224</v>
      </c>
      <c r="OAT2207" s="582" t="s">
        <v>1224</v>
      </c>
      <c r="OAU2207" s="582" t="s">
        <v>1224</v>
      </c>
      <c r="OAV2207" s="582" t="s">
        <v>1224</v>
      </c>
      <c r="OAW2207" s="582" t="s">
        <v>1224</v>
      </c>
      <c r="OAX2207" s="582" t="s">
        <v>1224</v>
      </c>
      <c r="OAY2207" s="582" t="s">
        <v>1224</v>
      </c>
      <c r="OAZ2207" s="582" t="s">
        <v>1224</v>
      </c>
      <c r="OBA2207" s="582" t="s">
        <v>1224</v>
      </c>
      <c r="OBB2207" s="582" t="s">
        <v>1224</v>
      </c>
      <c r="OBC2207" s="582" t="s">
        <v>1224</v>
      </c>
      <c r="OBD2207" s="582" t="s">
        <v>1224</v>
      </c>
      <c r="OBE2207" s="582" t="s">
        <v>1224</v>
      </c>
      <c r="OBF2207" s="582" t="s">
        <v>1224</v>
      </c>
      <c r="OBG2207" s="582" t="s">
        <v>1224</v>
      </c>
      <c r="OBH2207" s="582" t="s">
        <v>1224</v>
      </c>
      <c r="OBI2207" s="582" t="s">
        <v>1224</v>
      </c>
      <c r="OBJ2207" s="582" t="s">
        <v>1224</v>
      </c>
      <c r="OBK2207" s="582" t="s">
        <v>1224</v>
      </c>
      <c r="OBL2207" s="582" t="s">
        <v>1224</v>
      </c>
      <c r="OBM2207" s="582" t="s">
        <v>1224</v>
      </c>
      <c r="OBN2207" s="582" t="s">
        <v>1224</v>
      </c>
      <c r="OBO2207" s="582" t="s">
        <v>1224</v>
      </c>
      <c r="OBP2207" s="582" t="s">
        <v>1224</v>
      </c>
      <c r="OBQ2207" s="582" t="s">
        <v>1224</v>
      </c>
      <c r="OBR2207" s="582" t="s">
        <v>1224</v>
      </c>
      <c r="OBS2207" s="582" t="s">
        <v>1224</v>
      </c>
      <c r="OBT2207" s="582" t="s">
        <v>1224</v>
      </c>
      <c r="OBU2207" s="582" t="s">
        <v>1224</v>
      </c>
      <c r="OBV2207" s="582" t="s">
        <v>1224</v>
      </c>
      <c r="OBW2207" s="582" t="s">
        <v>1224</v>
      </c>
      <c r="OBX2207" s="582" t="s">
        <v>1224</v>
      </c>
      <c r="OBY2207" s="582" t="s">
        <v>1224</v>
      </c>
      <c r="OBZ2207" s="582" t="s">
        <v>1224</v>
      </c>
      <c r="OCA2207" s="582" t="s">
        <v>1224</v>
      </c>
      <c r="OCB2207" s="582" t="s">
        <v>1224</v>
      </c>
      <c r="OCC2207" s="582" t="s">
        <v>1224</v>
      </c>
      <c r="OCD2207" s="582" t="s">
        <v>1224</v>
      </c>
      <c r="OCE2207" s="582" t="s">
        <v>1224</v>
      </c>
      <c r="OCF2207" s="582" t="s">
        <v>1224</v>
      </c>
      <c r="OCG2207" s="582" t="s">
        <v>1224</v>
      </c>
      <c r="OCH2207" s="582" t="s">
        <v>1224</v>
      </c>
      <c r="OCI2207" s="582" t="s">
        <v>1224</v>
      </c>
      <c r="OCJ2207" s="582" t="s">
        <v>1224</v>
      </c>
      <c r="OCK2207" s="582" t="s">
        <v>1224</v>
      </c>
      <c r="OCL2207" s="582" t="s">
        <v>1224</v>
      </c>
      <c r="OCM2207" s="582" t="s">
        <v>1224</v>
      </c>
      <c r="OCN2207" s="582" t="s">
        <v>1224</v>
      </c>
      <c r="OCO2207" s="582" t="s">
        <v>1224</v>
      </c>
      <c r="OCP2207" s="582" t="s">
        <v>1224</v>
      </c>
      <c r="OCQ2207" s="582" t="s">
        <v>1224</v>
      </c>
      <c r="OCR2207" s="582" t="s">
        <v>1224</v>
      </c>
      <c r="OCS2207" s="582" t="s">
        <v>1224</v>
      </c>
      <c r="OCT2207" s="582" t="s">
        <v>1224</v>
      </c>
      <c r="OCU2207" s="582" t="s">
        <v>1224</v>
      </c>
      <c r="OCV2207" s="582" t="s">
        <v>1224</v>
      </c>
      <c r="OCW2207" s="582" t="s">
        <v>1224</v>
      </c>
      <c r="OCX2207" s="582" t="s">
        <v>1224</v>
      </c>
      <c r="OCY2207" s="582" t="s">
        <v>1224</v>
      </c>
      <c r="OCZ2207" s="582" t="s">
        <v>1224</v>
      </c>
      <c r="ODA2207" s="582" t="s">
        <v>1224</v>
      </c>
      <c r="ODB2207" s="582" t="s">
        <v>1224</v>
      </c>
      <c r="ODC2207" s="582" t="s">
        <v>1224</v>
      </c>
      <c r="ODD2207" s="582" t="s">
        <v>1224</v>
      </c>
      <c r="ODE2207" s="582" t="s">
        <v>1224</v>
      </c>
      <c r="ODF2207" s="582" t="s">
        <v>1224</v>
      </c>
      <c r="ODG2207" s="582" t="s">
        <v>1224</v>
      </c>
      <c r="ODH2207" s="582" t="s">
        <v>1224</v>
      </c>
      <c r="ODI2207" s="582" t="s">
        <v>1224</v>
      </c>
      <c r="ODJ2207" s="582" t="s">
        <v>1224</v>
      </c>
      <c r="ODK2207" s="582" t="s">
        <v>1224</v>
      </c>
      <c r="ODL2207" s="582" t="s">
        <v>1224</v>
      </c>
      <c r="ODM2207" s="582" t="s">
        <v>1224</v>
      </c>
      <c r="ODN2207" s="582" t="s">
        <v>1224</v>
      </c>
      <c r="ODO2207" s="582" t="s">
        <v>1224</v>
      </c>
      <c r="ODP2207" s="582" t="s">
        <v>1224</v>
      </c>
      <c r="ODQ2207" s="582" t="s">
        <v>1224</v>
      </c>
      <c r="ODR2207" s="582" t="s">
        <v>1224</v>
      </c>
      <c r="ODS2207" s="582" t="s">
        <v>1224</v>
      </c>
      <c r="ODT2207" s="582" t="s">
        <v>1224</v>
      </c>
      <c r="ODU2207" s="582" t="s">
        <v>1224</v>
      </c>
      <c r="ODV2207" s="582" t="s">
        <v>1224</v>
      </c>
      <c r="ODW2207" s="582" t="s">
        <v>1224</v>
      </c>
      <c r="ODX2207" s="582" t="s">
        <v>1224</v>
      </c>
      <c r="ODY2207" s="582" t="s">
        <v>1224</v>
      </c>
      <c r="ODZ2207" s="582" t="s">
        <v>1224</v>
      </c>
      <c r="OEA2207" s="582" t="s">
        <v>1224</v>
      </c>
      <c r="OEB2207" s="582" t="s">
        <v>1224</v>
      </c>
      <c r="OEC2207" s="582" t="s">
        <v>1224</v>
      </c>
      <c r="OED2207" s="582" t="s">
        <v>1224</v>
      </c>
      <c r="OEE2207" s="582" t="s">
        <v>1224</v>
      </c>
      <c r="OEF2207" s="582" t="s">
        <v>1224</v>
      </c>
      <c r="OEG2207" s="582" t="s">
        <v>1224</v>
      </c>
      <c r="OEH2207" s="582" t="s">
        <v>1224</v>
      </c>
      <c r="OEI2207" s="582" t="s">
        <v>1224</v>
      </c>
      <c r="OEJ2207" s="582" t="s">
        <v>1224</v>
      </c>
      <c r="OEK2207" s="582" t="s">
        <v>1224</v>
      </c>
      <c r="OEL2207" s="582" t="s">
        <v>1224</v>
      </c>
      <c r="OEM2207" s="582" t="s">
        <v>1224</v>
      </c>
      <c r="OEN2207" s="582" t="s">
        <v>1224</v>
      </c>
      <c r="OEO2207" s="582" t="s">
        <v>1224</v>
      </c>
      <c r="OEP2207" s="582" t="s">
        <v>1224</v>
      </c>
      <c r="OEQ2207" s="582" t="s">
        <v>1224</v>
      </c>
      <c r="OER2207" s="582" t="s">
        <v>1224</v>
      </c>
      <c r="OES2207" s="582" t="s">
        <v>1224</v>
      </c>
      <c r="OET2207" s="582" t="s">
        <v>1224</v>
      </c>
      <c r="OEU2207" s="582" t="s">
        <v>1224</v>
      </c>
      <c r="OEV2207" s="582" t="s">
        <v>1224</v>
      </c>
      <c r="OEW2207" s="582" t="s">
        <v>1224</v>
      </c>
      <c r="OEX2207" s="582" t="s">
        <v>1224</v>
      </c>
      <c r="OEY2207" s="582" t="s">
        <v>1224</v>
      </c>
      <c r="OEZ2207" s="582" t="s">
        <v>1224</v>
      </c>
      <c r="OFA2207" s="582" t="s">
        <v>1224</v>
      </c>
      <c r="OFB2207" s="582" t="s">
        <v>1224</v>
      </c>
      <c r="OFC2207" s="582" t="s">
        <v>1224</v>
      </c>
      <c r="OFD2207" s="582" t="s">
        <v>1224</v>
      </c>
      <c r="OFE2207" s="582" t="s">
        <v>1224</v>
      </c>
      <c r="OFF2207" s="582" t="s">
        <v>1224</v>
      </c>
      <c r="OFG2207" s="582" t="s">
        <v>1224</v>
      </c>
      <c r="OFH2207" s="582" t="s">
        <v>1224</v>
      </c>
      <c r="OFI2207" s="582" t="s">
        <v>1224</v>
      </c>
      <c r="OFJ2207" s="582" t="s">
        <v>1224</v>
      </c>
      <c r="OFK2207" s="582" t="s">
        <v>1224</v>
      </c>
      <c r="OFL2207" s="582" t="s">
        <v>1224</v>
      </c>
      <c r="OFM2207" s="582" t="s">
        <v>1224</v>
      </c>
      <c r="OFN2207" s="582" t="s">
        <v>1224</v>
      </c>
      <c r="OFO2207" s="582" t="s">
        <v>1224</v>
      </c>
      <c r="OFP2207" s="582" t="s">
        <v>1224</v>
      </c>
      <c r="OFQ2207" s="582" t="s">
        <v>1224</v>
      </c>
      <c r="OFR2207" s="582" t="s">
        <v>1224</v>
      </c>
      <c r="OFS2207" s="582" t="s">
        <v>1224</v>
      </c>
      <c r="OFT2207" s="582" t="s">
        <v>1224</v>
      </c>
      <c r="OFU2207" s="582" t="s">
        <v>1224</v>
      </c>
      <c r="OFV2207" s="582" t="s">
        <v>1224</v>
      </c>
      <c r="OFW2207" s="582" t="s">
        <v>1224</v>
      </c>
      <c r="OFX2207" s="582" t="s">
        <v>1224</v>
      </c>
      <c r="OFY2207" s="582" t="s">
        <v>1224</v>
      </c>
      <c r="OFZ2207" s="582" t="s">
        <v>1224</v>
      </c>
      <c r="OGA2207" s="582" t="s">
        <v>1224</v>
      </c>
      <c r="OGB2207" s="582" t="s">
        <v>1224</v>
      </c>
      <c r="OGC2207" s="582" t="s">
        <v>1224</v>
      </c>
      <c r="OGD2207" s="582" t="s">
        <v>1224</v>
      </c>
      <c r="OGE2207" s="582" t="s">
        <v>1224</v>
      </c>
      <c r="OGF2207" s="582" t="s">
        <v>1224</v>
      </c>
      <c r="OGG2207" s="582" t="s">
        <v>1224</v>
      </c>
      <c r="OGH2207" s="582" t="s">
        <v>1224</v>
      </c>
      <c r="OGI2207" s="582" t="s">
        <v>1224</v>
      </c>
      <c r="OGJ2207" s="582" t="s">
        <v>1224</v>
      </c>
      <c r="OGK2207" s="582" t="s">
        <v>1224</v>
      </c>
      <c r="OGL2207" s="582" t="s">
        <v>1224</v>
      </c>
      <c r="OGM2207" s="582" t="s">
        <v>1224</v>
      </c>
      <c r="OGN2207" s="582" t="s">
        <v>1224</v>
      </c>
      <c r="OGO2207" s="582" t="s">
        <v>1224</v>
      </c>
      <c r="OGP2207" s="582" t="s">
        <v>1224</v>
      </c>
      <c r="OGQ2207" s="582" t="s">
        <v>1224</v>
      </c>
      <c r="OGR2207" s="582" t="s">
        <v>1224</v>
      </c>
      <c r="OGS2207" s="582" t="s">
        <v>1224</v>
      </c>
      <c r="OGT2207" s="582" t="s">
        <v>1224</v>
      </c>
      <c r="OGU2207" s="582" t="s">
        <v>1224</v>
      </c>
      <c r="OGV2207" s="582" t="s">
        <v>1224</v>
      </c>
      <c r="OGW2207" s="582" t="s">
        <v>1224</v>
      </c>
      <c r="OGX2207" s="582" t="s">
        <v>1224</v>
      </c>
      <c r="OGY2207" s="582" t="s">
        <v>1224</v>
      </c>
      <c r="OGZ2207" s="582" t="s">
        <v>1224</v>
      </c>
      <c r="OHA2207" s="582" t="s">
        <v>1224</v>
      </c>
      <c r="OHB2207" s="582" t="s">
        <v>1224</v>
      </c>
      <c r="OHC2207" s="582" t="s">
        <v>1224</v>
      </c>
      <c r="OHD2207" s="582" t="s">
        <v>1224</v>
      </c>
      <c r="OHE2207" s="582" t="s">
        <v>1224</v>
      </c>
      <c r="OHF2207" s="582" t="s">
        <v>1224</v>
      </c>
      <c r="OHG2207" s="582" t="s">
        <v>1224</v>
      </c>
      <c r="OHH2207" s="582" t="s">
        <v>1224</v>
      </c>
      <c r="OHI2207" s="582" t="s">
        <v>1224</v>
      </c>
      <c r="OHJ2207" s="582" t="s">
        <v>1224</v>
      </c>
      <c r="OHK2207" s="582" t="s">
        <v>1224</v>
      </c>
      <c r="OHL2207" s="582" t="s">
        <v>1224</v>
      </c>
      <c r="OHM2207" s="582" t="s">
        <v>1224</v>
      </c>
      <c r="OHN2207" s="582" t="s">
        <v>1224</v>
      </c>
      <c r="OHO2207" s="582" t="s">
        <v>1224</v>
      </c>
      <c r="OHP2207" s="582" t="s">
        <v>1224</v>
      </c>
      <c r="OHQ2207" s="582" t="s">
        <v>1224</v>
      </c>
      <c r="OHR2207" s="582" t="s">
        <v>1224</v>
      </c>
      <c r="OHS2207" s="582" t="s">
        <v>1224</v>
      </c>
      <c r="OHT2207" s="582" t="s">
        <v>1224</v>
      </c>
      <c r="OHU2207" s="582" t="s">
        <v>1224</v>
      </c>
      <c r="OHV2207" s="582" t="s">
        <v>1224</v>
      </c>
      <c r="OHW2207" s="582" t="s">
        <v>1224</v>
      </c>
      <c r="OHX2207" s="582" t="s">
        <v>1224</v>
      </c>
      <c r="OHY2207" s="582" t="s">
        <v>1224</v>
      </c>
      <c r="OHZ2207" s="582" t="s">
        <v>1224</v>
      </c>
      <c r="OIA2207" s="582" t="s">
        <v>1224</v>
      </c>
      <c r="OIB2207" s="582" t="s">
        <v>1224</v>
      </c>
      <c r="OIC2207" s="582" t="s">
        <v>1224</v>
      </c>
      <c r="OID2207" s="582" t="s">
        <v>1224</v>
      </c>
      <c r="OIE2207" s="582" t="s">
        <v>1224</v>
      </c>
      <c r="OIF2207" s="582" t="s">
        <v>1224</v>
      </c>
      <c r="OIG2207" s="582" t="s">
        <v>1224</v>
      </c>
      <c r="OIH2207" s="582" t="s">
        <v>1224</v>
      </c>
      <c r="OII2207" s="582" t="s">
        <v>1224</v>
      </c>
      <c r="OIJ2207" s="582" t="s">
        <v>1224</v>
      </c>
      <c r="OIK2207" s="582" t="s">
        <v>1224</v>
      </c>
      <c r="OIL2207" s="582" t="s">
        <v>1224</v>
      </c>
      <c r="OIM2207" s="582" t="s">
        <v>1224</v>
      </c>
      <c r="OIN2207" s="582" t="s">
        <v>1224</v>
      </c>
      <c r="OIO2207" s="582" t="s">
        <v>1224</v>
      </c>
      <c r="OIP2207" s="582" t="s">
        <v>1224</v>
      </c>
      <c r="OIQ2207" s="582" t="s">
        <v>1224</v>
      </c>
      <c r="OIR2207" s="582" t="s">
        <v>1224</v>
      </c>
      <c r="OIS2207" s="582" t="s">
        <v>1224</v>
      </c>
      <c r="OIT2207" s="582" t="s">
        <v>1224</v>
      </c>
      <c r="OIU2207" s="582" t="s">
        <v>1224</v>
      </c>
      <c r="OIV2207" s="582" t="s">
        <v>1224</v>
      </c>
      <c r="OIW2207" s="582" t="s">
        <v>1224</v>
      </c>
      <c r="OIX2207" s="582" t="s">
        <v>1224</v>
      </c>
      <c r="OIY2207" s="582" t="s">
        <v>1224</v>
      </c>
      <c r="OIZ2207" s="582" t="s">
        <v>1224</v>
      </c>
      <c r="OJA2207" s="582" t="s">
        <v>1224</v>
      </c>
      <c r="OJB2207" s="582" t="s">
        <v>1224</v>
      </c>
      <c r="OJC2207" s="582" t="s">
        <v>1224</v>
      </c>
      <c r="OJD2207" s="582" t="s">
        <v>1224</v>
      </c>
      <c r="OJE2207" s="582" t="s">
        <v>1224</v>
      </c>
      <c r="OJF2207" s="582" t="s">
        <v>1224</v>
      </c>
      <c r="OJG2207" s="582" t="s">
        <v>1224</v>
      </c>
      <c r="OJH2207" s="582" t="s">
        <v>1224</v>
      </c>
      <c r="OJI2207" s="582" t="s">
        <v>1224</v>
      </c>
      <c r="OJJ2207" s="582" t="s">
        <v>1224</v>
      </c>
      <c r="OJK2207" s="582" t="s">
        <v>1224</v>
      </c>
      <c r="OJL2207" s="582" t="s">
        <v>1224</v>
      </c>
      <c r="OJM2207" s="582" t="s">
        <v>1224</v>
      </c>
      <c r="OJN2207" s="582" t="s">
        <v>1224</v>
      </c>
      <c r="OJO2207" s="582" t="s">
        <v>1224</v>
      </c>
      <c r="OJP2207" s="582" t="s">
        <v>1224</v>
      </c>
      <c r="OJQ2207" s="582" t="s">
        <v>1224</v>
      </c>
      <c r="OJR2207" s="582" t="s">
        <v>1224</v>
      </c>
      <c r="OJS2207" s="582" t="s">
        <v>1224</v>
      </c>
      <c r="OJT2207" s="582" t="s">
        <v>1224</v>
      </c>
      <c r="OJU2207" s="582" t="s">
        <v>1224</v>
      </c>
      <c r="OJV2207" s="582" t="s">
        <v>1224</v>
      </c>
      <c r="OJW2207" s="582" t="s">
        <v>1224</v>
      </c>
      <c r="OJX2207" s="582" t="s">
        <v>1224</v>
      </c>
      <c r="OJY2207" s="582" t="s">
        <v>1224</v>
      </c>
      <c r="OJZ2207" s="582" t="s">
        <v>1224</v>
      </c>
      <c r="OKA2207" s="582" t="s">
        <v>1224</v>
      </c>
      <c r="OKB2207" s="582" t="s">
        <v>1224</v>
      </c>
      <c r="OKC2207" s="582" t="s">
        <v>1224</v>
      </c>
      <c r="OKD2207" s="582" t="s">
        <v>1224</v>
      </c>
      <c r="OKE2207" s="582" t="s">
        <v>1224</v>
      </c>
      <c r="OKF2207" s="582" t="s">
        <v>1224</v>
      </c>
      <c r="OKG2207" s="582" t="s">
        <v>1224</v>
      </c>
      <c r="OKH2207" s="582" t="s">
        <v>1224</v>
      </c>
      <c r="OKI2207" s="582" t="s">
        <v>1224</v>
      </c>
      <c r="OKJ2207" s="582" t="s">
        <v>1224</v>
      </c>
      <c r="OKK2207" s="582" t="s">
        <v>1224</v>
      </c>
      <c r="OKL2207" s="582" t="s">
        <v>1224</v>
      </c>
      <c r="OKM2207" s="582" t="s">
        <v>1224</v>
      </c>
      <c r="OKN2207" s="582" t="s">
        <v>1224</v>
      </c>
      <c r="OKO2207" s="582" t="s">
        <v>1224</v>
      </c>
      <c r="OKP2207" s="582" t="s">
        <v>1224</v>
      </c>
      <c r="OKQ2207" s="582" t="s">
        <v>1224</v>
      </c>
      <c r="OKR2207" s="582" t="s">
        <v>1224</v>
      </c>
      <c r="OKS2207" s="582" t="s">
        <v>1224</v>
      </c>
      <c r="OKT2207" s="582" t="s">
        <v>1224</v>
      </c>
      <c r="OKU2207" s="582" t="s">
        <v>1224</v>
      </c>
      <c r="OKV2207" s="582" t="s">
        <v>1224</v>
      </c>
      <c r="OKW2207" s="582" t="s">
        <v>1224</v>
      </c>
      <c r="OKX2207" s="582" t="s">
        <v>1224</v>
      </c>
      <c r="OKY2207" s="582" t="s">
        <v>1224</v>
      </c>
      <c r="OKZ2207" s="582" t="s">
        <v>1224</v>
      </c>
      <c r="OLA2207" s="582" t="s">
        <v>1224</v>
      </c>
      <c r="OLB2207" s="582" t="s">
        <v>1224</v>
      </c>
      <c r="OLC2207" s="582" t="s">
        <v>1224</v>
      </c>
      <c r="OLD2207" s="582" t="s">
        <v>1224</v>
      </c>
      <c r="OLE2207" s="582" t="s">
        <v>1224</v>
      </c>
      <c r="OLF2207" s="582" t="s">
        <v>1224</v>
      </c>
      <c r="OLG2207" s="582" t="s">
        <v>1224</v>
      </c>
      <c r="OLH2207" s="582" t="s">
        <v>1224</v>
      </c>
      <c r="OLI2207" s="582" t="s">
        <v>1224</v>
      </c>
      <c r="OLJ2207" s="582" t="s">
        <v>1224</v>
      </c>
      <c r="OLK2207" s="582" t="s">
        <v>1224</v>
      </c>
      <c r="OLL2207" s="582" t="s">
        <v>1224</v>
      </c>
      <c r="OLM2207" s="582" t="s">
        <v>1224</v>
      </c>
      <c r="OLN2207" s="582" t="s">
        <v>1224</v>
      </c>
      <c r="OLO2207" s="582" t="s">
        <v>1224</v>
      </c>
      <c r="OLP2207" s="582" t="s">
        <v>1224</v>
      </c>
      <c r="OLQ2207" s="582" t="s">
        <v>1224</v>
      </c>
      <c r="OLR2207" s="582" t="s">
        <v>1224</v>
      </c>
      <c r="OLS2207" s="582" t="s">
        <v>1224</v>
      </c>
      <c r="OLT2207" s="582" t="s">
        <v>1224</v>
      </c>
      <c r="OLU2207" s="582" t="s">
        <v>1224</v>
      </c>
      <c r="OLV2207" s="582" t="s">
        <v>1224</v>
      </c>
      <c r="OLW2207" s="582" t="s">
        <v>1224</v>
      </c>
      <c r="OLX2207" s="582" t="s">
        <v>1224</v>
      </c>
      <c r="OLY2207" s="582" t="s">
        <v>1224</v>
      </c>
      <c r="OLZ2207" s="582" t="s">
        <v>1224</v>
      </c>
      <c r="OMA2207" s="582" t="s">
        <v>1224</v>
      </c>
      <c r="OMB2207" s="582" t="s">
        <v>1224</v>
      </c>
      <c r="OMC2207" s="582" t="s">
        <v>1224</v>
      </c>
      <c r="OMD2207" s="582" t="s">
        <v>1224</v>
      </c>
      <c r="OME2207" s="582" t="s">
        <v>1224</v>
      </c>
      <c r="OMF2207" s="582" t="s">
        <v>1224</v>
      </c>
      <c r="OMG2207" s="582" t="s">
        <v>1224</v>
      </c>
      <c r="OMH2207" s="582" t="s">
        <v>1224</v>
      </c>
      <c r="OMI2207" s="582" t="s">
        <v>1224</v>
      </c>
      <c r="OMJ2207" s="582" t="s">
        <v>1224</v>
      </c>
      <c r="OMK2207" s="582" t="s">
        <v>1224</v>
      </c>
      <c r="OML2207" s="582" t="s">
        <v>1224</v>
      </c>
      <c r="OMM2207" s="582" t="s">
        <v>1224</v>
      </c>
      <c r="OMN2207" s="582" t="s">
        <v>1224</v>
      </c>
      <c r="OMO2207" s="582" t="s">
        <v>1224</v>
      </c>
      <c r="OMP2207" s="582" t="s">
        <v>1224</v>
      </c>
      <c r="OMQ2207" s="582" t="s">
        <v>1224</v>
      </c>
      <c r="OMR2207" s="582" t="s">
        <v>1224</v>
      </c>
      <c r="OMS2207" s="582" t="s">
        <v>1224</v>
      </c>
      <c r="OMT2207" s="582" t="s">
        <v>1224</v>
      </c>
      <c r="OMU2207" s="582" t="s">
        <v>1224</v>
      </c>
      <c r="OMV2207" s="582" t="s">
        <v>1224</v>
      </c>
      <c r="OMW2207" s="582" t="s">
        <v>1224</v>
      </c>
      <c r="OMX2207" s="582" t="s">
        <v>1224</v>
      </c>
      <c r="OMY2207" s="582" t="s">
        <v>1224</v>
      </c>
      <c r="OMZ2207" s="582" t="s">
        <v>1224</v>
      </c>
      <c r="ONA2207" s="582" t="s">
        <v>1224</v>
      </c>
      <c r="ONB2207" s="582" t="s">
        <v>1224</v>
      </c>
      <c r="ONC2207" s="582" t="s">
        <v>1224</v>
      </c>
      <c r="OND2207" s="582" t="s">
        <v>1224</v>
      </c>
      <c r="ONE2207" s="582" t="s">
        <v>1224</v>
      </c>
      <c r="ONF2207" s="582" t="s">
        <v>1224</v>
      </c>
      <c r="ONG2207" s="582" t="s">
        <v>1224</v>
      </c>
      <c r="ONH2207" s="582" t="s">
        <v>1224</v>
      </c>
      <c r="ONI2207" s="582" t="s">
        <v>1224</v>
      </c>
      <c r="ONJ2207" s="582" t="s">
        <v>1224</v>
      </c>
      <c r="ONK2207" s="582" t="s">
        <v>1224</v>
      </c>
      <c r="ONL2207" s="582" t="s">
        <v>1224</v>
      </c>
      <c r="ONM2207" s="582" t="s">
        <v>1224</v>
      </c>
      <c r="ONN2207" s="582" t="s">
        <v>1224</v>
      </c>
      <c r="ONO2207" s="582" t="s">
        <v>1224</v>
      </c>
      <c r="ONP2207" s="582" t="s">
        <v>1224</v>
      </c>
      <c r="ONQ2207" s="582" t="s">
        <v>1224</v>
      </c>
      <c r="ONR2207" s="582" t="s">
        <v>1224</v>
      </c>
      <c r="ONS2207" s="582" t="s">
        <v>1224</v>
      </c>
      <c r="ONT2207" s="582" t="s">
        <v>1224</v>
      </c>
      <c r="ONU2207" s="582" t="s">
        <v>1224</v>
      </c>
      <c r="ONV2207" s="582" t="s">
        <v>1224</v>
      </c>
      <c r="ONW2207" s="582" t="s">
        <v>1224</v>
      </c>
      <c r="ONX2207" s="582" t="s">
        <v>1224</v>
      </c>
      <c r="ONY2207" s="582" t="s">
        <v>1224</v>
      </c>
      <c r="ONZ2207" s="582" t="s">
        <v>1224</v>
      </c>
      <c r="OOA2207" s="582" t="s">
        <v>1224</v>
      </c>
      <c r="OOB2207" s="582" t="s">
        <v>1224</v>
      </c>
      <c r="OOC2207" s="582" t="s">
        <v>1224</v>
      </c>
      <c r="OOD2207" s="582" t="s">
        <v>1224</v>
      </c>
      <c r="OOE2207" s="582" t="s">
        <v>1224</v>
      </c>
      <c r="OOF2207" s="582" t="s">
        <v>1224</v>
      </c>
      <c r="OOG2207" s="582" t="s">
        <v>1224</v>
      </c>
      <c r="OOH2207" s="582" t="s">
        <v>1224</v>
      </c>
      <c r="OOI2207" s="582" t="s">
        <v>1224</v>
      </c>
      <c r="OOJ2207" s="582" t="s">
        <v>1224</v>
      </c>
      <c r="OOK2207" s="582" t="s">
        <v>1224</v>
      </c>
      <c r="OOL2207" s="582" t="s">
        <v>1224</v>
      </c>
      <c r="OOM2207" s="582" t="s">
        <v>1224</v>
      </c>
      <c r="OON2207" s="582" t="s">
        <v>1224</v>
      </c>
      <c r="OOO2207" s="582" t="s">
        <v>1224</v>
      </c>
      <c r="OOP2207" s="582" t="s">
        <v>1224</v>
      </c>
      <c r="OOQ2207" s="582" t="s">
        <v>1224</v>
      </c>
      <c r="OOR2207" s="582" t="s">
        <v>1224</v>
      </c>
      <c r="OOS2207" s="582" t="s">
        <v>1224</v>
      </c>
      <c r="OOT2207" s="582" t="s">
        <v>1224</v>
      </c>
      <c r="OOU2207" s="582" t="s">
        <v>1224</v>
      </c>
      <c r="OOV2207" s="582" t="s">
        <v>1224</v>
      </c>
      <c r="OOW2207" s="582" t="s">
        <v>1224</v>
      </c>
      <c r="OOX2207" s="582" t="s">
        <v>1224</v>
      </c>
      <c r="OOY2207" s="582" t="s">
        <v>1224</v>
      </c>
      <c r="OOZ2207" s="582" t="s">
        <v>1224</v>
      </c>
      <c r="OPA2207" s="582" t="s">
        <v>1224</v>
      </c>
      <c r="OPB2207" s="582" t="s">
        <v>1224</v>
      </c>
      <c r="OPC2207" s="582" t="s">
        <v>1224</v>
      </c>
      <c r="OPD2207" s="582" t="s">
        <v>1224</v>
      </c>
      <c r="OPE2207" s="582" t="s">
        <v>1224</v>
      </c>
      <c r="OPF2207" s="582" t="s">
        <v>1224</v>
      </c>
      <c r="OPG2207" s="582" t="s">
        <v>1224</v>
      </c>
      <c r="OPH2207" s="582" t="s">
        <v>1224</v>
      </c>
      <c r="OPI2207" s="582" t="s">
        <v>1224</v>
      </c>
      <c r="OPJ2207" s="582" t="s">
        <v>1224</v>
      </c>
      <c r="OPK2207" s="582" t="s">
        <v>1224</v>
      </c>
      <c r="OPL2207" s="582" t="s">
        <v>1224</v>
      </c>
      <c r="OPM2207" s="582" t="s">
        <v>1224</v>
      </c>
      <c r="OPN2207" s="582" t="s">
        <v>1224</v>
      </c>
      <c r="OPO2207" s="582" t="s">
        <v>1224</v>
      </c>
      <c r="OPP2207" s="582" t="s">
        <v>1224</v>
      </c>
      <c r="OPQ2207" s="582" t="s">
        <v>1224</v>
      </c>
      <c r="OPR2207" s="582" t="s">
        <v>1224</v>
      </c>
      <c r="OPS2207" s="582" t="s">
        <v>1224</v>
      </c>
      <c r="OPT2207" s="582" t="s">
        <v>1224</v>
      </c>
      <c r="OPU2207" s="582" t="s">
        <v>1224</v>
      </c>
      <c r="OPV2207" s="582" t="s">
        <v>1224</v>
      </c>
      <c r="OPW2207" s="582" t="s">
        <v>1224</v>
      </c>
      <c r="OPX2207" s="582" t="s">
        <v>1224</v>
      </c>
      <c r="OPY2207" s="582" t="s">
        <v>1224</v>
      </c>
      <c r="OPZ2207" s="582" t="s">
        <v>1224</v>
      </c>
      <c r="OQA2207" s="582" t="s">
        <v>1224</v>
      </c>
      <c r="OQB2207" s="582" t="s">
        <v>1224</v>
      </c>
      <c r="OQC2207" s="582" t="s">
        <v>1224</v>
      </c>
      <c r="OQD2207" s="582" t="s">
        <v>1224</v>
      </c>
      <c r="OQE2207" s="582" t="s">
        <v>1224</v>
      </c>
      <c r="OQF2207" s="582" t="s">
        <v>1224</v>
      </c>
      <c r="OQG2207" s="582" t="s">
        <v>1224</v>
      </c>
      <c r="OQH2207" s="582" t="s">
        <v>1224</v>
      </c>
      <c r="OQI2207" s="582" t="s">
        <v>1224</v>
      </c>
      <c r="OQJ2207" s="582" t="s">
        <v>1224</v>
      </c>
      <c r="OQK2207" s="582" t="s">
        <v>1224</v>
      </c>
      <c r="OQL2207" s="582" t="s">
        <v>1224</v>
      </c>
      <c r="OQM2207" s="582" t="s">
        <v>1224</v>
      </c>
      <c r="OQN2207" s="582" t="s">
        <v>1224</v>
      </c>
      <c r="OQO2207" s="582" t="s">
        <v>1224</v>
      </c>
      <c r="OQP2207" s="582" t="s">
        <v>1224</v>
      </c>
      <c r="OQQ2207" s="582" t="s">
        <v>1224</v>
      </c>
      <c r="OQR2207" s="582" t="s">
        <v>1224</v>
      </c>
      <c r="OQS2207" s="582" t="s">
        <v>1224</v>
      </c>
      <c r="OQT2207" s="582" t="s">
        <v>1224</v>
      </c>
      <c r="OQU2207" s="582" t="s">
        <v>1224</v>
      </c>
      <c r="OQV2207" s="582" t="s">
        <v>1224</v>
      </c>
      <c r="OQW2207" s="582" t="s">
        <v>1224</v>
      </c>
      <c r="OQX2207" s="582" t="s">
        <v>1224</v>
      </c>
      <c r="OQY2207" s="582" t="s">
        <v>1224</v>
      </c>
      <c r="OQZ2207" s="582" t="s">
        <v>1224</v>
      </c>
      <c r="ORA2207" s="582" t="s">
        <v>1224</v>
      </c>
      <c r="ORB2207" s="582" t="s">
        <v>1224</v>
      </c>
      <c r="ORC2207" s="582" t="s">
        <v>1224</v>
      </c>
      <c r="ORD2207" s="582" t="s">
        <v>1224</v>
      </c>
      <c r="ORE2207" s="582" t="s">
        <v>1224</v>
      </c>
      <c r="ORF2207" s="582" t="s">
        <v>1224</v>
      </c>
      <c r="ORG2207" s="582" t="s">
        <v>1224</v>
      </c>
      <c r="ORH2207" s="582" t="s">
        <v>1224</v>
      </c>
      <c r="ORI2207" s="582" t="s">
        <v>1224</v>
      </c>
      <c r="ORJ2207" s="582" t="s">
        <v>1224</v>
      </c>
      <c r="ORK2207" s="582" t="s">
        <v>1224</v>
      </c>
      <c r="ORL2207" s="582" t="s">
        <v>1224</v>
      </c>
      <c r="ORM2207" s="582" t="s">
        <v>1224</v>
      </c>
      <c r="ORN2207" s="582" t="s">
        <v>1224</v>
      </c>
      <c r="ORO2207" s="582" t="s">
        <v>1224</v>
      </c>
      <c r="ORP2207" s="582" t="s">
        <v>1224</v>
      </c>
      <c r="ORQ2207" s="582" t="s">
        <v>1224</v>
      </c>
      <c r="ORR2207" s="582" t="s">
        <v>1224</v>
      </c>
      <c r="ORS2207" s="582" t="s">
        <v>1224</v>
      </c>
      <c r="ORT2207" s="582" t="s">
        <v>1224</v>
      </c>
      <c r="ORU2207" s="582" t="s">
        <v>1224</v>
      </c>
      <c r="ORV2207" s="582" t="s">
        <v>1224</v>
      </c>
      <c r="ORW2207" s="582" t="s">
        <v>1224</v>
      </c>
      <c r="ORX2207" s="582" t="s">
        <v>1224</v>
      </c>
      <c r="ORY2207" s="582" t="s">
        <v>1224</v>
      </c>
      <c r="ORZ2207" s="582" t="s">
        <v>1224</v>
      </c>
      <c r="OSA2207" s="582" t="s">
        <v>1224</v>
      </c>
      <c r="OSB2207" s="582" t="s">
        <v>1224</v>
      </c>
      <c r="OSC2207" s="582" t="s">
        <v>1224</v>
      </c>
      <c r="OSD2207" s="582" t="s">
        <v>1224</v>
      </c>
      <c r="OSE2207" s="582" t="s">
        <v>1224</v>
      </c>
      <c r="OSF2207" s="582" t="s">
        <v>1224</v>
      </c>
      <c r="OSG2207" s="582" t="s">
        <v>1224</v>
      </c>
      <c r="OSH2207" s="582" t="s">
        <v>1224</v>
      </c>
      <c r="OSI2207" s="582" t="s">
        <v>1224</v>
      </c>
      <c r="OSJ2207" s="582" t="s">
        <v>1224</v>
      </c>
      <c r="OSK2207" s="582" t="s">
        <v>1224</v>
      </c>
      <c r="OSL2207" s="582" t="s">
        <v>1224</v>
      </c>
      <c r="OSM2207" s="582" t="s">
        <v>1224</v>
      </c>
      <c r="OSN2207" s="582" t="s">
        <v>1224</v>
      </c>
      <c r="OSO2207" s="582" t="s">
        <v>1224</v>
      </c>
      <c r="OSP2207" s="582" t="s">
        <v>1224</v>
      </c>
      <c r="OSQ2207" s="582" t="s">
        <v>1224</v>
      </c>
      <c r="OSR2207" s="582" t="s">
        <v>1224</v>
      </c>
      <c r="OSS2207" s="582" t="s">
        <v>1224</v>
      </c>
      <c r="OST2207" s="582" t="s">
        <v>1224</v>
      </c>
      <c r="OSU2207" s="582" t="s">
        <v>1224</v>
      </c>
      <c r="OSV2207" s="582" t="s">
        <v>1224</v>
      </c>
      <c r="OSW2207" s="582" t="s">
        <v>1224</v>
      </c>
      <c r="OSX2207" s="582" t="s">
        <v>1224</v>
      </c>
      <c r="OSY2207" s="582" t="s">
        <v>1224</v>
      </c>
      <c r="OSZ2207" s="582" t="s">
        <v>1224</v>
      </c>
      <c r="OTA2207" s="582" t="s">
        <v>1224</v>
      </c>
      <c r="OTB2207" s="582" t="s">
        <v>1224</v>
      </c>
      <c r="OTC2207" s="582" t="s">
        <v>1224</v>
      </c>
      <c r="OTD2207" s="582" t="s">
        <v>1224</v>
      </c>
      <c r="OTE2207" s="582" t="s">
        <v>1224</v>
      </c>
      <c r="OTF2207" s="582" t="s">
        <v>1224</v>
      </c>
      <c r="OTG2207" s="582" t="s">
        <v>1224</v>
      </c>
      <c r="OTH2207" s="582" t="s">
        <v>1224</v>
      </c>
      <c r="OTI2207" s="582" t="s">
        <v>1224</v>
      </c>
      <c r="OTJ2207" s="582" t="s">
        <v>1224</v>
      </c>
      <c r="OTK2207" s="582" t="s">
        <v>1224</v>
      </c>
      <c r="OTL2207" s="582" t="s">
        <v>1224</v>
      </c>
      <c r="OTM2207" s="582" t="s">
        <v>1224</v>
      </c>
      <c r="OTN2207" s="582" t="s">
        <v>1224</v>
      </c>
      <c r="OTO2207" s="582" t="s">
        <v>1224</v>
      </c>
      <c r="OTP2207" s="582" t="s">
        <v>1224</v>
      </c>
      <c r="OTQ2207" s="582" t="s">
        <v>1224</v>
      </c>
      <c r="OTR2207" s="582" t="s">
        <v>1224</v>
      </c>
      <c r="OTS2207" s="582" t="s">
        <v>1224</v>
      </c>
      <c r="OTT2207" s="582" t="s">
        <v>1224</v>
      </c>
      <c r="OTU2207" s="582" t="s">
        <v>1224</v>
      </c>
      <c r="OTV2207" s="582" t="s">
        <v>1224</v>
      </c>
      <c r="OTW2207" s="582" t="s">
        <v>1224</v>
      </c>
      <c r="OTX2207" s="582" t="s">
        <v>1224</v>
      </c>
      <c r="OTY2207" s="582" t="s">
        <v>1224</v>
      </c>
      <c r="OTZ2207" s="582" t="s">
        <v>1224</v>
      </c>
      <c r="OUA2207" s="582" t="s">
        <v>1224</v>
      </c>
      <c r="OUB2207" s="582" t="s">
        <v>1224</v>
      </c>
      <c r="OUC2207" s="582" t="s">
        <v>1224</v>
      </c>
      <c r="OUD2207" s="582" t="s">
        <v>1224</v>
      </c>
      <c r="OUE2207" s="582" t="s">
        <v>1224</v>
      </c>
      <c r="OUF2207" s="582" t="s">
        <v>1224</v>
      </c>
      <c r="OUG2207" s="582" t="s">
        <v>1224</v>
      </c>
      <c r="OUH2207" s="582" t="s">
        <v>1224</v>
      </c>
      <c r="OUI2207" s="582" t="s">
        <v>1224</v>
      </c>
      <c r="OUJ2207" s="582" t="s">
        <v>1224</v>
      </c>
      <c r="OUK2207" s="582" t="s">
        <v>1224</v>
      </c>
      <c r="OUL2207" s="582" t="s">
        <v>1224</v>
      </c>
      <c r="OUM2207" s="582" t="s">
        <v>1224</v>
      </c>
      <c r="OUN2207" s="582" t="s">
        <v>1224</v>
      </c>
      <c r="OUO2207" s="582" t="s">
        <v>1224</v>
      </c>
      <c r="OUP2207" s="582" t="s">
        <v>1224</v>
      </c>
      <c r="OUQ2207" s="582" t="s">
        <v>1224</v>
      </c>
      <c r="OUR2207" s="582" t="s">
        <v>1224</v>
      </c>
      <c r="OUS2207" s="582" t="s">
        <v>1224</v>
      </c>
      <c r="OUT2207" s="582" t="s">
        <v>1224</v>
      </c>
      <c r="OUU2207" s="582" t="s">
        <v>1224</v>
      </c>
      <c r="OUV2207" s="582" t="s">
        <v>1224</v>
      </c>
      <c r="OUW2207" s="582" t="s">
        <v>1224</v>
      </c>
      <c r="OUX2207" s="582" t="s">
        <v>1224</v>
      </c>
      <c r="OUY2207" s="582" t="s">
        <v>1224</v>
      </c>
      <c r="OUZ2207" s="582" t="s">
        <v>1224</v>
      </c>
      <c r="OVA2207" s="582" t="s">
        <v>1224</v>
      </c>
      <c r="OVB2207" s="582" t="s">
        <v>1224</v>
      </c>
      <c r="OVC2207" s="582" t="s">
        <v>1224</v>
      </c>
      <c r="OVD2207" s="582" t="s">
        <v>1224</v>
      </c>
      <c r="OVE2207" s="582" t="s">
        <v>1224</v>
      </c>
      <c r="OVF2207" s="582" t="s">
        <v>1224</v>
      </c>
      <c r="OVG2207" s="582" t="s">
        <v>1224</v>
      </c>
      <c r="OVH2207" s="582" t="s">
        <v>1224</v>
      </c>
      <c r="OVI2207" s="582" t="s">
        <v>1224</v>
      </c>
      <c r="OVJ2207" s="582" t="s">
        <v>1224</v>
      </c>
      <c r="OVK2207" s="582" t="s">
        <v>1224</v>
      </c>
      <c r="OVL2207" s="582" t="s">
        <v>1224</v>
      </c>
      <c r="OVM2207" s="582" t="s">
        <v>1224</v>
      </c>
      <c r="OVN2207" s="582" t="s">
        <v>1224</v>
      </c>
      <c r="OVO2207" s="582" t="s">
        <v>1224</v>
      </c>
      <c r="OVP2207" s="582" t="s">
        <v>1224</v>
      </c>
      <c r="OVQ2207" s="582" t="s">
        <v>1224</v>
      </c>
      <c r="OVR2207" s="582" t="s">
        <v>1224</v>
      </c>
      <c r="OVS2207" s="582" t="s">
        <v>1224</v>
      </c>
      <c r="OVT2207" s="582" t="s">
        <v>1224</v>
      </c>
      <c r="OVU2207" s="582" t="s">
        <v>1224</v>
      </c>
      <c r="OVV2207" s="582" t="s">
        <v>1224</v>
      </c>
      <c r="OVW2207" s="582" t="s">
        <v>1224</v>
      </c>
      <c r="OVX2207" s="582" t="s">
        <v>1224</v>
      </c>
      <c r="OVY2207" s="582" t="s">
        <v>1224</v>
      </c>
      <c r="OVZ2207" s="582" t="s">
        <v>1224</v>
      </c>
      <c r="OWA2207" s="582" t="s">
        <v>1224</v>
      </c>
      <c r="OWB2207" s="582" t="s">
        <v>1224</v>
      </c>
      <c r="OWC2207" s="582" t="s">
        <v>1224</v>
      </c>
      <c r="OWD2207" s="582" t="s">
        <v>1224</v>
      </c>
      <c r="OWE2207" s="582" t="s">
        <v>1224</v>
      </c>
      <c r="OWF2207" s="582" t="s">
        <v>1224</v>
      </c>
      <c r="OWG2207" s="582" t="s">
        <v>1224</v>
      </c>
      <c r="OWH2207" s="582" t="s">
        <v>1224</v>
      </c>
      <c r="OWI2207" s="582" t="s">
        <v>1224</v>
      </c>
      <c r="OWJ2207" s="582" t="s">
        <v>1224</v>
      </c>
      <c r="OWK2207" s="582" t="s">
        <v>1224</v>
      </c>
      <c r="OWL2207" s="582" t="s">
        <v>1224</v>
      </c>
      <c r="OWM2207" s="582" t="s">
        <v>1224</v>
      </c>
      <c r="OWN2207" s="582" t="s">
        <v>1224</v>
      </c>
      <c r="OWO2207" s="582" t="s">
        <v>1224</v>
      </c>
      <c r="OWP2207" s="582" t="s">
        <v>1224</v>
      </c>
      <c r="OWQ2207" s="582" t="s">
        <v>1224</v>
      </c>
      <c r="OWR2207" s="582" t="s">
        <v>1224</v>
      </c>
      <c r="OWS2207" s="582" t="s">
        <v>1224</v>
      </c>
      <c r="OWT2207" s="582" t="s">
        <v>1224</v>
      </c>
      <c r="OWU2207" s="582" t="s">
        <v>1224</v>
      </c>
      <c r="OWV2207" s="582" t="s">
        <v>1224</v>
      </c>
      <c r="OWW2207" s="582" t="s">
        <v>1224</v>
      </c>
      <c r="OWX2207" s="582" t="s">
        <v>1224</v>
      </c>
      <c r="OWY2207" s="582" t="s">
        <v>1224</v>
      </c>
      <c r="OWZ2207" s="582" t="s">
        <v>1224</v>
      </c>
      <c r="OXA2207" s="582" t="s">
        <v>1224</v>
      </c>
      <c r="OXB2207" s="582" t="s">
        <v>1224</v>
      </c>
      <c r="OXC2207" s="582" t="s">
        <v>1224</v>
      </c>
      <c r="OXD2207" s="582" t="s">
        <v>1224</v>
      </c>
      <c r="OXE2207" s="582" t="s">
        <v>1224</v>
      </c>
      <c r="OXF2207" s="582" t="s">
        <v>1224</v>
      </c>
      <c r="OXG2207" s="582" t="s">
        <v>1224</v>
      </c>
      <c r="OXH2207" s="582" t="s">
        <v>1224</v>
      </c>
      <c r="OXI2207" s="582" t="s">
        <v>1224</v>
      </c>
      <c r="OXJ2207" s="582" t="s">
        <v>1224</v>
      </c>
      <c r="OXK2207" s="582" t="s">
        <v>1224</v>
      </c>
      <c r="OXL2207" s="582" t="s">
        <v>1224</v>
      </c>
      <c r="OXM2207" s="582" t="s">
        <v>1224</v>
      </c>
      <c r="OXN2207" s="582" t="s">
        <v>1224</v>
      </c>
      <c r="OXO2207" s="582" t="s">
        <v>1224</v>
      </c>
      <c r="OXP2207" s="582" t="s">
        <v>1224</v>
      </c>
      <c r="OXQ2207" s="582" t="s">
        <v>1224</v>
      </c>
      <c r="OXR2207" s="582" t="s">
        <v>1224</v>
      </c>
      <c r="OXS2207" s="582" t="s">
        <v>1224</v>
      </c>
      <c r="OXT2207" s="582" t="s">
        <v>1224</v>
      </c>
      <c r="OXU2207" s="582" t="s">
        <v>1224</v>
      </c>
      <c r="OXV2207" s="582" t="s">
        <v>1224</v>
      </c>
      <c r="OXW2207" s="582" t="s">
        <v>1224</v>
      </c>
      <c r="OXX2207" s="582" t="s">
        <v>1224</v>
      </c>
      <c r="OXY2207" s="582" t="s">
        <v>1224</v>
      </c>
      <c r="OXZ2207" s="582" t="s">
        <v>1224</v>
      </c>
      <c r="OYA2207" s="582" t="s">
        <v>1224</v>
      </c>
      <c r="OYB2207" s="582" t="s">
        <v>1224</v>
      </c>
      <c r="OYC2207" s="582" t="s">
        <v>1224</v>
      </c>
      <c r="OYD2207" s="582" t="s">
        <v>1224</v>
      </c>
      <c r="OYE2207" s="582" t="s">
        <v>1224</v>
      </c>
      <c r="OYF2207" s="582" t="s">
        <v>1224</v>
      </c>
      <c r="OYG2207" s="582" t="s">
        <v>1224</v>
      </c>
      <c r="OYH2207" s="582" t="s">
        <v>1224</v>
      </c>
      <c r="OYI2207" s="582" t="s">
        <v>1224</v>
      </c>
      <c r="OYJ2207" s="582" t="s">
        <v>1224</v>
      </c>
      <c r="OYK2207" s="582" t="s">
        <v>1224</v>
      </c>
      <c r="OYL2207" s="582" t="s">
        <v>1224</v>
      </c>
      <c r="OYM2207" s="582" t="s">
        <v>1224</v>
      </c>
      <c r="OYN2207" s="582" t="s">
        <v>1224</v>
      </c>
      <c r="OYO2207" s="582" t="s">
        <v>1224</v>
      </c>
      <c r="OYP2207" s="582" t="s">
        <v>1224</v>
      </c>
      <c r="OYQ2207" s="582" t="s">
        <v>1224</v>
      </c>
      <c r="OYR2207" s="582" t="s">
        <v>1224</v>
      </c>
      <c r="OYS2207" s="582" t="s">
        <v>1224</v>
      </c>
      <c r="OYT2207" s="582" t="s">
        <v>1224</v>
      </c>
      <c r="OYU2207" s="582" t="s">
        <v>1224</v>
      </c>
      <c r="OYV2207" s="582" t="s">
        <v>1224</v>
      </c>
      <c r="OYW2207" s="582" t="s">
        <v>1224</v>
      </c>
      <c r="OYX2207" s="582" t="s">
        <v>1224</v>
      </c>
      <c r="OYY2207" s="582" t="s">
        <v>1224</v>
      </c>
      <c r="OYZ2207" s="582" t="s">
        <v>1224</v>
      </c>
      <c r="OZA2207" s="582" t="s">
        <v>1224</v>
      </c>
      <c r="OZB2207" s="582" t="s">
        <v>1224</v>
      </c>
      <c r="OZC2207" s="582" t="s">
        <v>1224</v>
      </c>
      <c r="OZD2207" s="582" t="s">
        <v>1224</v>
      </c>
      <c r="OZE2207" s="582" t="s">
        <v>1224</v>
      </c>
      <c r="OZF2207" s="582" t="s">
        <v>1224</v>
      </c>
      <c r="OZG2207" s="582" t="s">
        <v>1224</v>
      </c>
      <c r="OZH2207" s="582" t="s">
        <v>1224</v>
      </c>
      <c r="OZI2207" s="582" t="s">
        <v>1224</v>
      </c>
      <c r="OZJ2207" s="582" t="s">
        <v>1224</v>
      </c>
      <c r="OZK2207" s="582" t="s">
        <v>1224</v>
      </c>
      <c r="OZL2207" s="582" t="s">
        <v>1224</v>
      </c>
      <c r="OZM2207" s="582" t="s">
        <v>1224</v>
      </c>
      <c r="OZN2207" s="582" t="s">
        <v>1224</v>
      </c>
      <c r="OZO2207" s="582" t="s">
        <v>1224</v>
      </c>
      <c r="OZP2207" s="582" t="s">
        <v>1224</v>
      </c>
      <c r="OZQ2207" s="582" t="s">
        <v>1224</v>
      </c>
      <c r="OZR2207" s="582" t="s">
        <v>1224</v>
      </c>
      <c r="OZS2207" s="582" t="s">
        <v>1224</v>
      </c>
      <c r="OZT2207" s="582" t="s">
        <v>1224</v>
      </c>
      <c r="OZU2207" s="582" t="s">
        <v>1224</v>
      </c>
      <c r="OZV2207" s="582" t="s">
        <v>1224</v>
      </c>
      <c r="OZW2207" s="582" t="s">
        <v>1224</v>
      </c>
      <c r="OZX2207" s="582" t="s">
        <v>1224</v>
      </c>
      <c r="OZY2207" s="582" t="s">
        <v>1224</v>
      </c>
      <c r="OZZ2207" s="582" t="s">
        <v>1224</v>
      </c>
      <c r="PAA2207" s="582" t="s">
        <v>1224</v>
      </c>
      <c r="PAB2207" s="582" t="s">
        <v>1224</v>
      </c>
      <c r="PAC2207" s="582" t="s">
        <v>1224</v>
      </c>
      <c r="PAD2207" s="582" t="s">
        <v>1224</v>
      </c>
      <c r="PAE2207" s="582" t="s">
        <v>1224</v>
      </c>
      <c r="PAF2207" s="582" t="s">
        <v>1224</v>
      </c>
      <c r="PAG2207" s="582" t="s">
        <v>1224</v>
      </c>
      <c r="PAH2207" s="582" t="s">
        <v>1224</v>
      </c>
      <c r="PAI2207" s="582" t="s">
        <v>1224</v>
      </c>
      <c r="PAJ2207" s="582" t="s">
        <v>1224</v>
      </c>
      <c r="PAK2207" s="582" t="s">
        <v>1224</v>
      </c>
      <c r="PAL2207" s="582" t="s">
        <v>1224</v>
      </c>
      <c r="PAM2207" s="582" t="s">
        <v>1224</v>
      </c>
      <c r="PAN2207" s="582" t="s">
        <v>1224</v>
      </c>
      <c r="PAO2207" s="582" t="s">
        <v>1224</v>
      </c>
      <c r="PAP2207" s="582" t="s">
        <v>1224</v>
      </c>
      <c r="PAQ2207" s="582" t="s">
        <v>1224</v>
      </c>
      <c r="PAR2207" s="582" t="s">
        <v>1224</v>
      </c>
      <c r="PAS2207" s="582" t="s">
        <v>1224</v>
      </c>
      <c r="PAT2207" s="582" t="s">
        <v>1224</v>
      </c>
      <c r="PAU2207" s="582" t="s">
        <v>1224</v>
      </c>
      <c r="PAV2207" s="582" t="s">
        <v>1224</v>
      </c>
      <c r="PAW2207" s="582" t="s">
        <v>1224</v>
      </c>
      <c r="PAX2207" s="582" t="s">
        <v>1224</v>
      </c>
      <c r="PAY2207" s="582" t="s">
        <v>1224</v>
      </c>
      <c r="PAZ2207" s="582" t="s">
        <v>1224</v>
      </c>
      <c r="PBA2207" s="582" t="s">
        <v>1224</v>
      </c>
      <c r="PBB2207" s="582" t="s">
        <v>1224</v>
      </c>
      <c r="PBC2207" s="582" t="s">
        <v>1224</v>
      </c>
      <c r="PBD2207" s="582" t="s">
        <v>1224</v>
      </c>
      <c r="PBE2207" s="582" t="s">
        <v>1224</v>
      </c>
      <c r="PBF2207" s="582" t="s">
        <v>1224</v>
      </c>
      <c r="PBG2207" s="582" t="s">
        <v>1224</v>
      </c>
      <c r="PBH2207" s="582" t="s">
        <v>1224</v>
      </c>
      <c r="PBI2207" s="582" t="s">
        <v>1224</v>
      </c>
      <c r="PBJ2207" s="582" t="s">
        <v>1224</v>
      </c>
      <c r="PBK2207" s="582" t="s">
        <v>1224</v>
      </c>
      <c r="PBL2207" s="582" t="s">
        <v>1224</v>
      </c>
      <c r="PBM2207" s="582" t="s">
        <v>1224</v>
      </c>
      <c r="PBN2207" s="582" t="s">
        <v>1224</v>
      </c>
      <c r="PBO2207" s="582" t="s">
        <v>1224</v>
      </c>
      <c r="PBP2207" s="582" t="s">
        <v>1224</v>
      </c>
      <c r="PBQ2207" s="582" t="s">
        <v>1224</v>
      </c>
      <c r="PBR2207" s="582" t="s">
        <v>1224</v>
      </c>
      <c r="PBS2207" s="582" t="s">
        <v>1224</v>
      </c>
      <c r="PBT2207" s="582" t="s">
        <v>1224</v>
      </c>
      <c r="PBU2207" s="582" t="s">
        <v>1224</v>
      </c>
      <c r="PBV2207" s="582" t="s">
        <v>1224</v>
      </c>
      <c r="PBW2207" s="582" t="s">
        <v>1224</v>
      </c>
      <c r="PBX2207" s="582" t="s">
        <v>1224</v>
      </c>
      <c r="PBY2207" s="582" t="s">
        <v>1224</v>
      </c>
      <c r="PBZ2207" s="582" t="s">
        <v>1224</v>
      </c>
      <c r="PCA2207" s="582" t="s">
        <v>1224</v>
      </c>
      <c r="PCB2207" s="582" t="s">
        <v>1224</v>
      </c>
      <c r="PCC2207" s="582" t="s">
        <v>1224</v>
      </c>
      <c r="PCD2207" s="582" t="s">
        <v>1224</v>
      </c>
      <c r="PCE2207" s="582" t="s">
        <v>1224</v>
      </c>
      <c r="PCF2207" s="582" t="s">
        <v>1224</v>
      </c>
      <c r="PCG2207" s="582" t="s">
        <v>1224</v>
      </c>
      <c r="PCH2207" s="582" t="s">
        <v>1224</v>
      </c>
      <c r="PCI2207" s="582" t="s">
        <v>1224</v>
      </c>
      <c r="PCJ2207" s="582" t="s">
        <v>1224</v>
      </c>
      <c r="PCK2207" s="582" t="s">
        <v>1224</v>
      </c>
      <c r="PCL2207" s="582" t="s">
        <v>1224</v>
      </c>
      <c r="PCM2207" s="582" t="s">
        <v>1224</v>
      </c>
      <c r="PCN2207" s="582" t="s">
        <v>1224</v>
      </c>
      <c r="PCO2207" s="582" t="s">
        <v>1224</v>
      </c>
      <c r="PCP2207" s="582" t="s">
        <v>1224</v>
      </c>
      <c r="PCQ2207" s="582" t="s">
        <v>1224</v>
      </c>
      <c r="PCR2207" s="582" t="s">
        <v>1224</v>
      </c>
      <c r="PCS2207" s="582" t="s">
        <v>1224</v>
      </c>
      <c r="PCT2207" s="582" t="s">
        <v>1224</v>
      </c>
      <c r="PCU2207" s="582" t="s">
        <v>1224</v>
      </c>
      <c r="PCV2207" s="582" t="s">
        <v>1224</v>
      </c>
      <c r="PCW2207" s="582" t="s">
        <v>1224</v>
      </c>
      <c r="PCX2207" s="582" t="s">
        <v>1224</v>
      </c>
      <c r="PCY2207" s="582" t="s">
        <v>1224</v>
      </c>
      <c r="PCZ2207" s="582" t="s">
        <v>1224</v>
      </c>
      <c r="PDA2207" s="582" t="s">
        <v>1224</v>
      </c>
      <c r="PDB2207" s="582" t="s">
        <v>1224</v>
      </c>
      <c r="PDC2207" s="582" t="s">
        <v>1224</v>
      </c>
      <c r="PDD2207" s="582" t="s">
        <v>1224</v>
      </c>
      <c r="PDE2207" s="582" t="s">
        <v>1224</v>
      </c>
      <c r="PDF2207" s="582" t="s">
        <v>1224</v>
      </c>
      <c r="PDG2207" s="582" t="s">
        <v>1224</v>
      </c>
      <c r="PDH2207" s="582" t="s">
        <v>1224</v>
      </c>
      <c r="PDI2207" s="582" t="s">
        <v>1224</v>
      </c>
      <c r="PDJ2207" s="582" t="s">
        <v>1224</v>
      </c>
      <c r="PDK2207" s="582" t="s">
        <v>1224</v>
      </c>
      <c r="PDL2207" s="582" t="s">
        <v>1224</v>
      </c>
      <c r="PDM2207" s="582" t="s">
        <v>1224</v>
      </c>
      <c r="PDN2207" s="582" t="s">
        <v>1224</v>
      </c>
      <c r="PDO2207" s="582" t="s">
        <v>1224</v>
      </c>
      <c r="PDP2207" s="582" t="s">
        <v>1224</v>
      </c>
      <c r="PDQ2207" s="582" t="s">
        <v>1224</v>
      </c>
      <c r="PDR2207" s="582" t="s">
        <v>1224</v>
      </c>
      <c r="PDS2207" s="582" t="s">
        <v>1224</v>
      </c>
      <c r="PDT2207" s="582" t="s">
        <v>1224</v>
      </c>
      <c r="PDU2207" s="582" t="s">
        <v>1224</v>
      </c>
      <c r="PDV2207" s="582" t="s">
        <v>1224</v>
      </c>
      <c r="PDW2207" s="582" t="s">
        <v>1224</v>
      </c>
      <c r="PDX2207" s="582" t="s">
        <v>1224</v>
      </c>
      <c r="PDY2207" s="582" t="s">
        <v>1224</v>
      </c>
      <c r="PDZ2207" s="582" t="s">
        <v>1224</v>
      </c>
      <c r="PEA2207" s="582" t="s">
        <v>1224</v>
      </c>
      <c r="PEB2207" s="582" t="s">
        <v>1224</v>
      </c>
      <c r="PEC2207" s="582" t="s">
        <v>1224</v>
      </c>
      <c r="PED2207" s="582" t="s">
        <v>1224</v>
      </c>
      <c r="PEE2207" s="582" t="s">
        <v>1224</v>
      </c>
      <c r="PEF2207" s="582" t="s">
        <v>1224</v>
      </c>
      <c r="PEG2207" s="582" t="s">
        <v>1224</v>
      </c>
      <c r="PEH2207" s="582" t="s">
        <v>1224</v>
      </c>
      <c r="PEI2207" s="582" t="s">
        <v>1224</v>
      </c>
      <c r="PEJ2207" s="582" t="s">
        <v>1224</v>
      </c>
      <c r="PEK2207" s="582" t="s">
        <v>1224</v>
      </c>
      <c r="PEL2207" s="582" t="s">
        <v>1224</v>
      </c>
      <c r="PEM2207" s="582" t="s">
        <v>1224</v>
      </c>
      <c r="PEN2207" s="582" t="s">
        <v>1224</v>
      </c>
      <c r="PEO2207" s="582" t="s">
        <v>1224</v>
      </c>
      <c r="PEP2207" s="582" t="s">
        <v>1224</v>
      </c>
      <c r="PEQ2207" s="582" t="s">
        <v>1224</v>
      </c>
      <c r="PER2207" s="582" t="s">
        <v>1224</v>
      </c>
      <c r="PES2207" s="582" t="s">
        <v>1224</v>
      </c>
      <c r="PET2207" s="582" t="s">
        <v>1224</v>
      </c>
      <c r="PEU2207" s="582" t="s">
        <v>1224</v>
      </c>
      <c r="PEV2207" s="582" t="s">
        <v>1224</v>
      </c>
      <c r="PEW2207" s="582" t="s">
        <v>1224</v>
      </c>
      <c r="PEX2207" s="582" t="s">
        <v>1224</v>
      </c>
      <c r="PEY2207" s="582" t="s">
        <v>1224</v>
      </c>
      <c r="PEZ2207" s="582" t="s">
        <v>1224</v>
      </c>
      <c r="PFA2207" s="582" t="s">
        <v>1224</v>
      </c>
      <c r="PFB2207" s="582" t="s">
        <v>1224</v>
      </c>
      <c r="PFC2207" s="582" t="s">
        <v>1224</v>
      </c>
      <c r="PFD2207" s="582" t="s">
        <v>1224</v>
      </c>
      <c r="PFE2207" s="582" t="s">
        <v>1224</v>
      </c>
      <c r="PFF2207" s="582" t="s">
        <v>1224</v>
      </c>
      <c r="PFG2207" s="582" t="s">
        <v>1224</v>
      </c>
      <c r="PFH2207" s="582" t="s">
        <v>1224</v>
      </c>
      <c r="PFI2207" s="582" t="s">
        <v>1224</v>
      </c>
      <c r="PFJ2207" s="582" t="s">
        <v>1224</v>
      </c>
      <c r="PFK2207" s="582" t="s">
        <v>1224</v>
      </c>
      <c r="PFL2207" s="582" t="s">
        <v>1224</v>
      </c>
      <c r="PFM2207" s="582" t="s">
        <v>1224</v>
      </c>
      <c r="PFN2207" s="582" t="s">
        <v>1224</v>
      </c>
      <c r="PFO2207" s="582" t="s">
        <v>1224</v>
      </c>
      <c r="PFP2207" s="582" t="s">
        <v>1224</v>
      </c>
      <c r="PFQ2207" s="582" t="s">
        <v>1224</v>
      </c>
      <c r="PFR2207" s="582" t="s">
        <v>1224</v>
      </c>
      <c r="PFS2207" s="582" t="s">
        <v>1224</v>
      </c>
      <c r="PFT2207" s="582" t="s">
        <v>1224</v>
      </c>
      <c r="PFU2207" s="582" t="s">
        <v>1224</v>
      </c>
      <c r="PFV2207" s="582" t="s">
        <v>1224</v>
      </c>
      <c r="PFW2207" s="582" t="s">
        <v>1224</v>
      </c>
      <c r="PFX2207" s="582" t="s">
        <v>1224</v>
      </c>
      <c r="PFY2207" s="582" t="s">
        <v>1224</v>
      </c>
      <c r="PFZ2207" s="582" t="s">
        <v>1224</v>
      </c>
      <c r="PGA2207" s="582" t="s">
        <v>1224</v>
      </c>
      <c r="PGB2207" s="582" t="s">
        <v>1224</v>
      </c>
      <c r="PGC2207" s="582" t="s">
        <v>1224</v>
      </c>
      <c r="PGD2207" s="582" t="s">
        <v>1224</v>
      </c>
      <c r="PGE2207" s="582" t="s">
        <v>1224</v>
      </c>
      <c r="PGF2207" s="582" t="s">
        <v>1224</v>
      </c>
      <c r="PGG2207" s="582" t="s">
        <v>1224</v>
      </c>
      <c r="PGH2207" s="582" t="s">
        <v>1224</v>
      </c>
      <c r="PGI2207" s="582" t="s">
        <v>1224</v>
      </c>
      <c r="PGJ2207" s="582" t="s">
        <v>1224</v>
      </c>
      <c r="PGK2207" s="582" t="s">
        <v>1224</v>
      </c>
      <c r="PGL2207" s="582" t="s">
        <v>1224</v>
      </c>
      <c r="PGM2207" s="582" t="s">
        <v>1224</v>
      </c>
      <c r="PGN2207" s="582" t="s">
        <v>1224</v>
      </c>
      <c r="PGO2207" s="582" t="s">
        <v>1224</v>
      </c>
      <c r="PGP2207" s="582" t="s">
        <v>1224</v>
      </c>
      <c r="PGQ2207" s="582" t="s">
        <v>1224</v>
      </c>
      <c r="PGR2207" s="582" t="s">
        <v>1224</v>
      </c>
      <c r="PGS2207" s="582" t="s">
        <v>1224</v>
      </c>
      <c r="PGT2207" s="582" t="s">
        <v>1224</v>
      </c>
      <c r="PGU2207" s="582" t="s">
        <v>1224</v>
      </c>
      <c r="PGV2207" s="582" t="s">
        <v>1224</v>
      </c>
      <c r="PGW2207" s="582" t="s">
        <v>1224</v>
      </c>
      <c r="PGX2207" s="582" t="s">
        <v>1224</v>
      </c>
      <c r="PGY2207" s="582" t="s">
        <v>1224</v>
      </c>
      <c r="PGZ2207" s="582" t="s">
        <v>1224</v>
      </c>
      <c r="PHA2207" s="582" t="s">
        <v>1224</v>
      </c>
      <c r="PHB2207" s="582" t="s">
        <v>1224</v>
      </c>
      <c r="PHC2207" s="582" t="s">
        <v>1224</v>
      </c>
      <c r="PHD2207" s="582" t="s">
        <v>1224</v>
      </c>
      <c r="PHE2207" s="582" t="s">
        <v>1224</v>
      </c>
      <c r="PHF2207" s="582" t="s">
        <v>1224</v>
      </c>
      <c r="PHG2207" s="582" t="s">
        <v>1224</v>
      </c>
      <c r="PHH2207" s="582" t="s">
        <v>1224</v>
      </c>
      <c r="PHI2207" s="582" t="s">
        <v>1224</v>
      </c>
      <c r="PHJ2207" s="582" t="s">
        <v>1224</v>
      </c>
      <c r="PHK2207" s="582" t="s">
        <v>1224</v>
      </c>
      <c r="PHL2207" s="582" t="s">
        <v>1224</v>
      </c>
      <c r="PHM2207" s="582" t="s">
        <v>1224</v>
      </c>
      <c r="PHN2207" s="582" t="s">
        <v>1224</v>
      </c>
      <c r="PHO2207" s="582" t="s">
        <v>1224</v>
      </c>
      <c r="PHP2207" s="582" t="s">
        <v>1224</v>
      </c>
      <c r="PHQ2207" s="582" t="s">
        <v>1224</v>
      </c>
      <c r="PHR2207" s="582" t="s">
        <v>1224</v>
      </c>
      <c r="PHS2207" s="582" t="s">
        <v>1224</v>
      </c>
      <c r="PHT2207" s="582" t="s">
        <v>1224</v>
      </c>
      <c r="PHU2207" s="582" t="s">
        <v>1224</v>
      </c>
      <c r="PHV2207" s="582" t="s">
        <v>1224</v>
      </c>
      <c r="PHW2207" s="582" t="s">
        <v>1224</v>
      </c>
      <c r="PHX2207" s="582" t="s">
        <v>1224</v>
      </c>
      <c r="PHY2207" s="582" t="s">
        <v>1224</v>
      </c>
      <c r="PHZ2207" s="582" t="s">
        <v>1224</v>
      </c>
      <c r="PIA2207" s="582" t="s">
        <v>1224</v>
      </c>
      <c r="PIB2207" s="582" t="s">
        <v>1224</v>
      </c>
      <c r="PIC2207" s="582" t="s">
        <v>1224</v>
      </c>
      <c r="PID2207" s="582" t="s">
        <v>1224</v>
      </c>
      <c r="PIE2207" s="582" t="s">
        <v>1224</v>
      </c>
      <c r="PIF2207" s="582" t="s">
        <v>1224</v>
      </c>
      <c r="PIG2207" s="582" t="s">
        <v>1224</v>
      </c>
      <c r="PIH2207" s="582" t="s">
        <v>1224</v>
      </c>
      <c r="PII2207" s="582" t="s">
        <v>1224</v>
      </c>
      <c r="PIJ2207" s="582" t="s">
        <v>1224</v>
      </c>
      <c r="PIK2207" s="582" t="s">
        <v>1224</v>
      </c>
      <c r="PIL2207" s="582" t="s">
        <v>1224</v>
      </c>
      <c r="PIM2207" s="582" t="s">
        <v>1224</v>
      </c>
      <c r="PIN2207" s="582" t="s">
        <v>1224</v>
      </c>
      <c r="PIO2207" s="582" t="s">
        <v>1224</v>
      </c>
      <c r="PIP2207" s="582" t="s">
        <v>1224</v>
      </c>
      <c r="PIQ2207" s="582" t="s">
        <v>1224</v>
      </c>
      <c r="PIR2207" s="582" t="s">
        <v>1224</v>
      </c>
      <c r="PIS2207" s="582" t="s">
        <v>1224</v>
      </c>
      <c r="PIT2207" s="582" t="s">
        <v>1224</v>
      </c>
      <c r="PIU2207" s="582" t="s">
        <v>1224</v>
      </c>
      <c r="PIV2207" s="582" t="s">
        <v>1224</v>
      </c>
      <c r="PIW2207" s="582" t="s">
        <v>1224</v>
      </c>
      <c r="PIX2207" s="582" t="s">
        <v>1224</v>
      </c>
      <c r="PIY2207" s="582" t="s">
        <v>1224</v>
      </c>
      <c r="PIZ2207" s="582" t="s">
        <v>1224</v>
      </c>
      <c r="PJA2207" s="582" t="s">
        <v>1224</v>
      </c>
      <c r="PJB2207" s="582" t="s">
        <v>1224</v>
      </c>
      <c r="PJC2207" s="582" t="s">
        <v>1224</v>
      </c>
      <c r="PJD2207" s="582" t="s">
        <v>1224</v>
      </c>
      <c r="PJE2207" s="582" t="s">
        <v>1224</v>
      </c>
      <c r="PJF2207" s="582" t="s">
        <v>1224</v>
      </c>
      <c r="PJG2207" s="582" t="s">
        <v>1224</v>
      </c>
      <c r="PJH2207" s="582" t="s">
        <v>1224</v>
      </c>
      <c r="PJI2207" s="582" t="s">
        <v>1224</v>
      </c>
      <c r="PJJ2207" s="582" t="s">
        <v>1224</v>
      </c>
      <c r="PJK2207" s="582" t="s">
        <v>1224</v>
      </c>
      <c r="PJL2207" s="582" t="s">
        <v>1224</v>
      </c>
      <c r="PJM2207" s="582" t="s">
        <v>1224</v>
      </c>
      <c r="PJN2207" s="582" t="s">
        <v>1224</v>
      </c>
      <c r="PJO2207" s="582" t="s">
        <v>1224</v>
      </c>
      <c r="PJP2207" s="582" t="s">
        <v>1224</v>
      </c>
      <c r="PJQ2207" s="582" t="s">
        <v>1224</v>
      </c>
      <c r="PJR2207" s="582" t="s">
        <v>1224</v>
      </c>
      <c r="PJS2207" s="582" t="s">
        <v>1224</v>
      </c>
      <c r="PJT2207" s="582" t="s">
        <v>1224</v>
      </c>
      <c r="PJU2207" s="582" t="s">
        <v>1224</v>
      </c>
      <c r="PJV2207" s="582" t="s">
        <v>1224</v>
      </c>
      <c r="PJW2207" s="582" t="s">
        <v>1224</v>
      </c>
      <c r="PJX2207" s="582" t="s">
        <v>1224</v>
      </c>
      <c r="PJY2207" s="582" t="s">
        <v>1224</v>
      </c>
      <c r="PJZ2207" s="582" t="s">
        <v>1224</v>
      </c>
      <c r="PKA2207" s="582" t="s">
        <v>1224</v>
      </c>
      <c r="PKB2207" s="582" t="s">
        <v>1224</v>
      </c>
      <c r="PKC2207" s="582" t="s">
        <v>1224</v>
      </c>
      <c r="PKD2207" s="582" t="s">
        <v>1224</v>
      </c>
      <c r="PKE2207" s="582" t="s">
        <v>1224</v>
      </c>
      <c r="PKF2207" s="582" t="s">
        <v>1224</v>
      </c>
      <c r="PKG2207" s="582" t="s">
        <v>1224</v>
      </c>
      <c r="PKH2207" s="582" t="s">
        <v>1224</v>
      </c>
      <c r="PKI2207" s="582" t="s">
        <v>1224</v>
      </c>
      <c r="PKJ2207" s="582" t="s">
        <v>1224</v>
      </c>
      <c r="PKK2207" s="582" t="s">
        <v>1224</v>
      </c>
      <c r="PKL2207" s="582" t="s">
        <v>1224</v>
      </c>
      <c r="PKM2207" s="582" t="s">
        <v>1224</v>
      </c>
      <c r="PKN2207" s="582" t="s">
        <v>1224</v>
      </c>
      <c r="PKO2207" s="582" t="s">
        <v>1224</v>
      </c>
      <c r="PKP2207" s="582" t="s">
        <v>1224</v>
      </c>
      <c r="PKQ2207" s="582" t="s">
        <v>1224</v>
      </c>
      <c r="PKR2207" s="582" t="s">
        <v>1224</v>
      </c>
      <c r="PKS2207" s="582" t="s">
        <v>1224</v>
      </c>
      <c r="PKT2207" s="582" t="s">
        <v>1224</v>
      </c>
      <c r="PKU2207" s="582" t="s">
        <v>1224</v>
      </c>
      <c r="PKV2207" s="582" t="s">
        <v>1224</v>
      </c>
      <c r="PKW2207" s="582" t="s">
        <v>1224</v>
      </c>
      <c r="PKX2207" s="582" t="s">
        <v>1224</v>
      </c>
      <c r="PKY2207" s="582" t="s">
        <v>1224</v>
      </c>
      <c r="PKZ2207" s="582" t="s">
        <v>1224</v>
      </c>
      <c r="PLA2207" s="582" t="s">
        <v>1224</v>
      </c>
      <c r="PLB2207" s="582" t="s">
        <v>1224</v>
      </c>
      <c r="PLC2207" s="582" t="s">
        <v>1224</v>
      </c>
      <c r="PLD2207" s="582" t="s">
        <v>1224</v>
      </c>
      <c r="PLE2207" s="582" t="s">
        <v>1224</v>
      </c>
      <c r="PLF2207" s="582" t="s">
        <v>1224</v>
      </c>
      <c r="PLG2207" s="582" t="s">
        <v>1224</v>
      </c>
      <c r="PLH2207" s="582" t="s">
        <v>1224</v>
      </c>
      <c r="PLI2207" s="582" t="s">
        <v>1224</v>
      </c>
      <c r="PLJ2207" s="582" t="s">
        <v>1224</v>
      </c>
      <c r="PLK2207" s="582" t="s">
        <v>1224</v>
      </c>
      <c r="PLL2207" s="582" t="s">
        <v>1224</v>
      </c>
      <c r="PLM2207" s="582" t="s">
        <v>1224</v>
      </c>
      <c r="PLN2207" s="582" t="s">
        <v>1224</v>
      </c>
      <c r="PLO2207" s="582" t="s">
        <v>1224</v>
      </c>
      <c r="PLP2207" s="582" t="s">
        <v>1224</v>
      </c>
      <c r="PLQ2207" s="582" t="s">
        <v>1224</v>
      </c>
      <c r="PLR2207" s="582" t="s">
        <v>1224</v>
      </c>
      <c r="PLS2207" s="582" t="s">
        <v>1224</v>
      </c>
      <c r="PLT2207" s="582" t="s">
        <v>1224</v>
      </c>
      <c r="PLU2207" s="582" t="s">
        <v>1224</v>
      </c>
      <c r="PLV2207" s="582" t="s">
        <v>1224</v>
      </c>
      <c r="PLW2207" s="582" t="s">
        <v>1224</v>
      </c>
      <c r="PLX2207" s="582" t="s">
        <v>1224</v>
      </c>
      <c r="PLY2207" s="582" t="s">
        <v>1224</v>
      </c>
      <c r="PLZ2207" s="582" t="s">
        <v>1224</v>
      </c>
      <c r="PMA2207" s="582" t="s">
        <v>1224</v>
      </c>
      <c r="PMB2207" s="582" t="s">
        <v>1224</v>
      </c>
      <c r="PMC2207" s="582" t="s">
        <v>1224</v>
      </c>
      <c r="PMD2207" s="582" t="s">
        <v>1224</v>
      </c>
      <c r="PME2207" s="582" t="s">
        <v>1224</v>
      </c>
      <c r="PMF2207" s="582" t="s">
        <v>1224</v>
      </c>
      <c r="PMG2207" s="582" t="s">
        <v>1224</v>
      </c>
      <c r="PMH2207" s="582" t="s">
        <v>1224</v>
      </c>
      <c r="PMI2207" s="582" t="s">
        <v>1224</v>
      </c>
      <c r="PMJ2207" s="582" t="s">
        <v>1224</v>
      </c>
      <c r="PMK2207" s="582" t="s">
        <v>1224</v>
      </c>
      <c r="PML2207" s="582" t="s">
        <v>1224</v>
      </c>
      <c r="PMM2207" s="582" t="s">
        <v>1224</v>
      </c>
      <c r="PMN2207" s="582" t="s">
        <v>1224</v>
      </c>
      <c r="PMO2207" s="582" t="s">
        <v>1224</v>
      </c>
      <c r="PMP2207" s="582" t="s">
        <v>1224</v>
      </c>
      <c r="PMQ2207" s="582" t="s">
        <v>1224</v>
      </c>
      <c r="PMR2207" s="582" t="s">
        <v>1224</v>
      </c>
      <c r="PMS2207" s="582" t="s">
        <v>1224</v>
      </c>
      <c r="PMT2207" s="582" t="s">
        <v>1224</v>
      </c>
      <c r="PMU2207" s="582" t="s">
        <v>1224</v>
      </c>
      <c r="PMV2207" s="582" t="s">
        <v>1224</v>
      </c>
      <c r="PMW2207" s="582" t="s">
        <v>1224</v>
      </c>
      <c r="PMX2207" s="582" t="s">
        <v>1224</v>
      </c>
      <c r="PMY2207" s="582" t="s">
        <v>1224</v>
      </c>
      <c r="PMZ2207" s="582" t="s">
        <v>1224</v>
      </c>
      <c r="PNA2207" s="582" t="s">
        <v>1224</v>
      </c>
      <c r="PNB2207" s="582" t="s">
        <v>1224</v>
      </c>
      <c r="PNC2207" s="582" t="s">
        <v>1224</v>
      </c>
      <c r="PND2207" s="582" t="s">
        <v>1224</v>
      </c>
      <c r="PNE2207" s="582" t="s">
        <v>1224</v>
      </c>
      <c r="PNF2207" s="582" t="s">
        <v>1224</v>
      </c>
      <c r="PNG2207" s="582" t="s">
        <v>1224</v>
      </c>
      <c r="PNH2207" s="582" t="s">
        <v>1224</v>
      </c>
      <c r="PNI2207" s="582" t="s">
        <v>1224</v>
      </c>
      <c r="PNJ2207" s="582" t="s">
        <v>1224</v>
      </c>
      <c r="PNK2207" s="582" t="s">
        <v>1224</v>
      </c>
      <c r="PNL2207" s="582" t="s">
        <v>1224</v>
      </c>
      <c r="PNM2207" s="582" t="s">
        <v>1224</v>
      </c>
      <c r="PNN2207" s="582" t="s">
        <v>1224</v>
      </c>
      <c r="PNO2207" s="582" t="s">
        <v>1224</v>
      </c>
      <c r="PNP2207" s="582" t="s">
        <v>1224</v>
      </c>
      <c r="PNQ2207" s="582" t="s">
        <v>1224</v>
      </c>
      <c r="PNR2207" s="582" t="s">
        <v>1224</v>
      </c>
      <c r="PNS2207" s="582" t="s">
        <v>1224</v>
      </c>
      <c r="PNT2207" s="582" t="s">
        <v>1224</v>
      </c>
      <c r="PNU2207" s="582" t="s">
        <v>1224</v>
      </c>
      <c r="PNV2207" s="582" t="s">
        <v>1224</v>
      </c>
      <c r="PNW2207" s="582" t="s">
        <v>1224</v>
      </c>
      <c r="PNX2207" s="582" t="s">
        <v>1224</v>
      </c>
      <c r="PNY2207" s="582" t="s">
        <v>1224</v>
      </c>
      <c r="PNZ2207" s="582" t="s">
        <v>1224</v>
      </c>
      <c r="POA2207" s="582" t="s">
        <v>1224</v>
      </c>
      <c r="POB2207" s="582" t="s">
        <v>1224</v>
      </c>
      <c r="POC2207" s="582" t="s">
        <v>1224</v>
      </c>
      <c r="POD2207" s="582" t="s">
        <v>1224</v>
      </c>
      <c r="POE2207" s="582" t="s">
        <v>1224</v>
      </c>
      <c r="POF2207" s="582" t="s">
        <v>1224</v>
      </c>
      <c r="POG2207" s="582" t="s">
        <v>1224</v>
      </c>
      <c r="POH2207" s="582" t="s">
        <v>1224</v>
      </c>
      <c r="POI2207" s="582" t="s">
        <v>1224</v>
      </c>
      <c r="POJ2207" s="582" t="s">
        <v>1224</v>
      </c>
      <c r="POK2207" s="582" t="s">
        <v>1224</v>
      </c>
      <c r="POL2207" s="582" t="s">
        <v>1224</v>
      </c>
      <c r="POM2207" s="582" t="s">
        <v>1224</v>
      </c>
      <c r="PON2207" s="582" t="s">
        <v>1224</v>
      </c>
      <c r="POO2207" s="582" t="s">
        <v>1224</v>
      </c>
      <c r="POP2207" s="582" t="s">
        <v>1224</v>
      </c>
      <c r="POQ2207" s="582" t="s">
        <v>1224</v>
      </c>
      <c r="POR2207" s="582" t="s">
        <v>1224</v>
      </c>
      <c r="POS2207" s="582" t="s">
        <v>1224</v>
      </c>
      <c r="POT2207" s="582" t="s">
        <v>1224</v>
      </c>
      <c r="POU2207" s="582" t="s">
        <v>1224</v>
      </c>
      <c r="POV2207" s="582" t="s">
        <v>1224</v>
      </c>
      <c r="POW2207" s="582" t="s">
        <v>1224</v>
      </c>
      <c r="POX2207" s="582" t="s">
        <v>1224</v>
      </c>
      <c r="POY2207" s="582" t="s">
        <v>1224</v>
      </c>
      <c r="POZ2207" s="582" t="s">
        <v>1224</v>
      </c>
      <c r="PPA2207" s="582" t="s">
        <v>1224</v>
      </c>
      <c r="PPB2207" s="582" t="s">
        <v>1224</v>
      </c>
      <c r="PPC2207" s="582" t="s">
        <v>1224</v>
      </c>
      <c r="PPD2207" s="582" t="s">
        <v>1224</v>
      </c>
      <c r="PPE2207" s="582" t="s">
        <v>1224</v>
      </c>
      <c r="PPF2207" s="582" t="s">
        <v>1224</v>
      </c>
      <c r="PPG2207" s="582" t="s">
        <v>1224</v>
      </c>
      <c r="PPH2207" s="582" t="s">
        <v>1224</v>
      </c>
      <c r="PPI2207" s="582" t="s">
        <v>1224</v>
      </c>
      <c r="PPJ2207" s="582" t="s">
        <v>1224</v>
      </c>
      <c r="PPK2207" s="582" t="s">
        <v>1224</v>
      </c>
      <c r="PPL2207" s="582" t="s">
        <v>1224</v>
      </c>
      <c r="PPM2207" s="582" t="s">
        <v>1224</v>
      </c>
      <c r="PPN2207" s="582" t="s">
        <v>1224</v>
      </c>
      <c r="PPO2207" s="582" t="s">
        <v>1224</v>
      </c>
      <c r="PPP2207" s="582" t="s">
        <v>1224</v>
      </c>
      <c r="PPQ2207" s="582" t="s">
        <v>1224</v>
      </c>
      <c r="PPR2207" s="582" t="s">
        <v>1224</v>
      </c>
      <c r="PPS2207" s="582" t="s">
        <v>1224</v>
      </c>
      <c r="PPT2207" s="582" t="s">
        <v>1224</v>
      </c>
      <c r="PPU2207" s="582" t="s">
        <v>1224</v>
      </c>
      <c r="PPV2207" s="582" t="s">
        <v>1224</v>
      </c>
      <c r="PPW2207" s="582" t="s">
        <v>1224</v>
      </c>
      <c r="PPX2207" s="582" t="s">
        <v>1224</v>
      </c>
      <c r="PPY2207" s="582" t="s">
        <v>1224</v>
      </c>
      <c r="PPZ2207" s="582" t="s">
        <v>1224</v>
      </c>
      <c r="PQA2207" s="582" t="s">
        <v>1224</v>
      </c>
      <c r="PQB2207" s="582" t="s">
        <v>1224</v>
      </c>
      <c r="PQC2207" s="582" t="s">
        <v>1224</v>
      </c>
      <c r="PQD2207" s="582" t="s">
        <v>1224</v>
      </c>
      <c r="PQE2207" s="582" t="s">
        <v>1224</v>
      </c>
      <c r="PQF2207" s="582" t="s">
        <v>1224</v>
      </c>
      <c r="PQG2207" s="582" t="s">
        <v>1224</v>
      </c>
      <c r="PQH2207" s="582" t="s">
        <v>1224</v>
      </c>
      <c r="PQI2207" s="582" t="s">
        <v>1224</v>
      </c>
      <c r="PQJ2207" s="582" t="s">
        <v>1224</v>
      </c>
      <c r="PQK2207" s="582" t="s">
        <v>1224</v>
      </c>
      <c r="PQL2207" s="582" t="s">
        <v>1224</v>
      </c>
      <c r="PQM2207" s="582" t="s">
        <v>1224</v>
      </c>
      <c r="PQN2207" s="582" t="s">
        <v>1224</v>
      </c>
      <c r="PQO2207" s="582" t="s">
        <v>1224</v>
      </c>
      <c r="PQP2207" s="582" t="s">
        <v>1224</v>
      </c>
      <c r="PQQ2207" s="582" t="s">
        <v>1224</v>
      </c>
      <c r="PQR2207" s="582" t="s">
        <v>1224</v>
      </c>
      <c r="PQS2207" s="582" t="s">
        <v>1224</v>
      </c>
      <c r="PQT2207" s="582" t="s">
        <v>1224</v>
      </c>
      <c r="PQU2207" s="582" t="s">
        <v>1224</v>
      </c>
      <c r="PQV2207" s="582" t="s">
        <v>1224</v>
      </c>
      <c r="PQW2207" s="582" t="s">
        <v>1224</v>
      </c>
      <c r="PQX2207" s="582" t="s">
        <v>1224</v>
      </c>
      <c r="PQY2207" s="582" t="s">
        <v>1224</v>
      </c>
      <c r="PQZ2207" s="582" t="s">
        <v>1224</v>
      </c>
      <c r="PRA2207" s="582" t="s">
        <v>1224</v>
      </c>
      <c r="PRB2207" s="582" t="s">
        <v>1224</v>
      </c>
      <c r="PRC2207" s="582" t="s">
        <v>1224</v>
      </c>
      <c r="PRD2207" s="582" t="s">
        <v>1224</v>
      </c>
      <c r="PRE2207" s="582" t="s">
        <v>1224</v>
      </c>
      <c r="PRF2207" s="582" t="s">
        <v>1224</v>
      </c>
      <c r="PRG2207" s="582" t="s">
        <v>1224</v>
      </c>
      <c r="PRH2207" s="582" t="s">
        <v>1224</v>
      </c>
      <c r="PRI2207" s="582" t="s">
        <v>1224</v>
      </c>
      <c r="PRJ2207" s="582" t="s">
        <v>1224</v>
      </c>
      <c r="PRK2207" s="582" t="s">
        <v>1224</v>
      </c>
      <c r="PRL2207" s="582" t="s">
        <v>1224</v>
      </c>
      <c r="PRM2207" s="582" t="s">
        <v>1224</v>
      </c>
      <c r="PRN2207" s="582" t="s">
        <v>1224</v>
      </c>
      <c r="PRO2207" s="582" t="s">
        <v>1224</v>
      </c>
      <c r="PRP2207" s="582" t="s">
        <v>1224</v>
      </c>
      <c r="PRQ2207" s="582" t="s">
        <v>1224</v>
      </c>
      <c r="PRR2207" s="582" t="s">
        <v>1224</v>
      </c>
      <c r="PRS2207" s="582" t="s">
        <v>1224</v>
      </c>
      <c r="PRT2207" s="582" t="s">
        <v>1224</v>
      </c>
      <c r="PRU2207" s="582" t="s">
        <v>1224</v>
      </c>
      <c r="PRV2207" s="582" t="s">
        <v>1224</v>
      </c>
      <c r="PRW2207" s="582" t="s">
        <v>1224</v>
      </c>
      <c r="PRX2207" s="582" t="s">
        <v>1224</v>
      </c>
      <c r="PRY2207" s="582" t="s">
        <v>1224</v>
      </c>
      <c r="PRZ2207" s="582" t="s">
        <v>1224</v>
      </c>
      <c r="PSA2207" s="582" t="s">
        <v>1224</v>
      </c>
      <c r="PSB2207" s="582" t="s">
        <v>1224</v>
      </c>
      <c r="PSC2207" s="582" t="s">
        <v>1224</v>
      </c>
      <c r="PSD2207" s="582" t="s">
        <v>1224</v>
      </c>
      <c r="PSE2207" s="582" t="s">
        <v>1224</v>
      </c>
      <c r="PSF2207" s="582" t="s">
        <v>1224</v>
      </c>
      <c r="PSG2207" s="582" t="s">
        <v>1224</v>
      </c>
      <c r="PSH2207" s="582" t="s">
        <v>1224</v>
      </c>
      <c r="PSI2207" s="582" t="s">
        <v>1224</v>
      </c>
      <c r="PSJ2207" s="582" t="s">
        <v>1224</v>
      </c>
      <c r="PSK2207" s="582" t="s">
        <v>1224</v>
      </c>
      <c r="PSL2207" s="582" t="s">
        <v>1224</v>
      </c>
      <c r="PSM2207" s="582" t="s">
        <v>1224</v>
      </c>
      <c r="PSN2207" s="582" t="s">
        <v>1224</v>
      </c>
      <c r="PSO2207" s="582" t="s">
        <v>1224</v>
      </c>
      <c r="PSP2207" s="582" t="s">
        <v>1224</v>
      </c>
      <c r="PSQ2207" s="582" t="s">
        <v>1224</v>
      </c>
      <c r="PSR2207" s="582" t="s">
        <v>1224</v>
      </c>
      <c r="PSS2207" s="582" t="s">
        <v>1224</v>
      </c>
      <c r="PST2207" s="582" t="s">
        <v>1224</v>
      </c>
      <c r="PSU2207" s="582" t="s">
        <v>1224</v>
      </c>
      <c r="PSV2207" s="582" t="s">
        <v>1224</v>
      </c>
      <c r="PSW2207" s="582" t="s">
        <v>1224</v>
      </c>
      <c r="PSX2207" s="582" t="s">
        <v>1224</v>
      </c>
      <c r="PSY2207" s="582" t="s">
        <v>1224</v>
      </c>
      <c r="PSZ2207" s="582" t="s">
        <v>1224</v>
      </c>
      <c r="PTA2207" s="582" t="s">
        <v>1224</v>
      </c>
      <c r="PTB2207" s="582" t="s">
        <v>1224</v>
      </c>
      <c r="PTC2207" s="582" t="s">
        <v>1224</v>
      </c>
      <c r="PTD2207" s="582" t="s">
        <v>1224</v>
      </c>
      <c r="PTE2207" s="582" t="s">
        <v>1224</v>
      </c>
      <c r="PTF2207" s="582" t="s">
        <v>1224</v>
      </c>
      <c r="PTG2207" s="582" t="s">
        <v>1224</v>
      </c>
      <c r="PTH2207" s="582" t="s">
        <v>1224</v>
      </c>
      <c r="PTI2207" s="582" t="s">
        <v>1224</v>
      </c>
      <c r="PTJ2207" s="582" t="s">
        <v>1224</v>
      </c>
      <c r="PTK2207" s="582" t="s">
        <v>1224</v>
      </c>
      <c r="PTL2207" s="582" t="s">
        <v>1224</v>
      </c>
      <c r="PTM2207" s="582" t="s">
        <v>1224</v>
      </c>
      <c r="PTN2207" s="582" t="s">
        <v>1224</v>
      </c>
      <c r="PTO2207" s="582" t="s">
        <v>1224</v>
      </c>
      <c r="PTP2207" s="582" t="s">
        <v>1224</v>
      </c>
      <c r="PTQ2207" s="582" t="s">
        <v>1224</v>
      </c>
      <c r="PTR2207" s="582" t="s">
        <v>1224</v>
      </c>
      <c r="PTS2207" s="582" t="s">
        <v>1224</v>
      </c>
      <c r="PTT2207" s="582" t="s">
        <v>1224</v>
      </c>
      <c r="PTU2207" s="582" t="s">
        <v>1224</v>
      </c>
      <c r="PTV2207" s="582" t="s">
        <v>1224</v>
      </c>
      <c r="PTW2207" s="582" t="s">
        <v>1224</v>
      </c>
      <c r="PTX2207" s="582" t="s">
        <v>1224</v>
      </c>
      <c r="PTY2207" s="582" t="s">
        <v>1224</v>
      </c>
      <c r="PTZ2207" s="582" t="s">
        <v>1224</v>
      </c>
      <c r="PUA2207" s="582" t="s">
        <v>1224</v>
      </c>
      <c r="PUB2207" s="582" t="s">
        <v>1224</v>
      </c>
      <c r="PUC2207" s="582" t="s">
        <v>1224</v>
      </c>
      <c r="PUD2207" s="582" t="s">
        <v>1224</v>
      </c>
      <c r="PUE2207" s="582" t="s">
        <v>1224</v>
      </c>
      <c r="PUF2207" s="582" t="s">
        <v>1224</v>
      </c>
      <c r="PUG2207" s="582" t="s">
        <v>1224</v>
      </c>
      <c r="PUH2207" s="582" t="s">
        <v>1224</v>
      </c>
      <c r="PUI2207" s="582" t="s">
        <v>1224</v>
      </c>
      <c r="PUJ2207" s="582" t="s">
        <v>1224</v>
      </c>
      <c r="PUK2207" s="582" t="s">
        <v>1224</v>
      </c>
      <c r="PUL2207" s="582" t="s">
        <v>1224</v>
      </c>
      <c r="PUM2207" s="582" t="s">
        <v>1224</v>
      </c>
      <c r="PUN2207" s="582" t="s">
        <v>1224</v>
      </c>
      <c r="PUO2207" s="582" t="s">
        <v>1224</v>
      </c>
      <c r="PUP2207" s="582" t="s">
        <v>1224</v>
      </c>
      <c r="PUQ2207" s="582" t="s">
        <v>1224</v>
      </c>
      <c r="PUR2207" s="582" t="s">
        <v>1224</v>
      </c>
      <c r="PUS2207" s="582" t="s">
        <v>1224</v>
      </c>
      <c r="PUT2207" s="582" t="s">
        <v>1224</v>
      </c>
      <c r="PUU2207" s="582" t="s">
        <v>1224</v>
      </c>
      <c r="PUV2207" s="582" t="s">
        <v>1224</v>
      </c>
      <c r="PUW2207" s="582" t="s">
        <v>1224</v>
      </c>
      <c r="PUX2207" s="582" t="s">
        <v>1224</v>
      </c>
      <c r="PUY2207" s="582" t="s">
        <v>1224</v>
      </c>
      <c r="PUZ2207" s="582" t="s">
        <v>1224</v>
      </c>
      <c r="PVA2207" s="582" t="s">
        <v>1224</v>
      </c>
      <c r="PVB2207" s="582" t="s">
        <v>1224</v>
      </c>
      <c r="PVC2207" s="582" t="s">
        <v>1224</v>
      </c>
      <c r="PVD2207" s="582" t="s">
        <v>1224</v>
      </c>
      <c r="PVE2207" s="582" t="s">
        <v>1224</v>
      </c>
      <c r="PVF2207" s="582" t="s">
        <v>1224</v>
      </c>
      <c r="PVG2207" s="582" t="s">
        <v>1224</v>
      </c>
      <c r="PVH2207" s="582" t="s">
        <v>1224</v>
      </c>
      <c r="PVI2207" s="582" t="s">
        <v>1224</v>
      </c>
      <c r="PVJ2207" s="582" t="s">
        <v>1224</v>
      </c>
      <c r="PVK2207" s="582" t="s">
        <v>1224</v>
      </c>
      <c r="PVL2207" s="582" t="s">
        <v>1224</v>
      </c>
      <c r="PVM2207" s="582" t="s">
        <v>1224</v>
      </c>
      <c r="PVN2207" s="582" t="s">
        <v>1224</v>
      </c>
      <c r="PVO2207" s="582" t="s">
        <v>1224</v>
      </c>
      <c r="PVP2207" s="582" t="s">
        <v>1224</v>
      </c>
      <c r="PVQ2207" s="582" t="s">
        <v>1224</v>
      </c>
      <c r="PVR2207" s="582" t="s">
        <v>1224</v>
      </c>
      <c r="PVS2207" s="582" t="s">
        <v>1224</v>
      </c>
      <c r="PVT2207" s="582" t="s">
        <v>1224</v>
      </c>
      <c r="PVU2207" s="582" t="s">
        <v>1224</v>
      </c>
      <c r="PVV2207" s="582" t="s">
        <v>1224</v>
      </c>
      <c r="PVW2207" s="582" t="s">
        <v>1224</v>
      </c>
      <c r="PVX2207" s="582" t="s">
        <v>1224</v>
      </c>
      <c r="PVY2207" s="582" t="s">
        <v>1224</v>
      </c>
      <c r="PVZ2207" s="582" t="s">
        <v>1224</v>
      </c>
      <c r="PWA2207" s="582" t="s">
        <v>1224</v>
      </c>
      <c r="PWB2207" s="582" t="s">
        <v>1224</v>
      </c>
      <c r="PWC2207" s="582" t="s">
        <v>1224</v>
      </c>
      <c r="PWD2207" s="582" t="s">
        <v>1224</v>
      </c>
      <c r="PWE2207" s="582" t="s">
        <v>1224</v>
      </c>
      <c r="PWF2207" s="582" t="s">
        <v>1224</v>
      </c>
      <c r="PWG2207" s="582" t="s">
        <v>1224</v>
      </c>
      <c r="PWH2207" s="582" t="s">
        <v>1224</v>
      </c>
      <c r="PWI2207" s="582" t="s">
        <v>1224</v>
      </c>
      <c r="PWJ2207" s="582" t="s">
        <v>1224</v>
      </c>
      <c r="PWK2207" s="582" t="s">
        <v>1224</v>
      </c>
      <c r="PWL2207" s="582" t="s">
        <v>1224</v>
      </c>
      <c r="PWM2207" s="582" t="s">
        <v>1224</v>
      </c>
      <c r="PWN2207" s="582" t="s">
        <v>1224</v>
      </c>
      <c r="PWO2207" s="582" t="s">
        <v>1224</v>
      </c>
      <c r="PWP2207" s="582" t="s">
        <v>1224</v>
      </c>
      <c r="PWQ2207" s="582" t="s">
        <v>1224</v>
      </c>
      <c r="PWR2207" s="582" t="s">
        <v>1224</v>
      </c>
      <c r="PWS2207" s="582" t="s">
        <v>1224</v>
      </c>
      <c r="PWT2207" s="582" t="s">
        <v>1224</v>
      </c>
      <c r="PWU2207" s="582" t="s">
        <v>1224</v>
      </c>
      <c r="PWV2207" s="582" t="s">
        <v>1224</v>
      </c>
      <c r="PWW2207" s="582" t="s">
        <v>1224</v>
      </c>
      <c r="PWX2207" s="582" t="s">
        <v>1224</v>
      </c>
      <c r="PWY2207" s="582" t="s">
        <v>1224</v>
      </c>
      <c r="PWZ2207" s="582" t="s">
        <v>1224</v>
      </c>
      <c r="PXA2207" s="582" t="s">
        <v>1224</v>
      </c>
      <c r="PXB2207" s="582" t="s">
        <v>1224</v>
      </c>
      <c r="PXC2207" s="582" t="s">
        <v>1224</v>
      </c>
      <c r="PXD2207" s="582" t="s">
        <v>1224</v>
      </c>
      <c r="PXE2207" s="582" t="s">
        <v>1224</v>
      </c>
      <c r="PXF2207" s="582" t="s">
        <v>1224</v>
      </c>
      <c r="PXG2207" s="582" t="s">
        <v>1224</v>
      </c>
      <c r="PXH2207" s="582" t="s">
        <v>1224</v>
      </c>
      <c r="PXI2207" s="582" t="s">
        <v>1224</v>
      </c>
      <c r="PXJ2207" s="582" t="s">
        <v>1224</v>
      </c>
      <c r="PXK2207" s="582" t="s">
        <v>1224</v>
      </c>
      <c r="PXL2207" s="582" t="s">
        <v>1224</v>
      </c>
      <c r="PXM2207" s="582" t="s">
        <v>1224</v>
      </c>
      <c r="PXN2207" s="582" t="s">
        <v>1224</v>
      </c>
      <c r="PXO2207" s="582" t="s">
        <v>1224</v>
      </c>
      <c r="PXP2207" s="582" t="s">
        <v>1224</v>
      </c>
      <c r="PXQ2207" s="582" t="s">
        <v>1224</v>
      </c>
      <c r="PXR2207" s="582" t="s">
        <v>1224</v>
      </c>
      <c r="PXS2207" s="582" t="s">
        <v>1224</v>
      </c>
      <c r="PXT2207" s="582" t="s">
        <v>1224</v>
      </c>
      <c r="PXU2207" s="582" t="s">
        <v>1224</v>
      </c>
      <c r="PXV2207" s="582" t="s">
        <v>1224</v>
      </c>
      <c r="PXW2207" s="582" t="s">
        <v>1224</v>
      </c>
      <c r="PXX2207" s="582" t="s">
        <v>1224</v>
      </c>
      <c r="PXY2207" s="582" t="s">
        <v>1224</v>
      </c>
      <c r="PXZ2207" s="582" t="s">
        <v>1224</v>
      </c>
      <c r="PYA2207" s="582" t="s">
        <v>1224</v>
      </c>
      <c r="PYB2207" s="582" t="s">
        <v>1224</v>
      </c>
      <c r="PYC2207" s="582" t="s">
        <v>1224</v>
      </c>
      <c r="PYD2207" s="582" t="s">
        <v>1224</v>
      </c>
      <c r="PYE2207" s="582" t="s">
        <v>1224</v>
      </c>
      <c r="PYF2207" s="582" t="s">
        <v>1224</v>
      </c>
      <c r="PYG2207" s="582" t="s">
        <v>1224</v>
      </c>
      <c r="PYH2207" s="582" t="s">
        <v>1224</v>
      </c>
      <c r="PYI2207" s="582" t="s">
        <v>1224</v>
      </c>
      <c r="PYJ2207" s="582" t="s">
        <v>1224</v>
      </c>
      <c r="PYK2207" s="582" t="s">
        <v>1224</v>
      </c>
      <c r="PYL2207" s="582" t="s">
        <v>1224</v>
      </c>
      <c r="PYM2207" s="582" t="s">
        <v>1224</v>
      </c>
      <c r="PYN2207" s="582" t="s">
        <v>1224</v>
      </c>
      <c r="PYO2207" s="582" t="s">
        <v>1224</v>
      </c>
      <c r="PYP2207" s="582" t="s">
        <v>1224</v>
      </c>
      <c r="PYQ2207" s="582" t="s">
        <v>1224</v>
      </c>
      <c r="PYR2207" s="582" t="s">
        <v>1224</v>
      </c>
      <c r="PYS2207" s="582" t="s">
        <v>1224</v>
      </c>
      <c r="PYT2207" s="582" t="s">
        <v>1224</v>
      </c>
      <c r="PYU2207" s="582" t="s">
        <v>1224</v>
      </c>
      <c r="PYV2207" s="582" t="s">
        <v>1224</v>
      </c>
      <c r="PYW2207" s="582" t="s">
        <v>1224</v>
      </c>
      <c r="PYX2207" s="582" t="s">
        <v>1224</v>
      </c>
      <c r="PYY2207" s="582" t="s">
        <v>1224</v>
      </c>
      <c r="PYZ2207" s="582" t="s">
        <v>1224</v>
      </c>
      <c r="PZA2207" s="582" t="s">
        <v>1224</v>
      </c>
      <c r="PZB2207" s="582" t="s">
        <v>1224</v>
      </c>
      <c r="PZC2207" s="582" t="s">
        <v>1224</v>
      </c>
      <c r="PZD2207" s="582" t="s">
        <v>1224</v>
      </c>
      <c r="PZE2207" s="582" t="s">
        <v>1224</v>
      </c>
      <c r="PZF2207" s="582" t="s">
        <v>1224</v>
      </c>
      <c r="PZG2207" s="582" t="s">
        <v>1224</v>
      </c>
      <c r="PZH2207" s="582" t="s">
        <v>1224</v>
      </c>
      <c r="PZI2207" s="582" t="s">
        <v>1224</v>
      </c>
      <c r="PZJ2207" s="582" t="s">
        <v>1224</v>
      </c>
      <c r="PZK2207" s="582" t="s">
        <v>1224</v>
      </c>
      <c r="PZL2207" s="582" t="s">
        <v>1224</v>
      </c>
      <c r="PZM2207" s="582" t="s">
        <v>1224</v>
      </c>
      <c r="PZN2207" s="582" t="s">
        <v>1224</v>
      </c>
      <c r="PZO2207" s="582" t="s">
        <v>1224</v>
      </c>
      <c r="PZP2207" s="582" t="s">
        <v>1224</v>
      </c>
      <c r="PZQ2207" s="582" t="s">
        <v>1224</v>
      </c>
      <c r="PZR2207" s="582" t="s">
        <v>1224</v>
      </c>
      <c r="PZS2207" s="582" t="s">
        <v>1224</v>
      </c>
      <c r="PZT2207" s="582" t="s">
        <v>1224</v>
      </c>
      <c r="PZU2207" s="582" t="s">
        <v>1224</v>
      </c>
      <c r="PZV2207" s="582" t="s">
        <v>1224</v>
      </c>
      <c r="PZW2207" s="582" t="s">
        <v>1224</v>
      </c>
      <c r="PZX2207" s="582" t="s">
        <v>1224</v>
      </c>
      <c r="PZY2207" s="582" t="s">
        <v>1224</v>
      </c>
      <c r="PZZ2207" s="582" t="s">
        <v>1224</v>
      </c>
      <c r="QAA2207" s="582" t="s">
        <v>1224</v>
      </c>
      <c r="QAB2207" s="582" t="s">
        <v>1224</v>
      </c>
      <c r="QAC2207" s="582" t="s">
        <v>1224</v>
      </c>
      <c r="QAD2207" s="582" t="s">
        <v>1224</v>
      </c>
      <c r="QAE2207" s="582" t="s">
        <v>1224</v>
      </c>
      <c r="QAF2207" s="582" t="s">
        <v>1224</v>
      </c>
      <c r="QAG2207" s="582" t="s">
        <v>1224</v>
      </c>
      <c r="QAH2207" s="582" t="s">
        <v>1224</v>
      </c>
      <c r="QAI2207" s="582" t="s">
        <v>1224</v>
      </c>
      <c r="QAJ2207" s="582" t="s">
        <v>1224</v>
      </c>
      <c r="QAK2207" s="582" t="s">
        <v>1224</v>
      </c>
      <c r="QAL2207" s="582" t="s">
        <v>1224</v>
      </c>
      <c r="QAM2207" s="582" t="s">
        <v>1224</v>
      </c>
      <c r="QAN2207" s="582" t="s">
        <v>1224</v>
      </c>
      <c r="QAO2207" s="582" t="s">
        <v>1224</v>
      </c>
      <c r="QAP2207" s="582" t="s">
        <v>1224</v>
      </c>
      <c r="QAQ2207" s="582" t="s">
        <v>1224</v>
      </c>
      <c r="QAR2207" s="582" t="s">
        <v>1224</v>
      </c>
      <c r="QAS2207" s="582" t="s">
        <v>1224</v>
      </c>
      <c r="QAT2207" s="582" t="s">
        <v>1224</v>
      </c>
      <c r="QAU2207" s="582" t="s">
        <v>1224</v>
      </c>
      <c r="QAV2207" s="582" t="s">
        <v>1224</v>
      </c>
      <c r="QAW2207" s="582" t="s">
        <v>1224</v>
      </c>
      <c r="QAX2207" s="582" t="s">
        <v>1224</v>
      </c>
      <c r="QAY2207" s="582" t="s">
        <v>1224</v>
      </c>
      <c r="QAZ2207" s="582" t="s">
        <v>1224</v>
      </c>
      <c r="QBA2207" s="582" t="s">
        <v>1224</v>
      </c>
      <c r="QBB2207" s="582" t="s">
        <v>1224</v>
      </c>
      <c r="QBC2207" s="582" t="s">
        <v>1224</v>
      </c>
      <c r="QBD2207" s="582" t="s">
        <v>1224</v>
      </c>
      <c r="QBE2207" s="582" t="s">
        <v>1224</v>
      </c>
      <c r="QBF2207" s="582" t="s">
        <v>1224</v>
      </c>
      <c r="QBG2207" s="582" t="s">
        <v>1224</v>
      </c>
      <c r="QBH2207" s="582" t="s">
        <v>1224</v>
      </c>
      <c r="QBI2207" s="582" t="s">
        <v>1224</v>
      </c>
      <c r="QBJ2207" s="582" t="s">
        <v>1224</v>
      </c>
      <c r="QBK2207" s="582" t="s">
        <v>1224</v>
      </c>
      <c r="QBL2207" s="582" t="s">
        <v>1224</v>
      </c>
      <c r="QBM2207" s="582" t="s">
        <v>1224</v>
      </c>
      <c r="QBN2207" s="582" t="s">
        <v>1224</v>
      </c>
      <c r="QBO2207" s="582" t="s">
        <v>1224</v>
      </c>
      <c r="QBP2207" s="582" t="s">
        <v>1224</v>
      </c>
      <c r="QBQ2207" s="582" t="s">
        <v>1224</v>
      </c>
      <c r="QBR2207" s="582" t="s">
        <v>1224</v>
      </c>
      <c r="QBS2207" s="582" t="s">
        <v>1224</v>
      </c>
      <c r="QBT2207" s="582" t="s">
        <v>1224</v>
      </c>
      <c r="QBU2207" s="582" t="s">
        <v>1224</v>
      </c>
      <c r="QBV2207" s="582" t="s">
        <v>1224</v>
      </c>
      <c r="QBW2207" s="582" t="s">
        <v>1224</v>
      </c>
      <c r="QBX2207" s="582" t="s">
        <v>1224</v>
      </c>
      <c r="QBY2207" s="582" t="s">
        <v>1224</v>
      </c>
      <c r="QBZ2207" s="582" t="s">
        <v>1224</v>
      </c>
      <c r="QCA2207" s="582" t="s">
        <v>1224</v>
      </c>
      <c r="QCB2207" s="582" t="s">
        <v>1224</v>
      </c>
      <c r="QCC2207" s="582" t="s">
        <v>1224</v>
      </c>
      <c r="QCD2207" s="582" t="s">
        <v>1224</v>
      </c>
      <c r="QCE2207" s="582" t="s">
        <v>1224</v>
      </c>
      <c r="QCF2207" s="582" t="s">
        <v>1224</v>
      </c>
      <c r="QCG2207" s="582" t="s">
        <v>1224</v>
      </c>
      <c r="QCH2207" s="582" t="s">
        <v>1224</v>
      </c>
      <c r="QCI2207" s="582" t="s">
        <v>1224</v>
      </c>
      <c r="QCJ2207" s="582" t="s">
        <v>1224</v>
      </c>
      <c r="QCK2207" s="582" t="s">
        <v>1224</v>
      </c>
      <c r="QCL2207" s="582" t="s">
        <v>1224</v>
      </c>
      <c r="QCM2207" s="582" t="s">
        <v>1224</v>
      </c>
      <c r="QCN2207" s="582" t="s">
        <v>1224</v>
      </c>
      <c r="QCO2207" s="582" t="s">
        <v>1224</v>
      </c>
      <c r="QCP2207" s="582" t="s">
        <v>1224</v>
      </c>
      <c r="QCQ2207" s="582" t="s">
        <v>1224</v>
      </c>
      <c r="QCR2207" s="582" t="s">
        <v>1224</v>
      </c>
      <c r="QCS2207" s="582" t="s">
        <v>1224</v>
      </c>
      <c r="QCT2207" s="582" t="s">
        <v>1224</v>
      </c>
      <c r="QCU2207" s="582" t="s">
        <v>1224</v>
      </c>
      <c r="QCV2207" s="582" t="s">
        <v>1224</v>
      </c>
      <c r="QCW2207" s="582" t="s">
        <v>1224</v>
      </c>
      <c r="QCX2207" s="582" t="s">
        <v>1224</v>
      </c>
      <c r="QCY2207" s="582" t="s">
        <v>1224</v>
      </c>
      <c r="QCZ2207" s="582" t="s">
        <v>1224</v>
      </c>
      <c r="QDA2207" s="582" t="s">
        <v>1224</v>
      </c>
      <c r="QDB2207" s="582" t="s">
        <v>1224</v>
      </c>
      <c r="QDC2207" s="582" t="s">
        <v>1224</v>
      </c>
      <c r="QDD2207" s="582" t="s">
        <v>1224</v>
      </c>
      <c r="QDE2207" s="582" t="s">
        <v>1224</v>
      </c>
      <c r="QDF2207" s="582" t="s">
        <v>1224</v>
      </c>
      <c r="QDG2207" s="582" t="s">
        <v>1224</v>
      </c>
      <c r="QDH2207" s="582" t="s">
        <v>1224</v>
      </c>
      <c r="QDI2207" s="582" t="s">
        <v>1224</v>
      </c>
      <c r="QDJ2207" s="582" t="s">
        <v>1224</v>
      </c>
      <c r="QDK2207" s="582" t="s">
        <v>1224</v>
      </c>
      <c r="QDL2207" s="582" t="s">
        <v>1224</v>
      </c>
      <c r="QDM2207" s="582" t="s">
        <v>1224</v>
      </c>
      <c r="QDN2207" s="582" t="s">
        <v>1224</v>
      </c>
      <c r="QDO2207" s="582" t="s">
        <v>1224</v>
      </c>
      <c r="QDP2207" s="582" t="s">
        <v>1224</v>
      </c>
      <c r="QDQ2207" s="582" t="s">
        <v>1224</v>
      </c>
      <c r="QDR2207" s="582" t="s">
        <v>1224</v>
      </c>
      <c r="QDS2207" s="582" t="s">
        <v>1224</v>
      </c>
      <c r="QDT2207" s="582" t="s">
        <v>1224</v>
      </c>
      <c r="QDU2207" s="582" t="s">
        <v>1224</v>
      </c>
      <c r="QDV2207" s="582" t="s">
        <v>1224</v>
      </c>
      <c r="QDW2207" s="582" t="s">
        <v>1224</v>
      </c>
      <c r="QDX2207" s="582" t="s">
        <v>1224</v>
      </c>
      <c r="QDY2207" s="582" t="s">
        <v>1224</v>
      </c>
      <c r="QDZ2207" s="582" t="s">
        <v>1224</v>
      </c>
      <c r="QEA2207" s="582" t="s">
        <v>1224</v>
      </c>
      <c r="QEB2207" s="582" t="s">
        <v>1224</v>
      </c>
      <c r="QEC2207" s="582" t="s">
        <v>1224</v>
      </c>
      <c r="QED2207" s="582" t="s">
        <v>1224</v>
      </c>
      <c r="QEE2207" s="582" t="s">
        <v>1224</v>
      </c>
      <c r="QEF2207" s="582" t="s">
        <v>1224</v>
      </c>
      <c r="QEG2207" s="582" t="s">
        <v>1224</v>
      </c>
      <c r="QEH2207" s="582" t="s">
        <v>1224</v>
      </c>
      <c r="QEI2207" s="582" t="s">
        <v>1224</v>
      </c>
      <c r="QEJ2207" s="582" t="s">
        <v>1224</v>
      </c>
      <c r="QEK2207" s="582" t="s">
        <v>1224</v>
      </c>
      <c r="QEL2207" s="582" t="s">
        <v>1224</v>
      </c>
      <c r="QEM2207" s="582" t="s">
        <v>1224</v>
      </c>
      <c r="QEN2207" s="582" t="s">
        <v>1224</v>
      </c>
      <c r="QEO2207" s="582" t="s">
        <v>1224</v>
      </c>
      <c r="QEP2207" s="582" t="s">
        <v>1224</v>
      </c>
      <c r="QEQ2207" s="582" t="s">
        <v>1224</v>
      </c>
      <c r="QER2207" s="582" t="s">
        <v>1224</v>
      </c>
      <c r="QES2207" s="582" t="s">
        <v>1224</v>
      </c>
      <c r="QET2207" s="582" t="s">
        <v>1224</v>
      </c>
      <c r="QEU2207" s="582" t="s">
        <v>1224</v>
      </c>
      <c r="QEV2207" s="582" t="s">
        <v>1224</v>
      </c>
      <c r="QEW2207" s="582" t="s">
        <v>1224</v>
      </c>
      <c r="QEX2207" s="582" t="s">
        <v>1224</v>
      </c>
      <c r="QEY2207" s="582" t="s">
        <v>1224</v>
      </c>
      <c r="QEZ2207" s="582" t="s">
        <v>1224</v>
      </c>
      <c r="QFA2207" s="582" t="s">
        <v>1224</v>
      </c>
      <c r="QFB2207" s="582" t="s">
        <v>1224</v>
      </c>
      <c r="QFC2207" s="582" t="s">
        <v>1224</v>
      </c>
      <c r="QFD2207" s="582" t="s">
        <v>1224</v>
      </c>
      <c r="QFE2207" s="582" t="s">
        <v>1224</v>
      </c>
      <c r="QFF2207" s="582" t="s">
        <v>1224</v>
      </c>
      <c r="QFG2207" s="582" t="s">
        <v>1224</v>
      </c>
      <c r="QFH2207" s="582" t="s">
        <v>1224</v>
      </c>
      <c r="QFI2207" s="582" t="s">
        <v>1224</v>
      </c>
      <c r="QFJ2207" s="582" t="s">
        <v>1224</v>
      </c>
      <c r="QFK2207" s="582" t="s">
        <v>1224</v>
      </c>
      <c r="QFL2207" s="582" t="s">
        <v>1224</v>
      </c>
      <c r="QFM2207" s="582" t="s">
        <v>1224</v>
      </c>
      <c r="QFN2207" s="582" t="s">
        <v>1224</v>
      </c>
      <c r="QFO2207" s="582" t="s">
        <v>1224</v>
      </c>
      <c r="QFP2207" s="582" t="s">
        <v>1224</v>
      </c>
      <c r="QFQ2207" s="582" t="s">
        <v>1224</v>
      </c>
      <c r="QFR2207" s="582" t="s">
        <v>1224</v>
      </c>
      <c r="QFS2207" s="582" t="s">
        <v>1224</v>
      </c>
      <c r="QFT2207" s="582" t="s">
        <v>1224</v>
      </c>
      <c r="QFU2207" s="582" t="s">
        <v>1224</v>
      </c>
      <c r="QFV2207" s="582" t="s">
        <v>1224</v>
      </c>
      <c r="QFW2207" s="582" t="s">
        <v>1224</v>
      </c>
      <c r="QFX2207" s="582" t="s">
        <v>1224</v>
      </c>
      <c r="QFY2207" s="582" t="s">
        <v>1224</v>
      </c>
      <c r="QFZ2207" s="582" t="s">
        <v>1224</v>
      </c>
      <c r="QGA2207" s="582" t="s">
        <v>1224</v>
      </c>
      <c r="QGB2207" s="582" t="s">
        <v>1224</v>
      </c>
      <c r="QGC2207" s="582" t="s">
        <v>1224</v>
      </c>
      <c r="QGD2207" s="582" t="s">
        <v>1224</v>
      </c>
      <c r="QGE2207" s="582" t="s">
        <v>1224</v>
      </c>
      <c r="QGF2207" s="582" t="s">
        <v>1224</v>
      </c>
      <c r="QGG2207" s="582" t="s">
        <v>1224</v>
      </c>
      <c r="QGH2207" s="582" t="s">
        <v>1224</v>
      </c>
      <c r="QGI2207" s="582" t="s">
        <v>1224</v>
      </c>
      <c r="QGJ2207" s="582" t="s">
        <v>1224</v>
      </c>
      <c r="QGK2207" s="582" t="s">
        <v>1224</v>
      </c>
      <c r="QGL2207" s="582" t="s">
        <v>1224</v>
      </c>
      <c r="QGM2207" s="582" t="s">
        <v>1224</v>
      </c>
      <c r="QGN2207" s="582" t="s">
        <v>1224</v>
      </c>
      <c r="QGO2207" s="582" t="s">
        <v>1224</v>
      </c>
      <c r="QGP2207" s="582" t="s">
        <v>1224</v>
      </c>
      <c r="QGQ2207" s="582" t="s">
        <v>1224</v>
      </c>
      <c r="QGR2207" s="582" t="s">
        <v>1224</v>
      </c>
      <c r="QGS2207" s="582" t="s">
        <v>1224</v>
      </c>
      <c r="QGT2207" s="582" t="s">
        <v>1224</v>
      </c>
      <c r="QGU2207" s="582" t="s">
        <v>1224</v>
      </c>
      <c r="QGV2207" s="582" t="s">
        <v>1224</v>
      </c>
      <c r="QGW2207" s="582" t="s">
        <v>1224</v>
      </c>
      <c r="QGX2207" s="582" t="s">
        <v>1224</v>
      </c>
      <c r="QGY2207" s="582" t="s">
        <v>1224</v>
      </c>
      <c r="QGZ2207" s="582" t="s">
        <v>1224</v>
      </c>
      <c r="QHA2207" s="582" t="s">
        <v>1224</v>
      </c>
      <c r="QHB2207" s="582" t="s">
        <v>1224</v>
      </c>
      <c r="QHC2207" s="582" t="s">
        <v>1224</v>
      </c>
      <c r="QHD2207" s="582" t="s">
        <v>1224</v>
      </c>
      <c r="QHE2207" s="582" t="s">
        <v>1224</v>
      </c>
      <c r="QHF2207" s="582" t="s">
        <v>1224</v>
      </c>
      <c r="QHG2207" s="582" t="s">
        <v>1224</v>
      </c>
      <c r="QHH2207" s="582" t="s">
        <v>1224</v>
      </c>
      <c r="QHI2207" s="582" t="s">
        <v>1224</v>
      </c>
      <c r="QHJ2207" s="582" t="s">
        <v>1224</v>
      </c>
      <c r="QHK2207" s="582" t="s">
        <v>1224</v>
      </c>
      <c r="QHL2207" s="582" t="s">
        <v>1224</v>
      </c>
      <c r="QHM2207" s="582" t="s">
        <v>1224</v>
      </c>
      <c r="QHN2207" s="582" t="s">
        <v>1224</v>
      </c>
      <c r="QHO2207" s="582" t="s">
        <v>1224</v>
      </c>
      <c r="QHP2207" s="582" t="s">
        <v>1224</v>
      </c>
      <c r="QHQ2207" s="582" t="s">
        <v>1224</v>
      </c>
      <c r="QHR2207" s="582" t="s">
        <v>1224</v>
      </c>
      <c r="QHS2207" s="582" t="s">
        <v>1224</v>
      </c>
      <c r="QHT2207" s="582" t="s">
        <v>1224</v>
      </c>
      <c r="QHU2207" s="582" t="s">
        <v>1224</v>
      </c>
      <c r="QHV2207" s="582" t="s">
        <v>1224</v>
      </c>
      <c r="QHW2207" s="582" t="s">
        <v>1224</v>
      </c>
      <c r="QHX2207" s="582" t="s">
        <v>1224</v>
      </c>
      <c r="QHY2207" s="582" t="s">
        <v>1224</v>
      </c>
      <c r="QHZ2207" s="582" t="s">
        <v>1224</v>
      </c>
      <c r="QIA2207" s="582" t="s">
        <v>1224</v>
      </c>
      <c r="QIB2207" s="582" t="s">
        <v>1224</v>
      </c>
      <c r="QIC2207" s="582" t="s">
        <v>1224</v>
      </c>
      <c r="QID2207" s="582" t="s">
        <v>1224</v>
      </c>
      <c r="QIE2207" s="582" t="s">
        <v>1224</v>
      </c>
      <c r="QIF2207" s="582" t="s">
        <v>1224</v>
      </c>
      <c r="QIG2207" s="582" t="s">
        <v>1224</v>
      </c>
      <c r="QIH2207" s="582" t="s">
        <v>1224</v>
      </c>
      <c r="QII2207" s="582" t="s">
        <v>1224</v>
      </c>
      <c r="QIJ2207" s="582" t="s">
        <v>1224</v>
      </c>
      <c r="QIK2207" s="582" t="s">
        <v>1224</v>
      </c>
      <c r="QIL2207" s="582" t="s">
        <v>1224</v>
      </c>
      <c r="QIM2207" s="582" t="s">
        <v>1224</v>
      </c>
      <c r="QIN2207" s="582" t="s">
        <v>1224</v>
      </c>
      <c r="QIO2207" s="582" t="s">
        <v>1224</v>
      </c>
      <c r="QIP2207" s="582" t="s">
        <v>1224</v>
      </c>
      <c r="QIQ2207" s="582" t="s">
        <v>1224</v>
      </c>
      <c r="QIR2207" s="582" t="s">
        <v>1224</v>
      </c>
      <c r="QIS2207" s="582" t="s">
        <v>1224</v>
      </c>
      <c r="QIT2207" s="582" t="s">
        <v>1224</v>
      </c>
      <c r="QIU2207" s="582" t="s">
        <v>1224</v>
      </c>
      <c r="QIV2207" s="582" t="s">
        <v>1224</v>
      </c>
      <c r="QIW2207" s="582" t="s">
        <v>1224</v>
      </c>
      <c r="QIX2207" s="582" t="s">
        <v>1224</v>
      </c>
      <c r="QIY2207" s="582" t="s">
        <v>1224</v>
      </c>
      <c r="QIZ2207" s="582" t="s">
        <v>1224</v>
      </c>
      <c r="QJA2207" s="582" t="s">
        <v>1224</v>
      </c>
      <c r="QJB2207" s="582" t="s">
        <v>1224</v>
      </c>
      <c r="QJC2207" s="582" t="s">
        <v>1224</v>
      </c>
      <c r="QJD2207" s="582" t="s">
        <v>1224</v>
      </c>
      <c r="QJE2207" s="582" t="s">
        <v>1224</v>
      </c>
      <c r="QJF2207" s="582" t="s">
        <v>1224</v>
      </c>
      <c r="QJG2207" s="582" t="s">
        <v>1224</v>
      </c>
      <c r="QJH2207" s="582" t="s">
        <v>1224</v>
      </c>
      <c r="QJI2207" s="582" t="s">
        <v>1224</v>
      </c>
      <c r="QJJ2207" s="582" t="s">
        <v>1224</v>
      </c>
      <c r="QJK2207" s="582" t="s">
        <v>1224</v>
      </c>
      <c r="QJL2207" s="582" t="s">
        <v>1224</v>
      </c>
      <c r="QJM2207" s="582" t="s">
        <v>1224</v>
      </c>
      <c r="QJN2207" s="582" t="s">
        <v>1224</v>
      </c>
      <c r="QJO2207" s="582" t="s">
        <v>1224</v>
      </c>
      <c r="QJP2207" s="582" t="s">
        <v>1224</v>
      </c>
      <c r="QJQ2207" s="582" t="s">
        <v>1224</v>
      </c>
      <c r="QJR2207" s="582" t="s">
        <v>1224</v>
      </c>
      <c r="QJS2207" s="582" t="s">
        <v>1224</v>
      </c>
      <c r="QJT2207" s="582" t="s">
        <v>1224</v>
      </c>
      <c r="QJU2207" s="582" t="s">
        <v>1224</v>
      </c>
      <c r="QJV2207" s="582" t="s">
        <v>1224</v>
      </c>
      <c r="QJW2207" s="582" t="s">
        <v>1224</v>
      </c>
      <c r="QJX2207" s="582" t="s">
        <v>1224</v>
      </c>
      <c r="QJY2207" s="582" t="s">
        <v>1224</v>
      </c>
      <c r="QJZ2207" s="582" t="s">
        <v>1224</v>
      </c>
      <c r="QKA2207" s="582" t="s">
        <v>1224</v>
      </c>
      <c r="QKB2207" s="582" t="s">
        <v>1224</v>
      </c>
      <c r="QKC2207" s="582" t="s">
        <v>1224</v>
      </c>
      <c r="QKD2207" s="582" t="s">
        <v>1224</v>
      </c>
      <c r="QKE2207" s="582" t="s">
        <v>1224</v>
      </c>
      <c r="QKF2207" s="582" t="s">
        <v>1224</v>
      </c>
      <c r="QKG2207" s="582" t="s">
        <v>1224</v>
      </c>
      <c r="QKH2207" s="582" t="s">
        <v>1224</v>
      </c>
      <c r="QKI2207" s="582" t="s">
        <v>1224</v>
      </c>
      <c r="QKJ2207" s="582" t="s">
        <v>1224</v>
      </c>
      <c r="QKK2207" s="582" t="s">
        <v>1224</v>
      </c>
      <c r="QKL2207" s="582" t="s">
        <v>1224</v>
      </c>
      <c r="QKM2207" s="582" t="s">
        <v>1224</v>
      </c>
      <c r="QKN2207" s="582" t="s">
        <v>1224</v>
      </c>
      <c r="QKO2207" s="582" t="s">
        <v>1224</v>
      </c>
      <c r="QKP2207" s="582" t="s">
        <v>1224</v>
      </c>
      <c r="QKQ2207" s="582" t="s">
        <v>1224</v>
      </c>
      <c r="QKR2207" s="582" t="s">
        <v>1224</v>
      </c>
      <c r="QKS2207" s="582" t="s">
        <v>1224</v>
      </c>
      <c r="QKT2207" s="582" t="s">
        <v>1224</v>
      </c>
      <c r="QKU2207" s="582" t="s">
        <v>1224</v>
      </c>
      <c r="QKV2207" s="582" t="s">
        <v>1224</v>
      </c>
      <c r="QKW2207" s="582" t="s">
        <v>1224</v>
      </c>
      <c r="QKX2207" s="582" t="s">
        <v>1224</v>
      </c>
      <c r="QKY2207" s="582" t="s">
        <v>1224</v>
      </c>
      <c r="QKZ2207" s="582" t="s">
        <v>1224</v>
      </c>
      <c r="QLA2207" s="582" t="s">
        <v>1224</v>
      </c>
      <c r="QLB2207" s="582" t="s">
        <v>1224</v>
      </c>
      <c r="QLC2207" s="582" t="s">
        <v>1224</v>
      </c>
      <c r="QLD2207" s="582" t="s">
        <v>1224</v>
      </c>
      <c r="QLE2207" s="582" t="s">
        <v>1224</v>
      </c>
      <c r="QLF2207" s="582" t="s">
        <v>1224</v>
      </c>
      <c r="QLG2207" s="582" t="s">
        <v>1224</v>
      </c>
      <c r="QLH2207" s="582" t="s">
        <v>1224</v>
      </c>
      <c r="QLI2207" s="582" t="s">
        <v>1224</v>
      </c>
      <c r="QLJ2207" s="582" t="s">
        <v>1224</v>
      </c>
      <c r="QLK2207" s="582" t="s">
        <v>1224</v>
      </c>
      <c r="QLL2207" s="582" t="s">
        <v>1224</v>
      </c>
      <c r="QLM2207" s="582" t="s">
        <v>1224</v>
      </c>
      <c r="QLN2207" s="582" t="s">
        <v>1224</v>
      </c>
      <c r="QLO2207" s="582" t="s">
        <v>1224</v>
      </c>
      <c r="QLP2207" s="582" t="s">
        <v>1224</v>
      </c>
      <c r="QLQ2207" s="582" t="s">
        <v>1224</v>
      </c>
      <c r="QLR2207" s="582" t="s">
        <v>1224</v>
      </c>
      <c r="QLS2207" s="582" t="s">
        <v>1224</v>
      </c>
      <c r="QLT2207" s="582" t="s">
        <v>1224</v>
      </c>
      <c r="QLU2207" s="582" t="s">
        <v>1224</v>
      </c>
      <c r="QLV2207" s="582" t="s">
        <v>1224</v>
      </c>
      <c r="QLW2207" s="582" t="s">
        <v>1224</v>
      </c>
      <c r="QLX2207" s="582" t="s">
        <v>1224</v>
      </c>
      <c r="QLY2207" s="582" t="s">
        <v>1224</v>
      </c>
      <c r="QLZ2207" s="582" t="s">
        <v>1224</v>
      </c>
      <c r="QMA2207" s="582" t="s">
        <v>1224</v>
      </c>
      <c r="QMB2207" s="582" t="s">
        <v>1224</v>
      </c>
      <c r="QMC2207" s="582" t="s">
        <v>1224</v>
      </c>
      <c r="QMD2207" s="582" t="s">
        <v>1224</v>
      </c>
      <c r="QME2207" s="582" t="s">
        <v>1224</v>
      </c>
      <c r="QMF2207" s="582" t="s">
        <v>1224</v>
      </c>
      <c r="QMG2207" s="582" t="s">
        <v>1224</v>
      </c>
      <c r="QMH2207" s="582" t="s">
        <v>1224</v>
      </c>
      <c r="QMI2207" s="582" t="s">
        <v>1224</v>
      </c>
      <c r="QMJ2207" s="582" t="s">
        <v>1224</v>
      </c>
      <c r="QMK2207" s="582" t="s">
        <v>1224</v>
      </c>
      <c r="QML2207" s="582" t="s">
        <v>1224</v>
      </c>
      <c r="QMM2207" s="582" t="s">
        <v>1224</v>
      </c>
      <c r="QMN2207" s="582" t="s">
        <v>1224</v>
      </c>
      <c r="QMO2207" s="582" t="s">
        <v>1224</v>
      </c>
      <c r="QMP2207" s="582" t="s">
        <v>1224</v>
      </c>
      <c r="QMQ2207" s="582" t="s">
        <v>1224</v>
      </c>
      <c r="QMR2207" s="582" t="s">
        <v>1224</v>
      </c>
      <c r="QMS2207" s="582" t="s">
        <v>1224</v>
      </c>
      <c r="QMT2207" s="582" t="s">
        <v>1224</v>
      </c>
      <c r="QMU2207" s="582" t="s">
        <v>1224</v>
      </c>
      <c r="QMV2207" s="582" t="s">
        <v>1224</v>
      </c>
      <c r="QMW2207" s="582" t="s">
        <v>1224</v>
      </c>
      <c r="QMX2207" s="582" t="s">
        <v>1224</v>
      </c>
      <c r="QMY2207" s="582" t="s">
        <v>1224</v>
      </c>
      <c r="QMZ2207" s="582" t="s">
        <v>1224</v>
      </c>
      <c r="QNA2207" s="582" t="s">
        <v>1224</v>
      </c>
      <c r="QNB2207" s="582" t="s">
        <v>1224</v>
      </c>
      <c r="QNC2207" s="582" t="s">
        <v>1224</v>
      </c>
      <c r="QND2207" s="582" t="s">
        <v>1224</v>
      </c>
      <c r="QNE2207" s="582" t="s">
        <v>1224</v>
      </c>
      <c r="QNF2207" s="582" t="s">
        <v>1224</v>
      </c>
      <c r="QNG2207" s="582" t="s">
        <v>1224</v>
      </c>
      <c r="QNH2207" s="582" t="s">
        <v>1224</v>
      </c>
      <c r="QNI2207" s="582" t="s">
        <v>1224</v>
      </c>
      <c r="QNJ2207" s="582" t="s">
        <v>1224</v>
      </c>
      <c r="QNK2207" s="582" t="s">
        <v>1224</v>
      </c>
      <c r="QNL2207" s="582" t="s">
        <v>1224</v>
      </c>
      <c r="QNM2207" s="582" t="s">
        <v>1224</v>
      </c>
      <c r="QNN2207" s="582" t="s">
        <v>1224</v>
      </c>
      <c r="QNO2207" s="582" t="s">
        <v>1224</v>
      </c>
      <c r="QNP2207" s="582" t="s">
        <v>1224</v>
      </c>
      <c r="QNQ2207" s="582" t="s">
        <v>1224</v>
      </c>
      <c r="QNR2207" s="582" t="s">
        <v>1224</v>
      </c>
      <c r="QNS2207" s="582" t="s">
        <v>1224</v>
      </c>
      <c r="QNT2207" s="582" t="s">
        <v>1224</v>
      </c>
      <c r="QNU2207" s="582" t="s">
        <v>1224</v>
      </c>
      <c r="QNV2207" s="582" t="s">
        <v>1224</v>
      </c>
      <c r="QNW2207" s="582" t="s">
        <v>1224</v>
      </c>
      <c r="QNX2207" s="582" t="s">
        <v>1224</v>
      </c>
      <c r="QNY2207" s="582" t="s">
        <v>1224</v>
      </c>
      <c r="QNZ2207" s="582" t="s">
        <v>1224</v>
      </c>
      <c r="QOA2207" s="582" t="s">
        <v>1224</v>
      </c>
      <c r="QOB2207" s="582" t="s">
        <v>1224</v>
      </c>
      <c r="QOC2207" s="582" t="s">
        <v>1224</v>
      </c>
      <c r="QOD2207" s="582" t="s">
        <v>1224</v>
      </c>
      <c r="QOE2207" s="582" t="s">
        <v>1224</v>
      </c>
      <c r="QOF2207" s="582" t="s">
        <v>1224</v>
      </c>
      <c r="QOG2207" s="582" t="s">
        <v>1224</v>
      </c>
      <c r="QOH2207" s="582" t="s">
        <v>1224</v>
      </c>
      <c r="QOI2207" s="582" t="s">
        <v>1224</v>
      </c>
      <c r="QOJ2207" s="582" t="s">
        <v>1224</v>
      </c>
      <c r="QOK2207" s="582" t="s">
        <v>1224</v>
      </c>
      <c r="QOL2207" s="582" t="s">
        <v>1224</v>
      </c>
      <c r="QOM2207" s="582" t="s">
        <v>1224</v>
      </c>
      <c r="QON2207" s="582" t="s">
        <v>1224</v>
      </c>
      <c r="QOO2207" s="582" t="s">
        <v>1224</v>
      </c>
      <c r="QOP2207" s="582" t="s">
        <v>1224</v>
      </c>
      <c r="QOQ2207" s="582" t="s">
        <v>1224</v>
      </c>
      <c r="QOR2207" s="582" t="s">
        <v>1224</v>
      </c>
      <c r="QOS2207" s="582" t="s">
        <v>1224</v>
      </c>
      <c r="QOT2207" s="582" t="s">
        <v>1224</v>
      </c>
      <c r="QOU2207" s="582" t="s">
        <v>1224</v>
      </c>
      <c r="QOV2207" s="582" t="s">
        <v>1224</v>
      </c>
      <c r="QOW2207" s="582" t="s">
        <v>1224</v>
      </c>
      <c r="QOX2207" s="582" t="s">
        <v>1224</v>
      </c>
      <c r="QOY2207" s="582" t="s">
        <v>1224</v>
      </c>
      <c r="QOZ2207" s="582" t="s">
        <v>1224</v>
      </c>
      <c r="QPA2207" s="582" t="s">
        <v>1224</v>
      </c>
      <c r="QPB2207" s="582" t="s">
        <v>1224</v>
      </c>
      <c r="QPC2207" s="582" t="s">
        <v>1224</v>
      </c>
      <c r="QPD2207" s="582" t="s">
        <v>1224</v>
      </c>
      <c r="QPE2207" s="582" t="s">
        <v>1224</v>
      </c>
      <c r="QPF2207" s="582" t="s">
        <v>1224</v>
      </c>
      <c r="QPG2207" s="582" t="s">
        <v>1224</v>
      </c>
      <c r="QPH2207" s="582" t="s">
        <v>1224</v>
      </c>
      <c r="QPI2207" s="582" t="s">
        <v>1224</v>
      </c>
      <c r="QPJ2207" s="582" t="s">
        <v>1224</v>
      </c>
      <c r="QPK2207" s="582" t="s">
        <v>1224</v>
      </c>
      <c r="QPL2207" s="582" t="s">
        <v>1224</v>
      </c>
      <c r="QPM2207" s="582" t="s">
        <v>1224</v>
      </c>
      <c r="QPN2207" s="582" t="s">
        <v>1224</v>
      </c>
      <c r="QPO2207" s="582" t="s">
        <v>1224</v>
      </c>
      <c r="QPP2207" s="582" t="s">
        <v>1224</v>
      </c>
      <c r="QPQ2207" s="582" t="s">
        <v>1224</v>
      </c>
      <c r="QPR2207" s="582" t="s">
        <v>1224</v>
      </c>
      <c r="QPS2207" s="582" t="s">
        <v>1224</v>
      </c>
      <c r="QPT2207" s="582" t="s">
        <v>1224</v>
      </c>
      <c r="QPU2207" s="582" t="s">
        <v>1224</v>
      </c>
      <c r="QPV2207" s="582" t="s">
        <v>1224</v>
      </c>
      <c r="QPW2207" s="582" t="s">
        <v>1224</v>
      </c>
      <c r="QPX2207" s="582" t="s">
        <v>1224</v>
      </c>
      <c r="QPY2207" s="582" t="s">
        <v>1224</v>
      </c>
      <c r="QPZ2207" s="582" t="s">
        <v>1224</v>
      </c>
      <c r="QQA2207" s="582" t="s">
        <v>1224</v>
      </c>
      <c r="QQB2207" s="582" t="s">
        <v>1224</v>
      </c>
      <c r="QQC2207" s="582" t="s">
        <v>1224</v>
      </c>
      <c r="QQD2207" s="582" t="s">
        <v>1224</v>
      </c>
      <c r="QQE2207" s="582" t="s">
        <v>1224</v>
      </c>
      <c r="QQF2207" s="582" t="s">
        <v>1224</v>
      </c>
      <c r="QQG2207" s="582" t="s">
        <v>1224</v>
      </c>
      <c r="QQH2207" s="582" t="s">
        <v>1224</v>
      </c>
      <c r="QQI2207" s="582" t="s">
        <v>1224</v>
      </c>
      <c r="QQJ2207" s="582" t="s">
        <v>1224</v>
      </c>
      <c r="QQK2207" s="582" t="s">
        <v>1224</v>
      </c>
      <c r="QQL2207" s="582" t="s">
        <v>1224</v>
      </c>
      <c r="QQM2207" s="582" t="s">
        <v>1224</v>
      </c>
      <c r="QQN2207" s="582" t="s">
        <v>1224</v>
      </c>
      <c r="QQO2207" s="582" t="s">
        <v>1224</v>
      </c>
      <c r="QQP2207" s="582" t="s">
        <v>1224</v>
      </c>
      <c r="QQQ2207" s="582" t="s">
        <v>1224</v>
      </c>
      <c r="QQR2207" s="582" t="s">
        <v>1224</v>
      </c>
      <c r="QQS2207" s="582" t="s">
        <v>1224</v>
      </c>
      <c r="QQT2207" s="582" t="s">
        <v>1224</v>
      </c>
      <c r="QQU2207" s="582" t="s">
        <v>1224</v>
      </c>
      <c r="QQV2207" s="582" t="s">
        <v>1224</v>
      </c>
      <c r="QQW2207" s="582" t="s">
        <v>1224</v>
      </c>
      <c r="QQX2207" s="582" t="s">
        <v>1224</v>
      </c>
      <c r="QQY2207" s="582" t="s">
        <v>1224</v>
      </c>
      <c r="QQZ2207" s="582" t="s">
        <v>1224</v>
      </c>
      <c r="QRA2207" s="582" t="s">
        <v>1224</v>
      </c>
      <c r="QRB2207" s="582" t="s">
        <v>1224</v>
      </c>
      <c r="QRC2207" s="582" t="s">
        <v>1224</v>
      </c>
      <c r="QRD2207" s="582" t="s">
        <v>1224</v>
      </c>
      <c r="QRE2207" s="582" t="s">
        <v>1224</v>
      </c>
      <c r="QRF2207" s="582" t="s">
        <v>1224</v>
      </c>
      <c r="QRG2207" s="582" t="s">
        <v>1224</v>
      </c>
      <c r="QRH2207" s="582" t="s">
        <v>1224</v>
      </c>
      <c r="QRI2207" s="582" t="s">
        <v>1224</v>
      </c>
      <c r="QRJ2207" s="582" t="s">
        <v>1224</v>
      </c>
      <c r="QRK2207" s="582" t="s">
        <v>1224</v>
      </c>
      <c r="QRL2207" s="582" t="s">
        <v>1224</v>
      </c>
      <c r="QRM2207" s="582" t="s">
        <v>1224</v>
      </c>
      <c r="QRN2207" s="582" t="s">
        <v>1224</v>
      </c>
      <c r="QRO2207" s="582" t="s">
        <v>1224</v>
      </c>
      <c r="QRP2207" s="582" t="s">
        <v>1224</v>
      </c>
      <c r="QRQ2207" s="582" t="s">
        <v>1224</v>
      </c>
      <c r="QRR2207" s="582" t="s">
        <v>1224</v>
      </c>
      <c r="QRS2207" s="582" t="s">
        <v>1224</v>
      </c>
      <c r="QRT2207" s="582" t="s">
        <v>1224</v>
      </c>
      <c r="QRU2207" s="582" t="s">
        <v>1224</v>
      </c>
      <c r="QRV2207" s="582" t="s">
        <v>1224</v>
      </c>
      <c r="QRW2207" s="582" t="s">
        <v>1224</v>
      </c>
      <c r="QRX2207" s="582" t="s">
        <v>1224</v>
      </c>
      <c r="QRY2207" s="582" t="s">
        <v>1224</v>
      </c>
      <c r="QRZ2207" s="582" t="s">
        <v>1224</v>
      </c>
      <c r="QSA2207" s="582" t="s">
        <v>1224</v>
      </c>
      <c r="QSB2207" s="582" t="s">
        <v>1224</v>
      </c>
      <c r="QSC2207" s="582" t="s">
        <v>1224</v>
      </c>
      <c r="QSD2207" s="582" t="s">
        <v>1224</v>
      </c>
      <c r="QSE2207" s="582" t="s">
        <v>1224</v>
      </c>
      <c r="QSF2207" s="582" t="s">
        <v>1224</v>
      </c>
      <c r="QSG2207" s="582" t="s">
        <v>1224</v>
      </c>
      <c r="QSH2207" s="582" t="s">
        <v>1224</v>
      </c>
      <c r="QSI2207" s="582" t="s">
        <v>1224</v>
      </c>
      <c r="QSJ2207" s="582" t="s">
        <v>1224</v>
      </c>
      <c r="QSK2207" s="582" t="s">
        <v>1224</v>
      </c>
      <c r="QSL2207" s="582" t="s">
        <v>1224</v>
      </c>
      <c r="QSM2207" s="582" t="s">
        <v>1224</v>
      </c>
      <c r="QSN2207" s="582" t="s">
        <v>1224</v>
      </c>
      <c r="QSO2207" s="582" t="s">
        <v>1224</v>
      </c>
      <c r="QSP2207" s="582" t="s">
        <v>1224</v>
      </c>
      <c r="QSQ2207" s="582" t="s">
        <v>1224</v>
      </c>
      <c r="QSR2207" s="582" t="s">
        <v>1224</v>
      </c>
      <c r="QSS2207" s="582" t="s">
        <v>1224</v>
      </c>
      <c r="QST2207" s="582" t="s">
        <v>1224</v>
      </c>
      <c r="QSU2207" s="582" t="s">
        <v>1224</v>
      </c>
      <c r="QSV2207" s="582" t="s">
        <v>1224</v>
      </c>
      <c r="QSW2207" s="582" t="s">
        <v>1224</v>
      </c>
      <c r="QSX2207" s="582" t="s">
        <v>1224</v>
      </c>
      <c r="QSY2207" s="582" t="s">
        <v>1224</v>
      </c>
      <c r="QSZ2207" s="582" t="s">
        <v>1224</v>
      </c>
      <c r="QTA2207" s="582" t="s">
        <v>1224</v>
      </c>
      <c r="QTB2207" s="582" t="s">
        <v>1224</v>
      </c>
      <c r="QTC2207" s="582" t="s">
        <v>1224</v>
      </c>
      <c r="QTD2207" s="582" t="s">
        <v>1224</v>
      </c>
      <c r="QTE2207" s="582" t="s">
        <v>1224</v>
      </c>
      <c r="QTF2207" s="582" t="s">
        <v>1224</v>
      </c>
      <c r="QTG2207" s="582" t="s">
        <v>1224</v>
      </c>
      <c r="QTH2207" s="582" t="s">
        <v>1224</v>
      </c>
      <c r="QTI2207" s="582" t="s">
        <v>1224</v>
      </c>
      <c r="QTJ2207" s="582" t="s">
        <v>1224</v>
      </c>
      <c r="QTK2207" s="582" t="s">
        <v>1224</v>
      </c>
      <c r="QTL2207" s="582" t="s">
        <v>1224</v>
      </c>
      <c r="QTM2207" s="582" t="s">
        <v>1224</v>
      </c>
      <c r="QTN2207" s="582" t="s">
        <v>1224</v>
      </c>
      <c r="QTO2207" s="582" t="s">
        <v>1224</v>
      </c>
      <c r="QTP2207" s="582" t="s">
        <v>1224</v>
      </c>
      <c r="QTQ2207" s="582" t="s">
        <v>1224</v>
      </c>
      <c r="QTR2207" s="582" t="s">
        <v>1224</v>
      </c>
      <c r="QTS2207" s="582" t="s">
        <v>1224</v>
      </c>
      <c r="QTT2207" s="582" t="s">
        <v>1224</v>
      </c>
      <c r="QTU2207" s="582" t="s">
        <v>1224</v>
      </c>
      <c r="QTV2207" s="582" t="s">
        <v>1224</v>
      </c>
      <c r="QTW2207" s="582" t="s">
        <v>1224</v>
      </c>
      <c r="QTX2207" s="582" t="s">
        <v>1224</v>
      </c>
      <c r="QTY2207" s="582" t="s">
        <v>1224</v>
      </c>
      <c r="QTZ2207" s="582" t="s">
        <v>1224</v>
      </c>
      <c r="QUA2207" s="582" t="s">
        <v>1224</v>
      </c>
      <c r="QUB2207" s="582" t="s">
        <v>1224</v>
      </c>
      <c r="QUC2207" s="582" t="s">
        <v>1224</v>
      </c>
      <c r="QUD2207" s="582" t="s">
        <v>1224</v>
      </c>
      <c r="QUE2207" s="582" t="s">
        <v>1224</v>
      </c>
      <c r="QUF2207" s="582" t="s">
        <v>1224</v>
      </c>
      <c r="QUG2207" s="582" t="s">
        <v>1224</v>
      </c>
      <c r="QUH2207" s="582" t="s">
        <v>1224</v>
      </c>
      <c r="QUI2207" s="582" t="s">
        <v>1224</v>
      </c>
      <c r="QUJ2207" s="582" t="s">
        <v>1224</v>
      </c>
      <c r="QUK2207" s="582" t="s">
        <v>1224</v>
      </c>
      <c r="QUL2207" s="582" t="s">
        <v>1224</v>
      </c>
      <c r="QUM2207" s="582" t="s">
        <v>1224</v>
      </c>
      <c r="QUN2207" s="582" t="s">
        <v>1224</v>
      </c>
      <c r="QUO2207" s="582" t="s">
        <v>1224</v>
      </c>
      <c r="QUP2207" s="582" t="s">
        <v>1224</v>
      </c>
      <c r="QUQ2207" s="582" t="s">
        <v>1224</v>
      </c>
      <c r="QUR2207" s="582" t="s">
        <v>1224</v>
      </c>
      <c r="QUS2207" s="582" t="s">
        <v>1224</v>
      </c>
      <c r="QUT2207" s="582" t="s">
        <v>1224</v>
      </c>
      <c r="QUU2207" s="582" t="s">
        <v>1224</v>
      </c>
      <c r="QUV2207" s="582" t="s">
        <v>1224</v>
      </c>
      <c r="QUW2207" s="582" t="s">
        <v>1224</v>
      </c>
      <c r="QUX2207" s="582" t="s">
        <v>1224</v>
      </c>
      <c r="QUY2207" s="582" t="s">
        <v>1224</v>
      </c>
      <c r="QUZ2207" s="582" t="s">
        <v>1224</v>
      </c>
      <c r="QVA2207" s="582" t="s">
        <v>1224</v>
      </c>
      <c r="QVB2207" s="582" t="s">
        <v>1224</v>
      </c>
      <c r="QVC2207" s="582" t="s">
        <v>1224</v>
      </c>
      <c r="QVD2207" s="582" t="s">
        <v>1224</v>
      </c>
      <c r="QVE2207" s="582" t="s">
        <v>1224</v>
      </c>
      <c r="QVF2207" s="582" t="s">
        <v>1224</v>
      </c>
      <c r="QVG2207" s="582" t="s">
        <v>1224</v>
      </c>
      <c r="QVH2207" s="582" t="s">
        <v>1224</v>
      </c>
      <c r="QVI2207" s="582" t="s">
        <v>1224</v>
      </c>
      <c r="QVJ2207" s="582" t="s">
        <v>1224</v>
      </c>
      <c r="QVK2207" s="582" t="s">
        <v>1224</v>
      </c>
      <c r="QVL2207" s="582" t="s">
        <v>1224</v>
      </c>
      <c r="QVM2207" s="582" t="s">
        <v>1224</v>
      </c>
      <c r="QVN2207" s="582" t="s">
        <v>1224</v>
      </c>
      <c r="QVO2207" s="582" t="s">
        <v>1224</v>
      </c>
      <c r="QVP2207" s="582" t="s">
        <v>1224</v>
      </c>
      <c r="QVQ2207" s="582" t="s">
        <v>1224</v>
      </c>
      <c r="QVR2207" s="582" t="s">
        <v>1224</v>
      </c>
      <c r="QVS2207" s="582" t="s">
        <v>1224</v>
      </c>
      <c r="QVT2207" s="582" t="s">
        <v>1224</v>
      </c>
      <c r="QVU2207" s="582" t="s">
        <v>1224</v>
      </c>
      <c r="QVV2207" s="582" t="s">
        <v>1224</v>
      </c>
      <c r="QVW2207" s="582" t="s">
        <v>1224</v>
      </c>
      <c r="QVX2207" s="582" t="s">
        <v>1224</v>
      </c>
      <c r="QVY2207" s="582" t="s">
        <v>1224</v>
      </c>
      <c r="QVZ2207" s="582" t="s">
        <v>1224</v>
      </c>
      <c r="QWA2207" s="582" t="s">
        <v>1224</v>
      </c>
      <c r="QWB2207" s="582" t="s">
        <v>1224</v>
      </c>
      <c r="QWC2207" s="582" t="s">
        <v>1224</v>
      </c>
      <c r="QWD2207" s="582" t="s">
        <v>1224</v>
      </c>
      <c r="QWE2207" s="582" t="s">
        <v>1224</v>
      </c>
      <c r="QWF2207" s="582" t="s">
        <v>1224</v>
      </c>
      <c r="QWG2207" s="582" t="s">
        <v>1224</v>
      </c>
      <c r="QWH2207" s="582" t="s">
        <v>1224</v>
      </c>
      <c r="QWI2207" s="582" t="s">
        <v>1224</v>
      </c>
      <c r="QWJ2207" s="582" t="s">
        <v>1224</v>
      </c>
      <c r="QWK2207" s="582" t="s">
        <v>1224</v>
      </c>
      <c r="QWL2207" s="582" t="s">
        <v>1224</v>
      </c>
      <c r="QWM2207" s="582" t="s">
        <v>1224</v>
      </c>
      <c r="QWN2207" s="582" t="s">
        <v>1224</v>
      </c>
      <c r="QWO2207" s="582" t="s">
        <v>1224</v>
      </c>
      <c r="QWP2207" s="582" t="s">
        <v>1224</v>
      </c>
      <c r="QWQ2207" s="582" t="s">
        <v>1224</v>
      </c>
      <c r="QWR2207" s="582" t="s">
        <v>1224</v>
      </c>
      <c r="QWS2207" s="582" t="s">
        <v>1224</v>
      </c>
      <c r="QWT2207" s="582" t="s">
        <v>1224</v>
      </c>
      <c r="QWU2207" s="582" t="s">
        <v>1224</v>
      </c>
      <c r="QWV2207" s="582" t="s">
        <v>1224</v>
      </c>
      <c r="QWW2207" s="582" t="s">
        <v>1224</v>
      </c>
      <c r="QWX2207" s="582" t="s">
        <v>1224</v>
      </c>
      <c r="QWY2207" s="582" t="s">
        <v>1224</v>
      </c>
      <c r="QWZ2207" s="582" t="s">
        <v>1224</v>
      </c>
      <c r="QXA2207" s="582" t="s">
        <v>1224</v>
      </c>
      <c r="QXB2207" s="582" t="s">
        <v>1224</v>
      </c>
      <c r="QXC2207" s="582" t="s">
        <v>1224</v>
      </c>
      <c r="QXD2207" s="582" t="s">
        <v>1224</v>
      </c>
      <c r="QXE2207" s="582" t="s">
        <v>1224</v>
      </c>
      <c r="QXF2207" s="582" t="s">
        <v>1224</v>
      </c>
      <c r="QXG2207" s="582" t="s">
        <v>1224</v>
      </c>
      <c r="QXH2207" s="582" t="s">
        <v>1224</v>
      </c>
      <c r="QXI2207" s="582" t="s">
        <v>1224</v>
      </c>
      <c r="QXJ2207" s="582" t="s">
        <v>1224</v>
      </c>
      <c r="QXK2207" s="582" t="s">
        <v>1224</v>
      </c>
      <c r="QXL2207" s="582" t="s">
        <v>1224</v>
      </c>
      <c r="QXM2207" s="582" t="s">
        <v>1224</v>
      </c>
      <c r="QXN2207" s="582" t="s">
        <v>1224</v>
      </c>
      <c r="QXO2207" s="582" t="s">
        <v>1224</v>
      </c>
      <c r="QXP2207" s="582" t="s">
        <v>1224</v>
      </c>
      <c r="QXQ2207" s="582" t="s">
        <v>1224</v>
      </c>
      <c r="QXR2207" s="582" t="s">
        <v>1224</v>
      </c>
      <c r="QXS2207" s="582" t="s">
        <v>1224</v>
      </c>
      <c r="QXT2207" s="582" t="s">
        <v>1224</v>
      </c>
      <c r="QXU2207" s="582" t="s">
        <v>1224</v>
      </c>
      <c r="QXV2207" s="582" t="s">
        <v>1224</v>
      </c>
      <c r="QXW2207" s="582" t="s">
        <v>1224</v>
      </c>
      <c r="QXX2207" s="582" t="s">
        <v>1224</v>
      </c>
      <c r="QXY2207" s="582" t="s">
        <v>1224</v>
      </c>
      <c r="QXZ2207" s="582" t="s">
        <v>1224</v>
      </c>
      <c r="QYA2207" s="582" t="s">
        <v>1224</v>
      </c>
      <c r="QYB2207" s="582" t="s">
        <v>1224</v>
      </c>
      <c r="QYC2207" s="582" t="s">
        <v>1224</v>
      </c>
      <c r="QYD2207" s="582" t="s">
        <v>1224</v>
      </c>
      <c r="QYE2207" s="582" t="s">
        <v>1224</v>
      </c>
      <c r="QYF2207" s="582" t="s">
        <v>1224</v>
      </c>
      <c r="QYG2207" s="582" t="s">
        <v>1224</v>
      </c>
      <c r="QYH2207" s="582" t="s">
        <v>1224</v>
      </c>
      <c r="QYI2207" s="582" t="s">
        <v>1224</v>
      </c>
      <c r="QYJ2207" s="582" t="s">
        <v>1224</v>
      </c>
      <c r="QYK2207" s="582" t="s">
        <v>1224</v>
      </c>
      <c r="QYL2207" s="582" t="s">
        <v>1224</v>
      </c>
      <c r="QYM2207" s="582" t="s">
        <v>1224</v>
      </c>
      <c r="QYN2207" s="582" t="s">
        <v>1224</v>
      </c>
      <c r="QYO2207" s="582" t="s">
        <v>1224</v>
      </c>
      <c r="QYP2207" s="582" t="s">
        <v>1224</v>
      </c>
      <c r="QYQ2207" s="582" t="s">
        <v>1224</v>
      </c>
      <c r="QYR2207" s="582" t="s">
        <v>1224</v>
      </c>
      <c r="QYS2207" s="582" t="s">
        <v>1224</v>
      </c>
      <c r="QYT2207" s="582" t="s">
        <v>1224</v>
      </c>
      <c r="QYU2207" s="582" t="s">
        <v>1224</v>
      </c>
      <c r="QYV2207" s="582" t="s">
        <v>1224</v>
      </c>
      <c r="QYW2207" s="582" t="s">
        <v>1224</v>
      </c>
      <c r="QYX2207" s="582" t="s">
        <v>1224</v>
      </c>
      <c r="QYY2207" s="582" t="s">
        <v>1224</v>
      </c>
      <c r="QYZ2207" s="582" t="s">
        <v>1224</v>
      </c>
      <c r="QZA2207" s="582" t="s">
        <v>1224</v>
      </c>
      <c r="QZB2207" s="582" t="s">
        <v>1224</v>
      </c>
      <c r="QZC2207" s="582" t="s">
        <v>1224</v>
      </c>
      <c r="QZD2207" s="582" t="s">
        <v>1224</v>
      </c>
      <c r="QZE2207" s="582" t="s">
        <v>1224</v>
      </c>
      <c r="QZF2207" s="582" t="s">
        <v>1224</v>
      </c>
      <c r="QZG2207" s="582" t="s">
        <v>1224</v>
      </c>
      <c r="QZH2207" s="582" t="s">
        <v>1224</v>
      </c>
      <c r="QZI2207" s="582" t="s">
        <v>1224</v>
      </c>
      <c r="QZJ2207" s="582" t="s">
        <v>1224</v>
      </c>
      <c r="QZK2207" s="582" t="s">
        <v>1224</v>
      </c>
      <c r="QZL2207" s="582" t="s">
        <v>1224</v>
      </c>
      <c r="QZM2207" s="582" t="s">
        <v>1224</v>
      </c>
      <c r="QZN2207" s="582" t="s">
        <v>1224</v>
      </c>
      <c r="QZO2207" s="582" t="s">
        <v>1224</v>
      </c>
      <c r="QZP2207" s="582" t="s">
        <v>1224</v>
      </c>
      <c r="QZQ2207" s="582" t="s">
        <v>1224</v>
      </c>
      <c r="QZR2207" s="582" t="s">
        <v>1224</v>
      </c>
      <c r="QZS2207" s="582" t="s">
        <v>1224</v>
      </c>
      <c r="QZT2207" s="582" t="s">
        <v>1224</v>
      </c>
      <c r="QZU2207" s="582" t="s">
        <v>1224</v>
      </c>
      <c r="QZV2207" s="582" t="s">
        <v>1224</v>
      </c>
      <c r="QZW2207" s="582" t="s">
        <v>1224</v>
      </c>
      <c r="QZX2207" s="582" t="s">
        <v>1224</v>
      </c>
      <c r="QZY2207" s="582" t="s">
        <v>1224</v>
      </c>
      <c r="QZZ2207" s="582" t="s">
        <v>1224</v>
      </c>
      <c r="RAA2207" s="582" t="s">
        <v>1224</v>
      </c>
      <c r="RAB2207" s="582" t="s">
        <v>1224</v>
      </c>
      <c r="RAC2207" s="582" t="s">
        <v>1224</v>
      </c>
      <c r="RAD2207" s="582" t="s">
        <v>1224</v>
      </c>
      <c r="RAE2207" s="582" t="s">
        <v>1224</v>
      </c>
      <c r="RAF2207" s="582" t="s">
        <v>1224</v>
      </c>
      <c r="RAG2207" s="582" t="s">
        <v>1224</v>
      </c>
      <c r="RAH2207" s="582" t="s">
        <v>1224</v>
      </c>
      <c r="RAI2207" s="582" t="s">
        <v>1224</v>
      </c>
      <c r="RAJ2207" s="582" t="s">
        <v>1224</v>
      </c>
      <c r="RAK2207" s="582" t="s">
        <v>1224</v>
      </c>
      <c r="RAL2207" s="582" t="s">
        <v>1224</v>
      </c>
      <c r="RAM2207" s="582" t="s">
        <v>1224</v>
      </c>
      <c r="RAN2207" s="582" t="s">
        <v>1224</v>
      </c>
      <c r="RAO2207" s="582" t="s">
        <v>1224</v>
      </c>
      <c r="RAP2207" s="582" t="s">
        <v>1224</v>
      </c>
      <c r="RAQ2207" s="582" t="s">
        <v>1224</v>
      </c>
      <c r="RAR2207" s="582" t="s">
        <v>1224</v>
      </c>
      <c r="RAS2207" s="582" t="s">
        <v>1224</v>
      </c>
      <c r="RAT2207" s="582" t="s">
        <v>1224</v>
      </c>
      <c r="RAU2207" s="582" t="s">
        <v>1224</v>
      </c>
      <c r="RAV2207" s="582" t="s">
        <v>1224</v>
      </c>
      <c r="RAW2207" s="582" t="s">
        <v>1224</v>
      </c>
      <c r="RAX2207" s="582" t="s">
        <v>1224</v>
      </c>
      <c r="RAY2207" s="582" t="s">
        <v>1224</v>
      </c>
      <c r="RAZ2207" s="582" t="s">
        <v>1224</v>
      </c>
      <c r="RBA2207" s="582" t="s">
        <v>1224</v>
      </c>
      <c r="RBB2207" s="582" t="s">
        <v>1224</v>
      </c>
      <c r="RBC2207" s="582" t="s">
        <v>1224</v>
      </c>
      <c r="RBD2207" s="582" t="s">
        <v>1224</v>
      </c>
      <c r="RBE2207" s="582" t="s">
        <v>1224</v>
      </c>
      <c r="RBF2207" s="582" t="s">
        <v>1224</v>
      </c>
      <c r="RBG2207" s="582" t="s">
        <v>1224</v>
      </c>
      <c r="RBH2207" s="582" t="s">
        <v>1224</v>
      </c>
      <c r="RBI2207" s="582" t="s">
        <v>1224</v>
      </c>
      <c r="RBJ2207" s="582" t="s">
        <v>1224</v>
      </c>
      <c r="RBK2207" s="582" t="s">
        <v>1224</v>
      </c>
      <c r="RBL2207" s="582" t="s">
        <v>1224</v>
      </c>
      <c r="RBM2207" s="582" t="s">
        <v>1224</v>
      </c>
      <c r="RBN2207" s="582" t="s">
        <v>1224</v>
      </c>
      <c r="RBO2207" s="582" t="s">
        <v>1224</v>
      </c>
      <c r="RBP2207" s="582" t="s">
        <v>1224</v>
      </c>
      <c r="RBQ2207" s="582" t="s">
        <v>1224</v>
      </c>
      <c r="RBR2207" s="582" t="s">
        <v>1224</v>
      </c>
      <c r="RBS2207" s="582" t="s">
        <v>1224</v>
      </c>
      <c r="RBT2207" s="582" t="s">
        <v>1224</v>
      </c>
      <c r="RBU2207" s="582" t="s">
        <v>1224</v>
      </c>
      <c r="RBV2207" s="582" t="s">
        <v>1224</v>
      </c>
      <c r="RBW2207" s="582" t="s">
        <v>1224</v>
      </c>
      <c r="RBX2207" s="582" t="s">
        <v>1224</v>
      </c>
      <c r="RBY2207" s="582" t="s">
        <v>1224</v>
      </c>
      <c r="RBZ2207" s="582" t="s">
        <v>1224</v>
      </c>
      <c r="RCA2207" s="582" t="s">
        <v>1224</v>
      </c>
      <c r="RCB2207" s="582" t="s">
        <v>1224</v>
      </c>
      <c r="RCC2207" s="582" t="s">
        <v>1224</v>
      </c>
      <c r="RCD2207" s="582" t="s">
        <v>1224</v>
      </c>
      <c r="RCE2207" s="582" t="s">
        <v>1224</v>
      </c>
      <c r="RCF2207" s="582" t="s">
        <v>1224</v>
      </c>
      <c r="RCG2207" s="582" t="s">
        <v>1224</v>
      </c>
      <c r="RCH2207" s="582" t="s">
        <v>1224</v>
      </c>
      <c r="RCI2207" s="582" t="s">
        <v>1224</v>
      </c>
      <c r="RCJ2207" s="582" t="s">
        <v>1224</v>
      </c>
      <c r="RCK2207" s="582" t="s">
        <v>1224</v>
      </c>
      <c r="RCL2207" s="582" t="s">
        <v>1224</v>
      </c>
      <c r="RCM2207" s="582" t="s">
        <v>1224</v>
      </c>
      <c r="RCN2207" s="582" t="s">
        <v>1224</v>
      </c>
      <c r="RCO2207" s="582" t="s">
        <v>1224</v>
      </c>
      <c r="RCP2207" s="582" t="s">
        <v>1224</v>
      </c>
      <c r="RCQ2207" s="582" t="s">
        <v>1224</v>
      </c>
      <c r="RCR2207" s="582" t="s">
        <v>1224</v>
      </c>
      <c r="RCS2207" s="582" t="s">
        <v>1224</v>
      </c>
      <c r="RCT2207" s="582" t="s">
        <v>1224</v>
      </c>
      <c r="RCU2207" s="582" t="s">
        <v>1224</v>
      </c>
      <c r="RCV2207" s="582" t="s">
        <v>1224</v>
      </c>
      <c r="RCW2207" s="582" t="s">
        <v>1224</v>
      </c>
      <c r="RCX2207" s="582" t="s">
        <v>1224</v>
      </c>
      <c r="RCY2207" s="582" t="s">
        <v>1224</v>
      </c>
      <c r="RCZ2207" s="582" t="s">
        <v>1224</v>
      </c>
      <c r="RDA2207" s="582" t="s">
        <v>1224</v>
      </c>
      <c r="RDB2207" s="582" t="s">
        <v>1224</v>
      </c>
      <c r="RDC2207" s="582" t="s">
        <v>1224</v>
      </c>
      <c r="RDD2207" s="582" t="s">
        <v>1224</v>
      </c>
      <c r="RDE2207" s="582" t="s">
        <v>1224</v>
      </c>
      <c r="RDF2207" s="582" t="s">
        <v>1224</v>
      </c>
      <c r="RDG2207" s="582" t="s">
        <v>1224</v>
      </c>
      <c r="RDH2207" s="582" t="s">
        <v>1224</v>
      </c>
      <c r="RDI2207" s="582" t="s">
        <v>1224</v>
      </c>
      <c r="RDJ2207" s="582" t="s">
        <v>1224</v>
      </c>
      <c r="RDK2207" s="582" t="s">
        <v>1224</v>
      </c>
      <c r="RDL2207" s="582" t="s">
        <v>1224</v>
      </c>
      <c r="RDM2207" s="582" t="s">
        <v>1224</v>
      </c>
      <c r="RDN2207" s="582" t="s">
        <v>1224</v>
      </c>
      <c r="RDO2207" s="582" t="s">
        <v>1224</v>
      </c>
      <c r="RDP2207" s="582" t="s">
        <v>1224</v>
      </c>
      <c r="RDQ2207" s="582" t="s">
        <v>1224</v>
      </c>
      <c r="RDR2207" s="582" t="s">
        <v>1224</v>
      </c>
      <c r="RDS2207" s="582" t="s">
        <v>1224</v>
      </c>
      <c r="RDT2207" s="582" t="s">
        <v>1224</v>
      </c>
      <c r="RDU2207" s="582" t="s">
        <v>1224</v>
      </c>
      <c r="RDV2207" s="582" t="s">
        <v>1224</v>
      </c>
      <c r="RDW2207" s="582" t="s">
        <v>1224</v>
      </c>
      <c r="RDX2207" s="582" t="s">
        <v>1224</v>
      </c>
      <c r="RDY2207" s="582" t="s">
        <v>1224</v>
      </c>
      <c r="RDZ2207" s="582" t="s">
        <v>1224</v>
      </c>
      <c r="REA2207" s="582" t="s">
        <v>1224</v>
      </c>
      <c r="REB2207" s="582" t="s">
        <v>1224</v>
      </c>
      <c r="REC2207" s="582" t="s">
        <v>1224</v>
      </c>
      <c r="RED2207" s="582" t="s">
        <v>1224</v>
      </c>
      <c r="REE2207" s="582" t="s">
        <v>1224</v>
      </c>
      <c r="REF2207" s="582" t="s">
        <v>1224</v>
      </c>
      <c r="REG2207" s="582" t="s">
        <v>1224</v>
      </c>
      <c r="REH2207" s="582" t="s">
        <v>1224</v>
      </c>
      <c r="REI2207" s="582" t="s">
        <v>1224</v>
      </c>
      <c r="REJ2207" s="582" t="s">
        <v>1224</v>
      </c>
      <c r="REK2207" s="582" t="s">
        <v>1224</v>
      </c>
      <c r="REL2207" s="582" t="s">
        <v>1224</v>
      </c>
      <c r="REM2207" s="582" t="s">
        <v>1224</v>
      </c>
      <c r="REN2207" s="582" t="s">
        <v>1224</v>
      </c>
      <c r="REO2207" s="582" t="s">
        <v>1224</v>
      </c>
      <c r="REP2207" s="582" t="s">
        <v>1224</v>
      </c>
      <c r="REQ2207" s="582" t="s">
        <v>1224</v>
      </c>
      <c r="RER2207" s="582" t="s">
        <v>1224</v>
      </c>
      <c r="RES2207" s="582" t="s">
        <v>1224</v>
      </c>
      <c r="RET2207" s="582" t="s">
        <v>1224</v>
      </c>
      <c r="REU2207" s="582" t="s">
        <v>1224</v>
      </c>
      <c r="REV2207" s="582" t="s">
        <v>1224</v>
      </c>
      <c r="REW2207" s="582" t="s">
        <v>1224</v>
      </c>
      <c r="REX2207" s="582" t="s">
        <v>1224</v>
      </c>
      <c r="REY2207" s="582" t="s">
        <v>1224</v>
      </c>
      <c r="REZ2207" s="582" t="s">
        <v>1224</v>
      </c>
      <c r="RFA2207" s="582" t="s">
        <v>1224</v>
      </c>
      <c r="RFB2207" s="582" t="s">
        <v>1224</v>
      </c>
      <c r="RFC2207" s="582" t="s">
        <v>1224</v>
      </c>
      <c r="RFD2207" s="582" t="s">
        <v>1224</v>
      </c>
      <c r="RFE2207" s="582" t="s">
        <v>1224</v>
      </c>
      <c r="RFF2207" s="582" t="s">
        <v>1224</v>
      </c>
      <c r="RFG2207" s="582" t="s">
        <v>1224</v>
      </c>
      <c r="RFH2207" s="582" t="s">
        <v>1224</v>
      </c>
      <c r="RFI2207" s="582" t="s">
        <v>1224</v>
      </c>
      <c r="RFJ2207" s="582" t="s">
        <v>1224</v>
      </c>
      <c r="RFK2207" s="582" t="s">
        <v>1224</v>
      </c>
      <c r="RFL2207" s="582" t="s">
        <v>1224</v>
      </c>
      <c r="RFM2207" s="582" t="s">
        <v>1224</v>
      </c>
      <c r="RFN2207" s="582" t="s">
        <v>1224</v>
      </c>
      <c r="RFO2207" s="582" t="s">
        <v>1224</v>
      </c>
      <c r="RFP2207" s="582" t="s">
        <v>1224</v>
      </c>
      <c r="RFQ2207" s="582" t="s">
        <v>1224</v>
      </c>
      <c r="RFR2207" s="582" t="s">
        <v>1224</v>
      </c>
      <c r="RFS2207" s="582" t="s">
        <v>1224</v>
      </c>
      <c r="RFT2207" s="582" t="s">
        <v>1224</v>
      </c>
      <c r="RFU2207" s="582" t="s">
        <v>1224</v>
      </c>
      <c r="RFV2207" s="582" t="s">
        <v>1224</v>
      </c>
      <c r="RFW2207" s="582" t="s">
        <v>1224</v>
      </c>
      <c r="RFX2207" s="582" t="s">
        <v>1224</v>
      </c>
      <c r="RFY2207" s="582" t="s">
        <v>1224</v>
      </c>
      <c r="RFZ2207" s="582" t="s">
        <v>1224</v>
      </c>
      <c r="RGA2207" s="582" t="s">
        <v>1224</v>
      </c>
      <c r="RGB2207" s="582" t="s">
        <v>1224</v>
      </c>
      <c r="RGC2207" s="582" t="s">
        <v>1224</v>
      </c>
      <c r="RGD2207" s="582" t="s">
        <v>1224</v>
      </c>
      <c r="RGE2207" s="582" t="s">
        <v>1224</v>
      </c>
      <c r="RGF2207" s="582" t="s">
        <v>1224</v>
      </c>
      <c r="RGG2207" s="582" t="s">
        <v>1224</v>
      </c>
      <c r="RGH2207" s="582" t="s">
        <v>1224</v>
      </c>
      <c r="RGI2207" s="582" t="s">
        <v>1224</v>
      </c>
      <c r="RGJ2207" s="582" t="s">
        <v>1224</v>
      </c>
      <c r="RGK2207" s="582" t="s">
        <v>1224</v>
      </c>
      <c r="RGL2207" s="582" t="s">
        <v>1224</v>
      </c>
      <c r="RGM2207" s="582" t="s">
        <v>1224</v>
      </c>
      <c r="RGN2207" s="582" t="s">
        <v>1224</v>
      </c>
      <c r="RGO2207" s="582" t="s">
        <v>1224</v>
      </c>
      <c r="RGP2207" s="582" t="s">
        <v>1224</v>
      </c>
      <c r="RGQ2207" s="582" t="s">
        <v>1224</v>
      </c>
      <c r="RGR2207" s="582" t="s">
        <v>1224</v>
      </c>
      <c r="RGS2207" s="582" t="s">
        <v>1224</v>
      </c>
      <c r="RGT2207" s="582" t="s">
        <v>1224</v>
      </c>
      <c r="RGU2207" s="582" t="s">
        <v>1224</v>
      </c>
      <c r="RGV2207" s="582" t="s">
        <v>1224</v>
      </c>
      <c r="RGW2207" s="582" t="s">
        <v>1224</v>
      </c>
      <c r="RGX2207" s="582" t="s">
        <v>1224</v>
      </c>
      <c r="RGY2207" s="582" t="s">
        <v>1224</v>
      </c>
      <c r="RGZ2207" s="582" t="s">
        <v>1224</v>
      </c>
      <c r="RHA2207" s="582" t="s">
        <v>1224</v>
      </c>
      <c r="RHB2207" s="582" t="s">
        <v>1224</v>
      </c>
      <c r="RHC2207" s="582" t="s">
        <v>1224</v>
      </c>
      <c r="RHD2207" s="582" t="s">
        <v>1224</v>
      </c>
      <c r="RHE2207" s="582" t="s">
        <v>1224</v>
      </c>
      <c r="RHF2207" s="582" t="s">
        <v>1224</v>
      </c>
      <c r="RHG2207" s="582" t="s">
        <v>1224</v>
      </c>
      <c r="RHH2207" s="582" t="s">
        <v>1224</v>
      </c>
      <c r="RHI2207" s="582" t="s">
        <v>1224</v>
      </c>
      <c r="RHJ2207" s="582" t="s">
        <v>1224</v>
      </c>
      <c r="RHK2207" s="582" t="s">
        <v>1224</v>
      </c>
      <c r="RHL2207" s="582" t="s">
        <v>1224</v>
      </c>
      <c r="RHM2207" s="582" t="s">
        <v>1224</v>
      </c>
      <c r="RHN2207" s="582" t="s">
        <v>1224</v>
      </c>
      <c r="RHO2207" s="582" t="s">
        <v>1224</v>
      </c>
      <c r="RHP2207" s="582" t="s">
        <v>1224</v>
      </c>
      <c r="RHQ2207" s="582" t="s">
        <v>1224</v>
      </c>
      <c r="RHR2207" s="582" t="s">
        <v>1224</v>
      </c>
      <c r="RHS2207" s="582" t="s">
        <v>1224</v>
      </c>
      <c r="RHT2207" s="582" t="s">
        <v>1224</v>
      </c>
      <c r="RHU2207" s="582" t="s">
        <v>1224</v>
      </c>
      <c r="RHV2207" s="582" t="s">
        <v>1224</v>
      </c>
      <c r="RHW2207" s="582" t="s">
        <v>1224</v>
      </c>
      <c r="RHX2207" s="582" t="s">
        <v>1224</v>
      </c>
      <c r="RHY2207" s="582" t="s">
        <v>1224</v>
      </c>
      <c r="RHZ2207" s="582" t="s">
        <v>1224</v>
      </c>
      <c r="RIA2207" s="582" t="s">
        <v>1224</v>
      </c>
      <c r="RIB2207" s="582" t="s">
        <v>1224</v>
      </c>
      <c r="RIC2207" s="582" t="s">
        <v>1224</v>
      </c>
      <c r="RID2207" s="582" t="s">
        <v>1224</v>
      </c>
      <c r="RIE2207" s="582" t="s">
        <v>1224</v>
      </c>
      <c r="RIF2207" s="582" t="s">
        <v>1224</v>
      </c>
      <c r="RIG2207" s="582" t="s">
        <v>1224</v>
      </c>
      <c r="RIH2207" s="582" t="s">
        <v>1224</v>
      </c>
      <c r="RII2207" s="582" t="s">
        <v>1224</v>
      </c>
      <c r="RIJ2207" s="582" t="s">
        <v>1224</v>
      </c>
      <c r="RIK2207" s="582" t="s">
        <v>1224</v>
      </c>
      <c r="RIL2207" s="582" t="s">
        <v>1224</v>
      </c>
      <c r="RIM2207" s="582" t="s">
        <v>1224</v>
      </c>
      <c r="RIN2207" s="582" t="s">
        <v>1224</v>
      </c>
      <c r="RIO2207" s="582" t="s">
        <v>1224</v>
      </c>
      <c r="RIP2207" s="582" t="s">
        <v>1224</v>
      </c>
      <c r="RIQ2207" s="582" t="s">
        <v>1224</v>
      </c>
      <c r="RIR2207" s="582" t="s">
        <v>1224</v>
      </c>
      <c r="RIS2207" s="582" t="s">
        <v>1224</v>
      </c>
      <c r="RIT2207" s="582" t="s">
        <v>1224</v>
      </c>
      <c r="RIU2207" s="582" t="s">
        <v>1224</v>
      </c>
      <c r="RIV2207" s="582" t="s">
        <v>1224</v>
      </c>
      <c r="RIW2207" s="582" t="s">
        <v>1224</v>
      </c>
      <c r="RIX2207" s="582" t="s">
        <v>1224</v>
      </c>
      <c r="RIY2207" s="582" t="s">
        <v>1224</v>
      </c>
      <c r="RIZ2207" s="582" t="s">
        <v>1224</v>
      </c>
      <c r="RJA2207" s="582" t="s">
        <v>1224</v>
      </c>
      <c r="RJB2207" s="582" t="s">
        <v>1224</v>
      </c>
      <c r="RJC2207" s="582" t="s">
        <v>1224</v>
      </c>
      <c r="RJD2207" s="582" t="s">
        <v>1224</v>
      </c>
      <c r="RJE2207" s="582" t="s">
        <v>1224</v>
      </c>
      <c r="RJF2207" s="582" t="s">
        <v>1224</v>
      </c>
      <c r="RJG2207" s="582" t="s">
        <v>1224</v>
      </c>
      <c r="RJH2207" s="582" t="s">
        <v>1224</v>
      </c>
      <c r="RJI2207" s="582" t="s">
        <v>1224</v>
      </c>
      <c r="RJJ2207" s="582" t="s">
        <v>1224</v>
      </c>
      <c r="RJK2207" s="582" t="s">
        <v>1224</v>
      </c>
      <c r="RJL2207" s="582" t="s">
        <v>1224</v>
      </c>
      <c r="RJM2207" s="582" t="s">
        <v>1224</v>
      </c>
      <c r="RJN2207" s="582" t="s">
        <v>1224</v>
      </c>
      <c r="RJO2207" s="582" t="s">
        <v>1224</v>
      </c>
      <c r="RJP2207" s="582" t="s">
        <v>1224</v>
      </c>
      <c r="RJQ2207" s="582" t="s">
        <v>1224</v>
      </c>
      <c r="RJR2207" s="582" t="s">
        <v>1224</v>
      </c>
      <c r="RJS2207" s="582" t="s">
        <v>1224</v>
      </c>
      <c r="RJT2207" s="582" t="s">
        <v>1224</v>
      </c>
      <c r="RJU2207" s="582" t="s">
        <v>1224</v>
      </c>
      <c r="RJV2207" s="582" t="s">
        <v>1224</v>
      </c>
      <c r="RJW2207" s="582" t="s">
        <v>1224</v>
      </c>
      <c r="RJX2207" s="582" t="s">
        <v>1224</v>
      </c>
      <c r="RJY2207" s="582" t="s">
        <v>1224</v>
      </c>
      <c r="RJZ2207" s="582" t="s">
        <v>1224</v>
      </c>
      <c r="RKA2207" s="582" t="s">
        <v>1224</v>
      </c>
      <c r="RKB2207" s="582" t="s">
        <v>1224</v>
      </c>
      <c r="RKC2207" s="582" t="s">
        <v>1224</v>
      </c>
      <c r="RKD2207" s="582" t="s">
        <v>1224</v>
      </c>
      <c r="RKE2207" s="582" t="s">
        <v>1224</v>
      </c>
      <c r="RKF2207" s="582" t="s">
        <v>1224</v>
      </c>
      <c r="RKG2207" s="582" t="s">
        <v>1224</v>
      </c>
      <c r="RKH2207" s="582" t="s">
        <v>1224</v>
      </c>
      <c r="RKI2207" s="582" t="s">
        <v>1224</v>
      </c>
      <c r="RKJ2207" s="582" t="s">
        <v>1224</v>
      </c>
      <c r="RKK2207" s="582" t="s">
        <v>1224</v>
      </c>
      <c r="RKL2207" s="582" t="s">
        <v>1224</v>
      </c>
      <c r="RKM2207" s="582" t="s">
        <v>1224</v>
      </c>
      <c r="RKN2207" s="582" t="s">
        <v>1224</v>
      </c>
      <c r="RKO2207" s="582" t="s">
        <v>1224</v>
      </c>
      <c r="RKP2207" s="582" t="s">
        <v>1224</v>
      </c>
      <c r="RKQ2207" s="582" t="s">
        <v>1224</v>
      </c>
      <c r="RKR2207" s="582" t="s">
        <v>1224</v>
      </c>
      <c r="RKS2207" s="582" t="s">
        <v>1224</v>
      </c>
      <c r="RKT2207" s="582" t="s">
        <v>1224</v>
      </c>
      <c r="RKU2207" s="582" t="s">
        <v>1224</v>
      </c>
      <c r="RKV2207" s="582" t="s">
        <v>1224</v>
      </c>
      <c r="RKW2207" s="582" t="s">
        <v>1224</v>
      </c>
      <c r="RKX2207" s="582" t="s">
        <v>1224</v>
      </c>
      <c r="RKY2207" s="582" t="s">
        <v>1224</v>
      </c>
      <c r="RKZ2207" s="582" t="s">
        <v>1224</v>
      </c>
      <c r="RLA2207" s="582" t="s">
        <v>1224</v>
      </c>
      <c r="RLB2207" s="582" t="s">
        <v>1224</v>
      </c>
      <c r="RLC2207" s="582" t="s">
        <v>1224</v>
      </c>
      <c r="RLD2207" s="582" t="s">
        <v>1224</v>
      </c>
      <c r="RLE2207" s="582" t="s">
        <v>1224</v>
      </c>
      <c r="RLF2207" s="582" t="s">
        <v>1224</v>
      </c>
      <c r="RLG2207" s="582" t="s">
        <v>1224</v>
      </c>
      <c r="RLH2207" s="582" t="s">
        <v>1224</v>
      </c>
      <c r="RLI2207" s="582" t="s">
        <v>1224</v>
      </c>
      <c r="RLJ2207" s="582" t="s">
        <v>1224</v>
      </c>
      <c r="RLK2207" s="582" t="s">
        <v>1224</v>
      </c>
      <c r="RLL2207" s="582" t="s">
        <v>1224</v>
      </c>
      <c r="RLM2207" s="582" t="s">
        <v>1224</v>
      </c>
      <c r="RLN2207" s="582" t="s">
        <v>1224</v>
      </c>
      <c r="RLO2207" s="582" t="s">
        <v>1224</v>
      </c>
      <c r="RLP2207" s="582" t="s">
        <v>1224</v>
      </c>
      <c r="RLQ2207" s="582" t="s">
        <v>1224</v>
      </c>
      <c r="RLR2207" s="582" t="s">
        <v>1224</v>
      </c>
      <c r="RLS2207" s="582" t="s">
        <v>1224</v>
      </c>
      <c r="RLT2207" s="582" t="s">
        <v>1224</v>
      </c>
      <c r="RLU2207" s="582" t="s">
        <v>1224</v>
      </c>
      <c r="RLV2207" s="582" t="s">
        <v>1224</v>
      </c>
      <c r="RLW2207" s="582" t="s">
        <v>1224</v>
      </c>
      <c r="RLX2207" s="582" t="s">
        <v>1224</v>
      </c>
      <c r="RLY2207" s="582" t="s">
        <v>1224</v>
      </c>
      <c r="RLZ2207" s="582" t="s">
        <v>1224</v>
      </c>
      <c r="RMA2207" s="582" t="s">
        <v>1224</v>
      </c>
      <c r="RMB2207" s="582" t="s">
        <v>1224</v>
      </c>
      <c r="RMC2207" s="582" t="s">
        <v>1224</v>
      </c>
      <c r="RMD2207" s="582" t="s">
        <v>1224</v>
      </c>
      <c r="RME2207" s="582" t="s">
        <v>1224</v>
      </c>
      <c r="RMF2207" s="582" t="s">
        <v>1224</v>
      </c>
      <c r="RMG2207" s="582" t="s">
        <v>1224</v>
      </c>
      <c r="RMH2207" s="582" t="s">
        <v>1224</v>
      </c>
      <c r="RMI2207" s="582" t="s">
        <v>1224</v>
      </c>
      <c r="RMJ2207" s="582" t="s">
        <v>1224</v>
      </c>
      <c r="RMK2207" s="582" t="s">
        <v>1224</v>
      </c>
      <c r="RML2207" s="582" t="s">
        <v>1224</v>
      </c>
      <c r="RMM2207" s="582" t="s">
        <v>1224</v>
      </c>
      <c r="RMN2207" s="582" t="s">
        <v>1224</v>
      </c>
      <c r="RMO2207" s="582" t="s">
        <v>1224</v>
      </c>
      <c r="RMP2207" s="582" t="s">
        <v>1224</v>
      </c>
      <c r="RMQ2207" s="582" t="s">
        <v>1224</v>
      </c>
      <c r="RMR2207" s="582" t="s">
        <v>1224</v>
      </c>
      <c r="RMS2207" s="582" t="s">
        <v>1224</v>
      </c>
      <c r="RMT2207" s="582" t="s">
        <v>1224</v>
      </c>
      <c r="RMU2207" s="582" t="s">
        <v>1224</v>
      </c>
      <c r="RMV2207" s="582" t="s">
        <v>1224</v>
      </c>
      <c r="RMW2207" s="582" t="s">
        <v>1224</v>
      </c>
      <c r="RMX2207" s="582" t="s">
        <v>1224</v>
      </c>
      <c r="RMY2207" s="582" t="s">
        <v>1224</v>
      </c>
      <c r="RMZ2207" s="582" t="s">
        <v>1224</v>
      </c>
      <c r="RNA2207" s="582" t="s">
        <v>1224</v>
      </c>
      <c r="RNB2207" s="582" t="s">
        <v>1224</v>
      </c>
      <c r="RNC2207" s="582" t="s">
        <v>1224</v>
      </c>
      <c r="RND2207" s="582" t="s">
        <v>1224</v>
      </c>
      <c r="RNE2207" s="582" t="s">
        <v>1224</v>
      </c>
      <c r="RNF2207" s="582" t="s">
        <v>1224</v>
      </c>
      <c r="RNG2207" s="582" t="s">
        <v>1224</v>
      </c>
      <c r="RNH2207" s="582" t="s">
        <v>1224</v>
      </c>
      <c r="RNI2207" s="582" t="s">
        <v>1224</v>
      </c>
      <c r="RNJ2207" s="582" t="s">
        <v>1224</v>
      </c>
      <c r="RNK2207" s="582" t="s">
        <v>1224</v>
      </c>
      <c r="RNL2207" s="582" t="s">
        <v>1224</v>
      </c>
      <c r="RNM2207" s="582" t="s">
        <v>1224</v>
      </c>
      <c r="RNN2207" s="582" t="s">
        <v>1224</v>
      </c>
      <c r="RNO2207" s="582" t="s">
        <v>1224</v>
      </c>
      <c r="RNP2207" s="582" t="s">
        <v>1224</v>
      </c>
      <c r="RNQ2207" s="582" t="s">
        <v>1224</v>
      </c>
      <c r="RNR2207" s="582" t="s">
        <v>1224</v>
      </c>
      <c r="RNS2207" s="582" t="s">
        <v>1224</v>
      </c>
      <c r="RNT2207" s="582" t="s">
        <v>1224</v>
      </c>
      <c r="RNU2207" s="582" t="s">
        <v>1224</v>
      </c>
      <c r="RNV2207" s="582" t="s">
        <v>1224</v>
      </c>
      <c r="RNW2207" s="582" t="s">
        <v>1224</v>
      </c>
      <c r="RNX2207" s="582" t="s">
        <v>1224</v>
      </c>
      <c r="RNY2207" s="582" t="s">
        <v>1224</v>
      </c>
      <c r="RNZ2207" s="582" t="s">
        <v>1224</v>
      </c>
      <c r="ROA2207" s="582" t="s">
        <v>1224</v>
      </c>
      <c r="ROB2207" s="582" t="s">
        <v>1224</v>
      </c>
      <c r="ROC2207" s="582" t="s">
        <v>1224</v>
      </c>
      <c r="ROD2207" s="582" t="s">
        <v>1224</v>
      </c>
      <c r="ROE2207" s="582" t="s">
        <v>1224</v>
      </c>
      <c r="ROF2207" s="582" t="s">
        <v>1224</v>
      </c>
      <c r="ROG2207" s="582" t="s">
        <v>1224</v>
      </c>
      <c r="ROH2207" s="582" t="s">
        <v>1224</v>
      </c>
      <c r="ROI2207" s="582" t="s">
        <v>1224</v>
      </c>
      <c r="ROJ2207" s="582" t="s">
        <v>1224</v>
      </c>
      <c r="ROK2207" s="582" t="s">
        <v>1224</v>
      </c>
      <c r="ROL2207" s="582" t="s">
        <v>1224</v>
      </c>
      <c r="ROM2207" s="582" t="s">
        <v>1224</v>
      </c>
      <c r="RON2207" s="582" t="s">
        <v>1224</v>
      </c>
      <c r="ROO2207" s="582" t="s">
        <v>1224</v>
      </c>
      <c r="ROP2207" s="582" t="s">
        <v>1224</v>
      </c>
      <c r="ROQ2207" s="582" t="s">
        <v>1224</v>
      </c>
      <c r="ROR2207" s="582" t="s">
        <v>1224</v>
      </c>
      <c r="ROS2207" s="582" t="s">
        <v>1224</v>
      </c>
      <c r="ROT2207" s="582" t="s">
        <v>1224</v>
      </c>
      <c r="ROU2207" s="582" t="s">
        <v>1224</v>
      </c>
      <c r="ROV2207" s="582" t="s">
        <v>1224</v>
      </c>
      <c r="ROW2207" s="582" t="s">
        <v>1224</v>
      </c>
      <c r="ROX2207" s="582" t="s">
        <v>1224</v>
      </c>
      <c r="ROY2207" s="582" t="s">
        <v>1224</v>
      </c>
      <c r="ROZ2207" s="582" t="s">
        <v>1224</v>
      </c>
      <c r="RPA2207" s="582" t="s">
        <v>1224</v>
      </c>
      <c r="RPB2207" s="582" t="s">
        <v>1224</v>
      </c>
      <c r="RPC2207" s="582" t="s">
        <v>1224</v>
      </c>
      <c r="RPD2207" s="582" t="s">
        <v>1224</v>
      </c>
      <c r="RPE2207" s="582" t="s">
        <v>1224</v>
      </c>
      <c r="RPF2207" s="582" t="s">
        <v>1224</v>
      </c>
      <c r="RPG2207" s="582" t="s">
        <v>1224</v>
      </c>
      <c r="RPH2207" s="582" t="s">
        <v>1224</v>
      </c>
      <c r="RPI2207" s="582" t="s">
        <v>1224</v>
      </c>
      <c r="RPJ2207" s="582" t="s">
        <v>1224</v>
      </c>
      <c r="RPK2207" s="582" t="s">
        <v>1224</v>
      </c>
      <c r="RPL2207" s="582" t="s">
        <v>1224</v>
      </c>
      <c r="RPM2207" s="582" t="s">
        <v>1224</v>
      </c>
      <c r="RPN2207" s="582" t="s">
        <v>1224</v>
      </c>
      <c r="RPO2207" s="582" t="s">
        <v>1224</v>
      </c>
      <c r="RPP2207" s="582" t="s">
        <v>1224</v>
      </c>
      <c r="RPQ2207" s="582" t="s">
        <v>1224</v>
      </c>
      <c r="RPR2207" s="582" t="s">
        <v>1224</v>
      </c>
      <c r="RPS2207" s="582" t="s">
        <v>1224</v>
      </c>
      <c r="RPT2207" s="582" t="s">
        <v>1224</v>
      </c>
      <c r="RPU2207" s="582" t="s">
        <v>1224</v>
      </c>
      <c r="RPV2207" s="582" t="s">
        <v>1224</v>
      </c>
      <c r="RPW2207" s="582" t="s">
        <v>1224</v>
      </c>
      <c r="RPX2207" s="582" t="s">
        <v>1224</v>
      </c>
      <c r="RPY2207" s="582" t="s">
        <v>1224</v>
      </c>
      <c r="RPZ2207" s="582" t="s">
        <v>1224</v>
      </c>
      <c r="RQA2207" s="582" t="s">
        <v>1224</v>
      </c>
      <c r="RQB2207" s="582" t="s">
        <v>1224</v>
      </c>
      <c r="RQC2207" s="582" t="s">
        <v>1224</v>
      </c>
      <c r="RQD2207" s="582" t="s">
        <v>1224</v>
      </c>
      <c r="RQE2207" s="582" t="s">
        <v>1224</v>
      </c>
      <c r="RQF2207" s="582" t="s">
        <v>1224</v>
      </c>
      <c r="RQG2207" s="582" t="s">
        <v>1224</v>
      </c>
      <c r="RQH2207" s="582" t="s">
        <v>1224</v>
      </c>
      <c r="RQI2207" s="582" t="s">
        <v>1224</v>
      </c>
      <c r="RQJ2207" s="582" t="s">
        <v>1224</v>
      </c>
      <c r="RQK2207" s="582" t="s">
        <v>1224</v>
      </c>
      <c r="RQL2207" s="582" t="s">
        <v>1224</v>
      </c>
      <c r="RQM2207" s="582" t="s">
        <v>1224</v>
      </c>
      <c r="RQN2207" s="582" t="s">
        <v>1224</v>
      </c>
      <c r="RQO2207" s="582" t="s">
        <v>1224</v>
      </c>
      <c r="RQP2207" s="582" t="s">
        <v>1224</v>
      </c>
      <c r="RQQ2207" s="582" t="s">
        <v>1224</v>
      </c>
      <c r="RQR2207" s="582" t="s">
        <v>1224</v>
      </c>
      <c r="RQS2207" s="582" t="s">
        <v>1224</v>
      </c>
      <c r="RQT2207" s="582" t="s">
        <v>1224</v>
      </c>
      <c r="RQU2207" s="582" t="s">
        <v>1224</v>
      </c>
      <c r="RQV2207" s="582" t="s">
        <v>1224</v>
      </c>
      <c r="RQW2207" s="582" t="s">
        <v>1224</v>
      </c>
      <c r="RQX2207" s="582" t="s">
        <v>1224</v>
      </c>
      <c r="RQY2207" s="582" t="s">
        <v>1224</v>
      </c>
      <c r="RQZ2207" s="582" t="s">
        <v>1224</v>
      </c>
      <c r="RRA2207" s="582" t="s">
        <v>1224</v>
      </c>
      <c r="RRB2207" s="582" t="s">
        <v>1224</v>
      </c>
      <c r="RRC2207" s="582" t="s">
        <v>1224</v>
      </c>
      <c r="RRD2207" s="582" t="s">
        <v>1224</v>
      </c>
      <c r="RRE2207" s="582" t="s">
        <v>1224</v>
      </c>
      <c r="RRF2207" s="582" t="s">
        <v>1224</v>
      </c>
      <c r="RRG2207" s="582" t="s">
        <v>1224</v>
      </c>
      <c r="RRH2207" s="582" t="s">
        <v>1224</v>
      </c>
      <c r="RRI2207" s="582" t="s">
        <v>1224</v>
      </c>
      <c r="RRJ2207" s="582" t="s">
        <v>1224</v>
      </c>
      <c r="RRK2207" s="582" t="s">
        <v>1224</v>
      </c>
      <c r="RRL2207" s="582" t="s">
        <v>1224</v>
      </c>
      <c r="RRM2207" s="582" t="s">
        <v>1224</v>
      </c>
      <c r="RRN2207" s="582" t="s">
        <v>1224</v>
      </c>
      <c r="RRO2207" s="582" t="s">
        <v>1224</v>
      </c>
      <c r="RRP2207" s="582" t="s">
        <v>1224</v>
      </c>
      <c r="RRQ2207" s="582" t="s">
        <v>1224</v>
      </c>
      <c r="RRR2207" s="582" t="s">
        <v>1224</v>
      </c>
      <c r="RRS2207" s="582" t="s">
        <v>1224</v>
      </c>
      <c r="RRT2207" s="582" t="s">
        <v>1224</v>
      </c>
      <c r="RRU2207" s="582" t="s">
        <v>1224</v>
      </c>
      <c r="RRV2207" s="582" t="s">
        <v>1224</v>
      </c>
      <c r="RRW2207" s="582" t="s">
        <v>1224</v>
      </c>
      <c r="RRX2207" s="582" t="s">
        <v>1224</v>
      </c>
      <c r="RRY2207" s="582" t="s">
        <v>1224</v>
      </c>
      <c r="RRZ2207" s="582" t="s">
        <v>1224</v>
      </c>
      <c r="RSA2207" s="582" t="s">
        <v>1224</v>
      </c>
      <c r="RSB2207" s="582" t="s">
        <v>1224</v>
      </c>
      <c r="RSC2207" s="582" t="s">
        <v>1224</v>
      </c>
      <c r="RSD2207" s="582" t="s">
        <v>1224</v>
      </c>
      <c r="RSE2207" s="582" t="s">
        <v>1224</v>
      </c>
      <c r="RSF2207" s="582" t="s">
        <v>1224</v>
      </c>
      <c r="RSG2207" s="582" t="s">
        <v>1224</v>
      </c>
      <c r="RSH2207" s="582" t="s">
        <v>1224</v>
      </c>
      <c r="RSI2207" s="582" t="s">
        <v>1224</v>
      </c>
      <c r="RSJ2207" s="582" t="s">
        <v>1224</v>
      </c>
      <c r="RSK2207" s="582" t="s">
        <v>1224</v>
      </c>
      <c r="RSL2207" s="582" t="s">
        <v>1224</v>
      </c>
      <c r="RSM2207" s="582" t="s">
        <v>1224</v>
      </c>
      <c r="RSN2207" s="582" t="s">
        <v>1224</v>
      </c>
      <c r="RSO2207" s="582" t="s">
        <v>1224</v>
      </c>
      <c r="RSP2207" s="582" t="s">
        <v>1224</v>
      </c>
      <c r="RSQ2207" s="582" t="s">
        <v>1224</v>
      </c>
      <c r="RSR2207" s="582" t="s">
        <v>1224</v>
      </c>
      <c r="RSS2207" s="582" t="s">
        <v>1224</v>
      </c>
      <c r="RST2207" s="582" t="s">
        <v>1224</v>
      </c>
      <c r="RSU2207" s="582" t="s">
        <v>1224</v>
      </c>
      <c r="RSV2207" s="582" t="s">
        <v>1224</v>
      </c>
      <c r="RSW2207" s="582" t="s">
        <v>1224</v>
      </c>
      <c r="RSX2207" s="582" t="s">
        <v>1224</v>
      </c>
      <c r="RSY2207" s="582" t="s">
        <v>1224</v>
      </c>
      <c r="RSZ2207" s="582" t="s">
        <v>1224</v>
      </c>
      <c r="RTA2207" s="582" t="s">
        <v>1224</v>
      </c>
      <c r="RTB2207" s="582" t="s">
        <v>1224</v>
      </c>
      <c r="RTC2207" s="582" t="s">
        <v>1224</v>
      </c>
      <c r="RTD2207" s="582" t="s">
        <v>1224</v>
      </c>
      <c r="RTE2207" s="582" t="s">
        <v>1224</v>
      </c>
      <c r="RTF2207" s="582" t="s">
        <v>1224</v>
      </c>
      <c r="RTG2207" s="582" t="s">
        <v>1224</v>
      </c>
      <c r="RTH2207" s="582" t="s">
        <v>1224</v>
      </c>
      <c r="RTI2207" s="582" t="s">
        <v>1224</v>
      </c>
      <c r="RTJ2207" s="582" t="s">
        <v>1224</v>
      </c>
      <c r="RTK2207" s="582" t="s">
        <v>1224</v>
      </c>
      <c r="RTL2207" s="582" t="s">
        <v>1224</v>
      </c>
      <c r="RTM2207" s="582" t="s">
        <v>1224</v>
      </c>
      <c r="RTN2207" s="582" t="s">
        <v>1224</v>
      </c>
      <c r="RTO2207" s="582" t="s">
        <v>1224</v>
      </c>
      <c r="RTP2207" s="582" t="s">
        <v>1224</v>
      </c>
      <c r="RTQ2207" s="582" t="s">
        <v>1224</v>
      </c>
      <c r="RTR2207" s="582" t="s">
        <v>1224</v>
      </c>
      <c r="RTS2207" s="582" t="s">
        <v>1224</v>
      </c>
      <c r="RTT2207" s="582" t="s">
        <v>1224</v>
      </c>
      <c r="RTU2207" s="582" t="s">
        <v>1224</v>
      </c>
      <c r="RTV2207" s="582" t="s">
        <v>1224</v>
      </c>
      <c r="RTW2207" s="582" t="s">
        <v>1224</v>
      </c>
      <c r="RTX2207" s="582" t="s">
        <v>1224</v>
      </c>
      <c r="RTY2207" s="582" t="s">
        <v>1224</v>
      </c>
      <c r="RTZ2207" s="582" t="s">
        <v>1224</v>
      </c>
      <c r="RUA2207" s="582" t="s">
        <v>1224</v>
      </c>
      <c r="RUB2207" s="582" t="s">
        <v>1224</v>
      </c>
      <c r="RUC2207" s="582" t="s">
        <v>1224</v>
      </c>
      <c r="RUD2207" s="582" t="s">
        <v>1224</v>
      </c>
      <c r="RUE2207" s="582" t="s">
        <v>1224</v>
      </c>
      <c r="RUF2207" s="582" t="s">
        <v>1224</v>
      </c>
      <c r="RUG2207" s="582" t="s">
        <v>1224</v>
      </c>
      <c r="RUH2207" s="582" t="s">
        <v>1224</v>
      </c>
      <c r="RUI2207" s="582" t="s">
        <v>1224</v>
      </c>
      <c r="RUJ2207" s="582" t="s">
        <v>1224</v>
      </c>
      <c r="RUK2207" s="582" t="s">
        <v>1224</v>
      </c>
      <c r="RUL2207" s="582" t="s">
        <v>1224</v>
      </c>
      <c r="RUM2207" s="582" t="s">
        <v>1224</v>
      </c>
      <c r="RUN2207" s="582" t="s">
        <v>1224</v>
      </c>
      <c r="RUO2207" s="582" t="s">
        <v>1224</v>
      </c>
      <c r="RUP2207" s="582" t="s">
        <v>1224</v>
      </c>
      <c r="RUQ2207" s="582" t="s">
        <v>1224</v>
      </c>
      <c r="RUR2207" s="582" t="s">
        <v>1224</v>
      </c>
      <c r="RUS2207" s="582" t="s">
        <v>1224</v>
      </c>
      <c r="RUT2207" s="582" t="s">
        <v>1224</v>
      </c>
      <c r="RUU2207" s="582" t="s">
        <v>1224</v>
      </c>
      <c r="RUV2207" s="582" t="s">
        <v>1224</v>
      </c>
      <c r="RUW2207" s="582" t="s">
        <v>1224</v>
      </c>
      <c r="RUX2207" s="582" t="s">
        <v>1224</v>
      </c>
      <c r="RUY2207" s="582" t="s">
        <v>1224</v>
      </c>
      <c r="RUZ2207" s="582" t="s">
        <v>1224</v>
      </c>
      <c r="RVA2207" s="582" t="s">
        <v>1224</v>
      </c>
      <c r="RVB2207" s="582" t="s">
        <v>1224</v>
      </c>
      <c r="RVC2207" s="582" t="s">
        <v>1224</v>
      </c>
      <c r="RVD2207" s="582" t="s">
        <v>1224</v>
      </c>
      <c r="RVE2207" s="582" t="s">
        <v>1224</v>
      </c>
      <c r="RVF2207" s="582" t="s">
        <v>1224</v>
      </c>
      <c r="RVG2207" s="582" t="s">
        <v>1224</v>
      </c>
      <c r="RVH2207" s="582" t="s">
        <v>1224</v>
      </c>
      <c r="RVI2207" s="582" t="s">
        <v>1224</v>
      </c>
      <c r="RVJ2207" s="582" t="s">
        <v>1224</v>
      </c>
      <c r="RVK2207" s="582" t="s">
        <v>1224</v>
      </c>
      <c r="RVL2207" s="582" t="s">
        <v>1224</v>
      </c>
      <c r="RVM2207" s="582" t="s">
        <v>1224</v>
      </c>
      <c r="RVN2207" s="582" t="s">
        <v>1224</v>
      </c>
      <c r="RVO2207" s="582" t="s">
        <v>1224</v>
      </c>
      <c r="RVP2207" s="582" t="s">
        <v>1224</v>
      </c>
      <c r="RVQ2207" s="582" t="s">
        <v>1224</v>
      </c>
      <c r="RVR2207" s="582" t="s">
        <v>1224</v>
      </c>
      <c r="RVS2207" s="582" t="s">
        <v>1224</v>
      </c>
      <c r="RVT2207" s="582" t="s">
        <v>1224</v>
      </c>
      <c r="RVU2207" s="582" t="s">
        <v>1224</v>
      </c>
      <c r="RVV2207" s="582" t="s">
        <v>1224</v>
      </c>
      <c r="RVW2207" s="582" t="s">
        <v>1224</v>
      </c>
      <c r="RVX2207" s="582" t="s">
        <v>1224</v>
      </c>
      <c r="RVY2207" s="582" t="s">
        <v>1224</v>
      </c>
      <c r="RVZ2207" s="582" t="s">
        <v>1224</v>
      </c>
      <c r="RWA2207" s="582" t="s">
        <v>1224</v>
      </c>
      <c r="RWB2207" s="582" t="s">
        <v>1224</v>
      </c>
      <c r="RWC2207" s="582" t="s">
        <v>1224</v>
      </c>
      <c r="RWD2207" s="582" t="s">
        <v>1224</v>
      </c>
      <c r="RWE2207" s="582" t="s">
        <v>1224</v>
      </c>
      <c r="RWF2207" s="582" t="s">
        <v>1224</v>
      </c>
      <c r="RWG2207" s="582" t="s">
        <v>1224</v>
      </c>
      <c r="RWH2207" s="582" t="s">
        <v>1224</v>
      </c>
      <c r="RWI2207" s="582" t="s">
        <v>1224</v>
      </c>
      <c r="RWJ2207" s="582" t="s">
        <v>1224</v>
      </c>
      <c r="RWK2207" s="582" t="s">
        <v>1224</v>
      </c>
      <c r="RWL2207" s="582" t="s">
        <v>1224</v>
      </c>
      <c r="RWM2207" s="582" t="s">
        <v>1224</v>
      </c>
      <c r="RWN2207" s="582" t="s">
        <v>1224</v>
      </c>
      <c r="RWO2207" s="582" t="s">
        <v>1224</v>
      </c>
      <c r="RWP2207" s="582" t="s">
        <v>1224</v>
      </c>
      <c r="RWQ2207" s="582" t="s">
        <v>1224</v>
      </c>
      <c r="RWR2207" s="582" t="s">
        <v>1224</v>
      </c>
      <c r="RWS2207" s="582" t="s">
        <v>1224</v>
      </c>
      <c r="RWT2207" s="582" t="s">
        <v>1224</v>
      </c>
      <c r="RWU2207" s="582" t="s">
        <v>1224</v>
      </c>
      <c r="RWV2207" s="582" t="s">
        <v>1224</v>
      </c>
      <c r="RWW2207" s="582" t="s">
        <v>1224</v>
      </c>
      <c r="RWX2207" s="582" t="s">
        <v>1224</v>
      </c>
      <c r="RWY2207" s="582" t="s">
        <v>1224</v>
      </c>
      <c r="RWZ2207" s="582" t="s">
        <v>1224</v>
      </c>
      <c r="RXA2207" s="582" t="s">
        <v>1224</v>
      </c>
      <c r="RXB2207" s="582" t="s">
        <v>1224</v>
      </c>
      <c r="RXC2207" s="582" t="s">
        <v>1224</v>
      </c>
      <c r="RXD2207" s="582" t="s">
        <v>1224</v>
      </c>
      <c r="RXE2207" s="582" t="s">
        <v>1224</v>
      </c>
      <c r="RXF2207" s="582" t="s">
        <v>1224</v>
      </c>
      <c r="RXG2207" s="582" t="s">
        <v>1224</v>
      </c>
      <c r="RXH2207" s="582" t="s">
        <v>1224</v>
      </c>
      <c r="RXI2207" s="582" t="s">
        <v>1224</v>
      </c>
      <c r="RXJ2207" s="582" t="s">
        <v>1224</v>
      </c>
      <c r="RXK2207" s="582" t="s">
        <v>1224</v>
      </c>
      <c r="RXL2207" s="582" t="s">
        <v>1224</v>
      </c>
      <c r="RXM2207" s="582" t="s">
        <v>1224</v>
      </c>
      <c r="RXN2207" s="582" t="s">
        <v>1224</v>
      </c>
      <c r="RXO2207" s="582" t="s">
        <v>1224</v>
      </c>
      <c r="RXP2207" s="582" t="s">
        <v>1224</v>
      </c>
      <c r="RXQ2207" s="582" t="s">
        <v>1224</v>
      </c>
      <c r="RXR2207" s="582" t="s">
        <v>1224</v>
      </c>
      <c r="RXS2207" s="582" t="s">
        <v>1224</v>
      </c>
      <c r="RXT2207" s="582" t="s">
        <v>1224</v>
      </c>
      <c r="RXU2207" s="582" t="s">
        <v>1224</v>
      </c>
      <c r="RXV2207" s="582" t="s">
        <v>1224</v>
      </c>
      <c r="RXW2207" s="582" t="s">
        <v>1224</v>
      </c>
      <c r="RXX2207" s="582" t="s">
        <v>1224</v>
      </c>
      <c r="RXY2207" s="582" t="s">
        <v>1224</v>
      </c>
      <c r="RXZ2207" s="582" t="s">
        <v>1224</v>
      </c>
      <c r="RYA2207" s="582" t="s">
        <v>1224</v>
      </c>
      <c r="RYB2207" s="582" t="s">
        <v>1224</v>
      </c>
      <c r="RYC2207" s="582" t="s">
        <v>1224</v>
      </c>
      <c r="RYD2207" s="582" t="s">
        <v>1224</v>
      </c>
      <c r="RYE2207" s="582" t="s">
        <v>1224</v>
      </c>
      <c r="RYF2207" s="582" t="s">
        <v>1224</v>
      </c>
      <c r="RYG2207" s="582" t="s">
        <v>1224</v>
      </c>
      <c r="RYH2207" s="582" t="s">
        <v>1224</v>
      </c>
      <c r="RYI2207" s="582" t="s">
        <v>1224</v>
      </c>
      <c r="RYJ2207" s="582" t="s">
        <v>1224</v>
      </c>
      <c r="RYK2207" s="582" t="s">
        <v>1224</v>
      </c>
      <c r="RYL2207" s="582" t="s">
        <v>1224</v>
      </c>
      <c r="RYM2207" s="582" t="s">
        <v>1224</v>
      </c>
      <c r="RYN2207" s="582" t="s">
        <v>1224</v>
      </c>
      <c r="RYO2207" s="582" t="s">
        <v>1224</v>
      </c>
      <c r="RYP2207" s="582" t="s">
        <v>1224</v>
      </c>
      <c r="RYQ2207" s="582" t="s">
        <v>1224</v>
      </c>
      <c r="RYR2207" s="582" t="s">
        <v>1224</v>
      </c>
      <c r="RYS2207" s="582" t="s">
        <v>1224</v>
      </c>
      <c r="RYT2207" s="582" t="s">
        <v>1224</v>
      </c>
      <c r="RYU2207" s="582" t="s">
        <v>1224</v>
      </c>
      <c r="RYV2207" s="582" t="s">
        <v>1224</v>
      </c>
      <c r="RYW2207" s="582" t="s">
        <v>1224</v>
      </c>
      <c r="RYX2207" s="582" t="s">
        <v>1224</v>
      </c>
      <c r="RYY2207" s="582" t="s">
        <v>1224</v>
      </c>
      <c r="RYZ2207" s="582" t="s">
        <v>1224</v>
      </c>
      <c r="RZA2207" s="582" t="s">
        <v>1224</v>
      </c>
      <c r="RZB2207" s="582" t="s">
        <v>1224</v>
      </c>
      <c r="RZC2207" s="582" t="s">
        <v>1224</v>
      </c>
      <c r="RZD2207" s="582" t="s">
        <v>1224</v>
      </c>
      <c r="RZE2207" s="582" t="s">
        <v>1224</v>
      </c>
      <c r="RZF2207" s="582" t="s">
        <v>1224</v>
      </c>
      <c r="RZG2207" s="582" t="s">
        <v>1224</v>
      </c>
      <c r="RZH2207" s="582" t="s">
        <v>1224</v>
      </c>
      <c r="RZI2207" s="582" t="s">
        <v>1224</v>
      </c>
      <c r="RZJ2207" s="582" t="s">
        <v>1224</v>
      </c>
      <c r="RZK2207" s="582" t="s">
        <v>1224</v>
      </c>
      <c r="RZL2207" s="582" t="s">
        <v>1224</v>
      </c>
      <c r="RZM2207" s="582" t="s">
        <v>1224</v>
      </c>
      <c r="RZN2207" s="582" t="s">
        <v>1224</v>
      </c>
      <c r="RZO2207" s="582" t="s">
        <v>1224</v>
      </c>
      <c r="RZP2207" s="582" t="s">
        <v>1224</v>
      </c>
      <c r="RZQ2207" s="582" t="s">
        <v>1224</v>
      </c>
      <c r="RZR2207" s="582" t="s">
        <v>1224</v>
      </c>
      <c r="RZS2207" s="582" t="s">
        <v>1224</v>
      </c>
      <c r="RZT2207" s="582" t="s">
        <v>1224</v>
      </c>
      <c r="RZU2207" s="582" t="s">
        <v>1224</v>
      </c>
      <c r="RZV2207" s="582" t="s">
        <v>1224</v>
      </c>
      <c r="RZW2207" s="582" t="s">
        <v>1224</v>
      </c>
      <c r="RZX2207" s="582" t="s">
        <v>1224</v>
      </c>
      <c r="RZY2207" s="582" t="s">
        <v>1224</v>
      </c>
      <c r="RZZ2207" s="582" t="s">
        <v>1224</v>
      </c>
      <c r="SAA2207" s="582" t="s">
        <v>1224</v>
      </c>
      <c r="SAB2207" s="582" t="s">
        <v>1224</v>
      </c>
      <c r="SAC2207" s="582" t="s">
        <v>1224</v>
      </c>
      <c r="SAD2207" s="582" t="s">
        <v>1224</v>
      </c>
      <c r="SAE2207" s="582" t="s">
        <v>1224</v>
      </c>
      <c r="SAF2207" s="582" t="s">
        <v>1224</v>
      </c>
      <c r="SAG2207" s="582" t="s">
        <v>1224</v>
      </c>
      <c r="SAH2207" s="582" t="s">
        <v>1224</v>
      </c>
      <c r="SAI2207" s="582" t="s">
        <v>1224</v>
      </c>
      <c r="SAJ2207" s="582" t="s">
        <v>1224</v>
      </c>
      <c r="SAK2207" s="582" t="s">
        <v>1224</v>
      </c>
      <c r="SAL2207" s="582" t="s">
        <v>1224</v>
      </c>
      <c r="SAM2207" s="582" t="s">
        <v>1224</v>
      </c>
      <c r="SAN2207" s="582" t="s">
        <v>1224</v>
      </c>
      <c r="SAO2207" s="582" t="s">
        <v>1224</v>
      </c>
      <c r="SAP2207" s="582" t="s">
        <v>1224</v>
      </c>
      <c r="SAQ2207" s="582" t="s">
        <v>1224</v>
      </c>
      <c r="SAR2207" s="582" t="s">
        <v>1224</v>
      </c>
      <c r="SAS2207" s="582" t="s">
        <v>1224</v>
      </c>
      <c r="SAT2207" s="582" t="s">
        <v>1224</v>
      </c>
      <c r="SAU2207" s="582" t="s">
        <v>1224</v>
      </c>
      <c r="SAV2207" s="582" t="s">
        <v>1224</v>
      </c>
      <c r="SAW2207" s="582" t="s">
        <v>1224</v>
      </c>
      <c r="SAX2207" s="582" t="s">
        <v>1224</v>
      </c>
      <c r="SAY2207" s="582" t="s">
        <v>1224</v>
      </c>
      <c r="SAZ2207" s="582" t="s">
        <v>1224</v>
      </c>
      <c r="SBA2207" s="582" t="s">
        <v>1224</v>
      </c>
      <c r="SBB2207" s="582" t="s">
        <v>1224</v>
      </c>
      <c r="SBC2207" s="582" t="s">
        <v>1224</v>
      </c>
      <c r="SBD2207" s="582" t="s">
        <v>1224</v>
      </c>
      <c r="SBE2207" s="582" t="s">
        <v>1224</v>
      </c>
      <c r="SBF2207" s="582" t="s">
        <v>1224</v>
      </c>
      <c r="SBG2207" s="582" t="s">
        <v>1224</v>
      </c>
      <c r="SBH2207" s="582" t="s">
        <v>1224</v>
      </c>
      <c r="SBI2207" s="582" t="s">
        <v>1224</v>
      </c>
      <c r="SBJ2207" s="582" t="s">
        <v>1224</v>
      </c>
      <c r="SBK2207" s="582" t="s">
        <v>1224</v>
      </c>
      <c r="SBL2207" s="582" t="s">
        <v>1224</v>
      </c>
      <c r="SBM2207" s="582" t="s">
        <v>1224</v>
      </c>
      <c r="SBN2207" s="582" t="s">
        <v>1224</v>
      </c>
      <c r="SBO2207" s="582" t="s">
        <v>1224</v>
      </c>
      <c r="SBP2207" s="582" t="s">
        <v>1224</v>
      </c>
      <c r="SBQ2207" s="582" t="s">
        <v>1224</v>
      </c>
      <c r="SBR2207" s="582" t="s">
        <v>1224</v>
      </c>
      <c r="SBS2207" s="582" t="s">
        <v>1224</v>
      </c>
      <c r="SBT2207" s="582" t="s">
        <v>1224</v>
      </c>
      <c r="SBU2207" s="582" t="s">
        <v>1224</v>
      </c>
      <c r="SBV2207" s="582" t="s">
        <v>1224</v>
      </c>
      <c r="SBW2207" s="582" t="s">
        <v>1224</v>
      </c>
      <c r="SBX2207" s="582" t="s">
        <v>1224</v>
      </c>
      <c r="SBY2207" s="582" t="s">
        <v>1224</v>
      </c>
      <c r="SBZ2207" s="582" t="s">
        <v>1224</v>
      </c>
      <c r="SCA2207" s="582" t="s">
        <v>1224</v>
      </c>
      <c r="SCB2207" s="582" t="s">
        <v>1224</v>
      </c>
      <c r="SCC2207" s="582" t="s">
        <v>1224</v>
      </c>
      <c r="SCD2207" s="582" t="s">
        <v>1224</v>
      </c>
      <c r="SCE2207" s="582" t="s">
        <v>1224</v>
      </c>
      <c r="SCF2207" s="582" t="s">
        <v>1224</v>
      </c>
      <c r="SCG2207" s="582" t="s">
        <v>1224</v>
      </c>
      <c r="SCH2207" s="582" t="s">
        <v>1224</v>
      </c>
      <c r="SCI2207" s="582" t="s">
        <v>1224</v>
      </c>
      <c r="SCJ2207" s="582" t="s">
        <v>1224</v>
      </c>
      <c r="SCK2207" s="582" t="s">
        <v>1224</v>
      </c>
      <c r="SCL2207" s="582" t="s">
        <v>1224</v>
      </c>
      <c r="SCM2207" s="582" t="s">
        <v>1224</v>
      </c>
      <c r="SCN2207" s="582" t="s">
        <v>1224</v>
      </c>
      <c r="SCO2207" s="582" t="s">
        <v>1224</v>
      </c>
      <c r="SCP2207" s="582" t="s">
        <v>1224</v>
      </c>
      <c r="SCQ2207" s="582" t="s">
        <v>1224</v>
      </c>
      <c r="SCR2207" s="582" t="s">
        <v>1224</v>
      </c>
      <c r="SCS2207" s="582" t="s">
        <v>1224</v>
      </c>
      <c r="SCT2207" s="582" t="s">
        <v>1224</v>
      </c>
      <c r="SCU2207" s="582" t="s">
        <v>1224</v>
      </c>
      <c r="SCV2207" s="582" t="s">
        <v>1224</v>
      </c>
      <c r="SCW2207" s="582" t="s">
        <v>1224</v>
      </c>
      <c r="SCX2207" s="582" t="s">
        <v>1224</v>
      </c>
      <c r="SCY2207" s="582" t="s">
        <v>1224</v>
      </c>
      <c r="SCZ2207" s="582" t="s">
        <v>1224</v>
      </c>
      <c r="SDA2207" s="582" t="s">
        <v>1224</v>
      </c>
      <c r="SDB2207" s="582" t="s">
        <v>1224</v>
      </c>
      <c r="SDC2207" s="582" t="s">
        <v>1224</v>
      </c>
      <c r="SDD2207" s="582" t="s">
        <v>1224</v>
      </c>
      <c r="SDE2207" s="582" t="s">
        <v>1224</v>
      </c>
      <c r="SDF2207" s="582" t="s">
        <v>1224</v>
      </c>
      <c r="SDG2207" s="582" t="s">
        <v>1224</v>
      </c>
      <c r="SDH2207" s="582" t="s">
        <v>1224</v>
      </c>
      <c r="SDI2207" s="582" t="s">
        <v>1224</v>
      </c>
      <c r="SDJ2207" s="582" t="s">
        <v>1224</v>
      </c>
      <c r="SDK2207" s="582" t="s">
        <v>1224</v>
      </c>
      <c r="SDL2207" s="582" t="s">
        <v>1224</v>
      </c>
      <c r="SDM2207" s="582" t="s">
        <v>1224</v>
      </c>
      <c r="SDN2207" s="582" t="s">
        <v>1224</v>
      </c>
      <c r="SDO2207" s="582" t="s">
        <v>1224</v>
      </c>
      <c r="SDP2207" s="582" t="s">
        <v>1224</v>
      </c>
      <c r="SDQ2207" s="582" t="s">
        <v>1224</v>
      </c>
      <c r="SDR2207" s="582" t="s">
        <v>1224</v>
      </c>
      <c r="SDS2207" s="582" t="s">
        <v>1224</v>
      </c>
      <c r="SDT2207" s="582" t="s">
        <v>1224</v>
      </c>
      <c r="SDU2207" s="582" t="s">
        <v>1224</v>
      </c>
      <c r="SDV2207" s="582" t="s">
        <v>1224</v>
      </c>
      <c r="SDW2207" s="582" t="s">
        <v>1224</v>
      </c>
      <c r="SDX2207" s="582" t="s">
        <v>1224</v>
      </c>
      <c r="SDY2207" s="582" t="s">
        <v>1224</v>
      </c>
      <c r="SDZ2207" s="582" t="s">
        <v>1224</v>
      </c>
      <c r="SEA2207" s="582" t="s">
        <v>1224</v>
      </c>
      <c r="SEB2207" s="582" t="s">
        <v>1224</v>
      </c>
      <c r="SEC2207" s="582" t="s">
        <v>1224</v>
      </c>
      <c r="SED2207" s="582" t="s">
        <v>1224</v>
      </c>
      <c r="SEE2207" s="582" t="s">
        <v>1224</v>
      </c>
      <c r="SEF2207" s="582" t="s">
        <v>1224</v>
      </c>
      <c r="SEG2207" s="582" t="s">
        <v>1224</v>
      </c>
      <c r="SEH2207" s="582" t="s">
        <v>1224</v>
      </c>
      <c r="SEI2207" s="582" t="s">
        <v>1224</v>
      </c>
      <c r="SEJ2207" s="582" t="s">
        <v>1224</v>
      </c>
      <c r="SEK2207" s="582" t="s">
        <v>1224</v>
      </c>
      <c r="SEL2207" s="582" t="s">
        <v>1224</v>
      </c>
      <c r="SEM2207" s="582" t="s">
        <v>1224</v>
      </c>
      <c r="SEN2207" s="582" t="s">
        <v>1224</v>
      </c>
      <c r="SEO2207" s="582" t="s">
        <v>1224</v>
      </c>
      <c r="SEP2207" s="582" t="s">
        <v>1224</v>
      </c>
      <c r="SEQ2207" s="582" t="s">
        <v>1224</v>
      </c>
      <c r="SER2207" s="582" t="s">
        <v>1224</v>
      </c>
      <c r="SES2207" s="582" t="s">
        <v>1224</v>
      </c>
      <c r="SET2207" s="582" t="s">
        <v>1224</v>
      </c>
      <c r="SEU2207" s="582" t="s">
        <v>1224</v>
      </c>
      <c r="SEV2207" s="582" t="s">
        <v>1224</v>
      </c>
      <c r="SEW2207" s="582" t="s">
        <v>1224</v>
      </c>
      <c r="SEX2207" s="582" t="s">
        <v>1224</v>
      </c>
      <c r="SEY2207" s="582" t="s">
        <v>1224</v>
      </c>
      <c r="SEZ2207" s="582" t="s">
        <v>1224</v>
      </c>
      <c r="SFA2207" s="582" t="s">
        <v>1224</v>
      </c>
      <c r="SFB2207" s="582" t="s">
        <v>1224</v>
      </c>
      <c r="SFC2207" s="582" t="s">
        <v>1224</v>
      </c>
      <c r="SFD2207" s="582" t="s">
        <v>1224</v>
      </c>
      <c r="SFE2207" s="582" t="s">
        <v>1224</v>
      </c>
      <c r="SFF2207" s="582" t="s">
        <v>1224</v>
      </c>
      <c r="SFG2207" s="582" t="s">
        <v>1224</v>
      </c>
      <c r="SFH2207" s="582" t="s">
        <v>1224</v>
      </c>
      <c r="SFI2207" s="582" t="s">
        <v>1224</v>
      </c>
      <c r="SFJ2207" s="582" t="s">
        <v>1224</v>
      </c>
      <c r="SFK2207" s="582" t="s">
        <v>1224</v>
      </c>
      <c r="SFL2207" s="582" t="s">
        <v>1224</v>
      </c>
      <c r="SFM2207" s="582" t="s">
        <v>1224</v>
      </c>
      <c r="SFN2207" s="582" t="s">
        <v>1224</v>
      </c>
      <c r="SFO2207" s="582" t="s">
        <v>1224</v>
      </c>
      <c r="SFP2207" s="582" t="s">
        <v>1224</v>
      </c>
      <c r="SFQ2207" s="582" t="s">
        <v>1224</v>
      </c>
      <c r="SFR2207" s="582" t="s">
        <v>1224</v>
      </c>
      <c r="SFS2207" s="582" t="s">
        <v>1224</v>
      </c>
      <c r="SFT2207" s="582" t="s">
        <v>1224</v>
      </c>
      <c r="SFU2207" s="582" t="s">
        <v>1224</v>
      </c>
      <c r="SFV2207" s="582" t="s">
        <v>1224</v>
      </c>
      <c r="SFW2207" s="582" t="s">
        <v>1224</v>
      </c>
      <c r="SFX2207" s="582" t="s">
        <v>1224</v>
      </c>
      <c r="SFY2207" s="582" t="s">
        <v>1224</v>
      </c>
      <c r="SFZ2207" s="582" t="s">
        <v>1224</v>
      </c>
      <c r="SGA2207" s="582" t="s">
        <v>1224</v>
      </c>
      <c r="SGB2207" s="582" t="s">
        <v>1224</v>
      </c>
      <c r="SGC2207" s="582" t="s">
        <v>1224</v>
      </c>
      <c r="SGD2207" s="582" t="s">
        <v>1224</v>
      </c>
      <c r="SGE2207" s="582" t="s">
        <v>1224</v>
      </c>
      <c r="SGF2207" s="582" t="s">
        <v>1224</v>
      </c>
      <c r="SGG2207" s="582" t="s">
        <v>1224</v>
      </c>
      <c r="SGH2207" s="582" t="s">
        <v>1224</v>
      </c>
      <c r="SGI2207" s="582" t="s">
        <v>1224</v>
      </c>
      <c r="SGJ2207" s="582" t="s">
        <v>1224</v>
      </c>
      <c r="SGK2207" s="582" t="s">
        <v>1224</v>
      </c>
      <c r="SGL2207" s="582" t="s">
        <v>1224</v>
      </c>
      <c r="SGM2207" s="582" t="s">
        <v>1224</v>
      </c>
      <c r="SGN2207" s="582" t="s">
        <v>1224</v>
      </c>
      <c r="SGO2207" s="582" t="s">
        <v>1224</v>
      </c>
      <c r="SGP2207" s="582" t="s">
        <v>1224</v>
      </c>
      <c r="SGQ2207" s="582" t="s">
        <v>1224</v>
      </c>
      <c r="SGR2207" s="582" t="s">
        <v>1224</v>
      </c>
      <c r="SGS2207" s="582" t="s">
        <v>1224</v>
      </c>
      <c r="SGT2207" s="582" t="s">
        <v>1224</v>
      </c>
      <c r="SGU2207" s="582" t="s">
        <v>1224</v>
      </c>
      <c r="SGV2207" s="582" t="s">
        <v>1224</v>
      </c>
      <c r="SGW2207" s="582" t="s">
        <v>1224</v>
      </c>
      <c r="SGX2207" s="582" t="s">
        <v>1224</v>
      </c>
      <c r="SGY2207" s="582" t="s">
        <v>1224</v>
      </c>
      <c r="SGZ2207" s="582" t="s">
        <v>1224</v>
      </c>
      <c r="SHA2207" s="582" t="s">
        <v>1224</v>
      </c>
      <c r="SHB2207" s="582" t="s">
        <v>1224</v>
      </c>
      <c r="SHC2207" s="582" t="s">
        <v>1224</v>
      </c>
      <c r="SHD2207" s="582" t="s">
        <v>1224</v>
      </c>
      <c r="SHE2207" s="582" t="s">
        <v>1224</v>
      </c>
      <c r="SHF2207" s="582" t="s">
        <v>1224</v>
      </c>
      <c r="SHG2207" s="582" t="s">
        <v>1224</v>
      </c>
      <c r="SHH2207" s="582" t="s">
        <v>1224</v>
      </c>
      <c r="SHI2207" s="582" t="s">
        <v>1224</v>
      </c>
      <c r="SHJ2207" s="582" t="s">
        <v>1224</v>
      </c>
      <c r="SHK2207" s="582" t="s">
        <v>1224</v>
      </c>
      <c r="SHL2207" s="582" t="s">
        <v>1224</v>
      </c>
      <c r="SHM2207" s="582" t="s">
        <v>1224</v>
      </c>
      <c r="SHN2207" s="582" t="s">
        <v>1224</v>
      </c>
      <c r="SHO2207" s="582" t="s">
        <v>1224</v>
      </c>
      <c r="SHP2207" s="582" t="s">
        <v>1224</v>
      </c>
      <c r="SHQ2207" s="582" t="s">
        <v>1224</v>
      </c>
      <c r="SHR2207" s="582" t="s">
        <v>1224</v>
      </c>
      <c r="SHS2207" s="582" t="s">
        <v>1224</v>
      </c>
      <c r="SHT2207" s="582" t="s">
        <v>1224</v>
      </c>
      <c r="SHU2207" s="582" t="s">
        <v>1224</v>
      </c>
      <c r="SHV2207" s="582" t="s">
        <v>1224</v>
      </c>
      <c r="SHW2207" s="582" t="s">
        <v>1224</v>
      </c>
      <c r="SHX2207" s="582" t="s">
        <v>1224</v>
      </c>
      <c r="SHY2207" s="582" t="s">
        <v>1224</v>
      </c>
      <c r="SHZ2207" s="582" t="s">
        <v>1224</v>
      </c>
      <c r="SIA2207" s="582" t="s">
        <v>1224</v>
      </c>
      <c r="SIB2207" s="582" t="s">
        <v>1224</v>
      </c>
      <c r="SIC2207" s="582" t="s">
        <v>1224</v>
      </c>
      <c r="SID2207" s="582" t="s">
        <v>1224</v>
      </c>
      <c r="SIE2207" s="582" t="s">
        <v>1224</v>
      </c>
      <c r="SIF2207" s="582" t="s">
        <v>1224</v>
      </c>
      <c r="SIG2207" s="582" t="s">
        <v>1224</v>
      </c>
      <c r="SIH2207" s="582" t="s">
        <v>1224</v>
      </c>
      <c r="SII2207" s="582" t="s">
        <v>1224</v>
      </c>
      <c r="SIJ2207" s="582" t="s">
        <v>1224</v>
      </c>
      <c r="SIK2207" s="582" t="s">
        <v>1224</v>
      </c>
      <c r="SIL2207" s="582" t="s">
        <v>1224</v>
      </c>
      <c r="SIM2207" s="582" t="s">
        <v>1224</v>
      </c>
      <c r="SIN2207" s="582" t="s">
        <v>1224</v>
      </c>
      <c r="SIO2207" s="582" t="s">
        <v>1224</v>
      </c>
      <c r="SIP2207" s="582" t="s">
        <v>1224</v>
      </c>
      <c r="SIQ2207" s="582" t="s">
        <v>1224</v>
      </c>
      <c r="SIR2207" s="582" t="s">
        <v>1224</v>
      </c>
      <c r="SIS2207" s="582" t="s">
        <v>1224</v>
      </c>
      <c r="SIT2207" s="582" t="s">
        <v>1224</v>
      </c>
      <c r="SIU2207" s="582" t="s">
        <v>1224</v>
      </c>
      <c r="SIV2207" s="582" t="s">
        <v>1224</v>
      </c>
      <c r="SIW2207" s="582" t="s">
        <v>1224</v>
      </c>
      <c r="SIX2207" s="582" t="s">
        <v>1224</v>
      </c>
      <c r="SIY2207" s="582" t="s">
        <v>1224</v>
      </c>
      <c r="SIZ2207" s="582" t="s">
        <v>1224</v>
      </c>
      <c r="SJA2207" s="582" t="s">
        <v>1224</v>
      </c>
      <c r="SJB2207" s="582" t="s">
        <v>1224</v>
      </c>
      <c r="SJC2207" s="582" t="s">
        <v>1224</v>
      </c>
      <c r="SJD2207" s="582" t="s">
        <v>1224</v>
      </c>
      <c r="SJE2207" s="582" t="s">
        <v>1224</v>
      </c>
      <c r="SJF2207" s="582" t="s">
        <v>1224</v>
      </c>
      <c r="SJG2207" s="582" t="s">
        <v>1224</v>
      </c>
      <c r="SJH2207" s="582" t="s">
        <v>1224</v>
      </c>
      <c r="SJI2207" s="582" t="s">
        <v>1224</v>
      </c>
      <c r="SJJ2207" s="582" t="s">
        <v>1224</v>
      </c>
      <c r="SJK2207" s="582" t="s">
        <v>1224</v>
      </c>
      <c r="SJL2207" s="582" t="s">
        <v>1224</v>
      </c>
      <c r="SJM2207" s="582" t="s">
        <v>1224</v>
      </c>
      <c r="SJN2207" s="582" t="s">
        <v>1224</v>
      </c>
      <c r="SJO2207" s="582" t="s">
        <v>1224</v>
      </c>
      <c r="SJP2207" s="582" t="s">
        <v>1224</v>
      </c>
      <c r="SJQ2207" s="582" t="s">
        <v>1224</v>
      </c>
      <c r="SJR2207" s="582" t="s">
        <v>1224</v>
      </c>
      <c r="SJS2207" s="582" t="s">
        <v>1224</v>
      </c>
      <c r="SJT2207" s="582" t="s">
        <v>1224</v>
      </c>
      <c r="SJU2207" s="582" t="s">
        <v>1224</v>
      </c>
      <c r="SJV2207" s="582" t="s">
        <v>1224</v>
      </c>
      <c r="SJW2207" s="582" t="s">
        <v>1224</v>
      </c>
      <c r="SJX2207" s="582" t="s">
        <v>1224</v>
      </c>
      <c r="SJY2207" s="582" t="s">
        <v>1224</v>
      </c>
      <c r="SJZ2207" s="582" t="s">
        <v>1224</v>
      </c>
      <c r="SKA2207" s="582" t="s">
        <v>1224</v>
      </c>
      <c r="SKB2207" s="582" t="s">
        <v>1224</v>
      </c>
      <c r="SKC2207" s="582" t="s">
        <v>1224</v>
      </c>
      <c r="SKD2207" s="582" t="s">
        <v>1224</v>
      </c>
      <c r="SKE2207" s="582" t="s">
        <v>1224</v>
      </c>
      <c r="SKF2207" s="582" t="s">
        <v>1224</v>
      </c>
      <c r="SKG2207" s="582" t="s">
        <v>1224</v>
      </c>
      <c r="SKH2207" s="582" t="s">
        <v>1224</v>
      </c>
      <c r="SKI2207" s="582" t="s">
        <v>1224</v>
      </c>
      <c r="SKJ2207" s="582" t="s">
        <v>1224</v>
      </c>
      <c r="SKK2207" s="582" t="s">
        <v>1224</v>
      </c>
      <c r="SKL2207" s="582" t="s">
        <v>1224</v>
      </c>
      <c r="SKM2207" s="582" t="s">
        <v>1224</v>
      </c>
      <c r="SKN2207" s="582" t="s">
        <v>1224</v>
      </c>
      <c r="SKO2207" s="582" t="s">
        <v>1224</v>
      </c>
      <c r="SKP2207" s="582" t="s">
        <v>1224</v>
      </c>
      <c r="SKQ2207" s="582" t="s">
        <v>1224</v>
      </c>
      <c r="SKR2207" s="582" t="s">
        <v>1224</v>
      </c>
      <c r="SKS2207" s="582" t="s">
        <v>1224</v>
      </c>
      <c r="SKT2207" s="582" t="s">
        <v>1224</v>
      </c>
      <c r="SKU2207" s="582" t="s">
        <v>1224</v>
      </c>
      <c r="SKV2207" s="582" t="s">
        <v>1224</v>
      </c>
      <c r="SKW2207" s="582" t="s">
        <v>1224</v>
      </c>
      <c r="SKX2207" s="582" t="s">
        <v>1224</v>
      </c>
      <c r="SKY2207" s="582" t="s">
        <v>1224</v>
      </c>
      <c r="SKZ2207" s="582" t="s">
        <v>1224</v>
      </c>
      <c r="SLA2207" s="582" t="s">
        <v>1224</v>
      </c>
      <c r="SLB2207" s="582" t="s">
        <v>1224</v>
      </c>
      <c r="SLC2207" s="582" t="s">
        <v>1224</v>
      </c>
      <c r="SLD2207" s="582" t="s">
        <v>1224</v>
      </c>
      <c r="SLE2207" s="582" t="s">
        <v>1224</v>
      </c>
      <c r="SLF2207" s="582" t="s">
        <v>1224</v>
      </c>
      <c r="SLG2207" s="582" t="s">
        <v>1224</v>
      </c>
      <c r="SLH2207" s="582" t="s">
        <v>1224</v>
      </c>
      <c r="SLI2207" s="582" t="s">
        <v>1224</v>
      </c>
      <c r="SLJ2207" s="582" t="s">
        <v>1224</v>
      </c>
      <c r="SLK2207" s="582" t="s">
        <v>1224</v>
      </c>
      <c r="SLL2207" s="582" t="s">
        <v>1224</v>
      </c>
      <c r="SLM2207" s="582" t="s">
        <v>1224</v>
      </c>
      <c r="SLN2207" s="582" t="s">
        <v>1224</v>
      </c>
      <c r="SLO2207" s="582" t="s">
        <v>1224</v>
      </c>
      <c r="SLP2207" s="582" t="s">
        <v>1224</v>
      </c>
      <c r="SLQ2207" s="582" t="s">
        <v>1224</v>
      </c>
      <c r="SLR2207" s="582" t="s">
        <v>1224</v>
      </c>
      <c r="SLS2207" s="582" t="s">
        <v>1224</v>
      </c>
      <c r="SLT2207" s="582" t="s">
        <v>1224</v>
      </c>
      <c r="SLU2207" s="582" t="s">
        <v>1224</v>
      </c>
      <c r="SLV2207" s="582" t="s">
        <v>1224</v>
      </c>
      <c r="SLW2207" s="582" t="s">
        <v>1224</v>
      </c>
      <c r="SLX2207" s="582" t="s">
        <v>1224</v>
      </c>
      <c r="SLY2207" s="582" t="s">
        <v>1224</v>
      </c>
      <c r="SLZ2207" s="582" t="s">
        <v>1224</v>
      </c>
      <c r="SMA2207" s="582" t="s">
        <v>1224</v>
      </c>
      <c r="SMB2207" s="582" t="s">
        <v>1224</v>
      </c>
      <c r="SMC2207" s="582" t="s">
        <v>1224</v>
      </c>
      <c r="SMD2207" s="582" t="s">
        <v>1224</v>
      </c>
      <c r="SME2207" s="582" t="s">
        <v>1224</v>
      </c>
      <c r="SMF2207" s="582" t="s">
        <v>1224</v>
      </c>
      <c r="SMG2207" s="582" t="s">
        <v>1224</v>
      </c>
      <c r="SMH2207" s="582" t="s">
        <v>1224</v>
      </c>
      <c r="SMI2207" s="582" t="s">
        <v>1224</v>
      </c>
      <c r="SMJ2207" s="582" t="s">
        <v>1224</v>
      </c>
      <c r="SMK2207" s="582" t="s">
        <v>1224</v>
      </c>
      <c r="SML2207" s="582" t="s">
        <v>1224</v>
      </c>
      <c r="SMM2207" s="582" t="s">
        <v>1224</v>
      </c>
      <c r="SMN2207" s="582" t="s">
        <v>1224</v>
      </c>
      <c r="SMO2207" s="582" t="s">
        <v>1224</v>
      </c>
      <c r="SMP2207" s="582" t="s">
        <v>1224</v>
      </c>
      <c r="SMQ2207" s="582" t="s">
        <v>1224</v>
      </c>
      <c r="SMR2207" s="582" t="s">
        <v>1224</v>
      </c>
      <c r="SMS2207" s="582" t="s">
        <v>1224</v>
      </c>
      <c r="SMT2207" s="582" t="s">
        <v>1224</v>
      </c>
      <c r="SMU2207" s="582" t="s">
        <v>1224</v>
      </c>
      <c r="SMV2207" s="582" t="s">
        <v>1224</v>
      </c>
      <c r="SMW2207" s="582" t="s">
        <v>1224</v>
      </c>
      <c r="SMX2207" s="582" t="s">
        <v>1224</v>
      </c>
      <c r="SMY2207" s="582" t="s">
        <v>1224</v>
      </c>
      <c r="SMZ2207" s="582" t="s">
        <v>1224</v>
      </c>
      <c r="SNA2207" s="582" t="s">
        <v>1224</v>
      </c>
      <c r="SNB2207" s="582" t="s">
        <v>1224</v>
      </c>
      <c r="SNC2207" s="582" t="s">
        <v>1224</v>
      </c>
      <c r="SND2207" s="582" t="s">
        <v>1224</v>
      </c>
      <c r="SNE2207" s="582" t="s">
        <v>1224</v>
      </c>
      <c r="SNF2207" s="582" t="s">
        <v>1224</v>
      </c>
      <c r="SNG2207" s="582" t="s">
        <v>1224</v>
      </c>
      <c r="SNH2207" s="582" t="s">
        <v>1224</v>
      </c>
      <c r="SNI2207" s="582" t="s">
        <v>1224</v>
      </c>
      <c r="SNJ2207" s="582" t="s">
        <v>1224</v>
      </c>
      <c r="SNK2207" s="582" t="s">
        <v>1224</v>
      </c>
      <c r="SNL2207" s="582" t="s">
        <v>1224</v>
      </c>
      <c r="SNM2207" s="582" t="s">
        <v>1224</v>
      </c>
      <c r="SNN2207" s="582" t="s">
        <v>1224</v>
      </c>
      <c r="SNO2207" s="582" t="s">
        <v>1224</v>
      </c>
      <c r="SNP2207" s="582" t="s">
        <v>1224</v>
      </c>
      <c r="SNQ2207" s="582" t="s">
        <v>1224</v>
      </c>
      <c r="SNR2207" s="582" t="s">
        <v>1224</v>
      </c>
      <c r="SNS2207" s="582" t="s">
        <v>1224</v>
      </c>
      <c r="SNT2207" s="582" t="s">
        <v>1224</v>
      </c>
      <c r="SNU2207" s="582" t="s">
        <v>1224</v>
      </c>
      <c r="SNV2207" s="582" t="s">
        <v>1224</v>
      </c>
      <c r="SNW2207" s="582" t="s">
        <v>1224</v>
      </c>
      <c r="SNX2207" s="582" t="s">
        <v>1224</v>
      </c>
      <c r="SNY2207" s="582" t="s">
        <v>1224</v>
      </c>
      <c r="SNZ2207" s="582" t="s">
        <v>1224</v>
      </c>
      <c r="SOA2207" s="582" t="s">
        <v>1224</v>
      </c>
      <c r="SOB2207" s="582" t="s">
        <v>1224</v>
      </c>
      <c r="SOC2207" s="582" t="s">
        <v>1224</v>
      </c>
      <c r="SOD2207" s="582" t="s">
        <v>1224</v>
      </c>
      <c r="SOE2207" s="582" t="s">
        <v>1224</v>
      </c>
      <c r="SOF2207" s="582" t="s">
        <v>1224</v>
      </c>
      <c r="SOG2207" s="582" t="s">
        <v>1224</v>
      </c>
      <c r="SOH2207" s="582" t="s">
        <v>1224</v>
      </c>
      <c r="SOI2207" s="582" t="s">
        <v>1224</v>
      </c>
      <c r="SOJ2207" s="582" t="s">
        <v>1224</v>
      </c>
      <c r="SOK2207" s="582" t="s">
        <v>1224</v>
      </c>
      <c r="SOL2207" s="582" t="s">
        <v>1224</v>
      </c>
      <c r="SOM2207" s="582" t="s">
        <v>1224</v>
      </c>
      <c r="SON2207" s="582" t="s">
        <v>1224</v>
      </c>
      <c r="SOO2207" s="582" t="s">
        <v>1224</v>
      </c>
      <c r="SOP2207" s="582" t="s">
        <v>1224</v>
      </c>
      <c r="SOQ2207" s="582" t="s">
        <v>1224</v>
      </c>
      <c r="SOR2207" s="582" t="s">
        <v>1224</v>
      </c>
      <c r="SOS2207" s="582" t="s">
        <v>1224</v>
      </c>
      <c r="SOT2207" s="582" t="s">
        <v>1224</v>
      </c>
      <c r="SOU2207" s="582" t="s">
        <v>1224</v>
      </c>
      <c r="SOV2207" s="582" t="s">
        <v>1224</v>
      </c>
      <c r="SOW2207" s="582" t="s">
        <v>1224</v>
      </c>
      <c r="SOX2207" s="582" t="s">
        <v>1224</v>
      </c>
      <c r="SOY2207" s="582" t="s">
        <v>1224</v>
      </c>
      <c r="SOZ2207" s="582" t="s">
        <v>1224</v>
      </c>
      <c r="SPA2207" s="582" t="s">
        <v>1224</v>
      </c>
      <c r="SPB2207" s="582" t="s">
        <v>1224</v>
      </c>
      <c r="SPC2207" s="582" t="s">
        <v>1224</v>
      </c>
      <c r="SPD2207" s="582" t="s">
        <v>1224</v>
      </c>
      <c r="SPE2207" s="582" t="s">
        <v>1224</v>
      </c>
      <c r="SPF2207" s="582" t="s">
        <v>1224</v>
      </c>
      <c r="SPG2207" s="582" t="s">
        <v>1224</v>
      </c>
      <c r="SPH2207" s="582" t="s">
        <v>1224</v>
      </c>
      <c r="SPI2207" s="582" t="s">
        <v>1224</v>
      </c>
      <c r="SPJ2207" s="582" t="s">
        <v>1224</v>
      </c>
      <c r="SPK2207" s="582" t="s">
        <v>1224</v>
      </c>
      <c r="SPL2207" s="582" t="s">
        <v>1224</v>
      </c>
      <c r="SPM2207" s="582" t="s">
        <v>1224</v>
      </c>
      <c r="SPN2207" s="582" t="s">
        <v>1224</v>
      </c>
      <c r="SPO2207" s="582" t="s">
        <v>1224</v>
      </c>
      <c r="SPP2207" s="582" t="s">
        <v>1224</v>
      </c>
      <c r="SPQ2207" s="582" t="s">
        <v>1224</v>
      </c>
      <c r="SPR2207" s="582" t="s">
        <v>1224</v>
      </c>
      <c r="SPS2207" s="582" t="s">
        <v>1224</v>
      </c>
      <c r="SPT2207" s="582" t="s">
        <v>1224</v>
      </c>
      <c r="SPU2207" s="582" t="s">
        <v>1224</v>
      </c>
      <c r="SPV2207" s="582" t="s">
        <v>1224</v>
      </c>
      <c r="SPW2207" s="582" t="s">
        <v>1224</v>
      </c>
      <c r="SPX2207" s="582" t="s">
        <v>1224</v>
      </c>
      <c r="SPY2207" s="582" t="s">
        <v>1224</v>
      </c>
      <c r="SPZ2207" s="582" t="s">
        <v>1224</v>
      </c>
      <c r="SQA2207" s="582" t="s">
        <v>1224</v>
      </c>
      <c r="SQB2207" s="582" t="s">
        <v>1224</v>
      </c>
      <c r="SQC2207" s="582" t="s">
        <v>1224</v>
      </c>
      <c r="SQD2207" s="582" t="s">
        <v>1224</v>
      </c>
      <c r="SQE2207" s="582" t="s">
        <v>1224</v>
      </c>
      <c r="SQF2207" s="582" t="s">
        <v>1224</v>
      </c>
      <c r="SQG2207" s="582" t="s">
        <v>1224</v>
      </c>
      <c r="SQH2207" s="582" t="s">
        <v>1224</v>
      </c>
      <c r="SQI2207" s="582" t="s">
        <v>1224</v>
      </c>
      <c r="SQJ2207" s="582" t="s">
        <v>1224</v>
      </c>
      <c r="SQK2207" s="582" t="s">
        <v>1224</v>
      </c>
      <c r="SQL2207" s="582" t="s">
        <v>1224</v>
      </c>
      <c r="SQM2207" s="582" t="s">
        <v>1224</v>
      </c>
      <c r="SQN2207" s="582" t="s">
        <v>1224</v>
      </c>
      <c r="SQO2207" s="582" t="s">
        <v>1224</v>
      </c>
      <c r="SQP2207" s="582" t="s">
        <v>1224</v>
      </c>
      <c r="SQQ2207" s="582" t="s">
        <v>1224</v>
      </c>
      <c r="SQR2207" s="582" t="s">
        <v>1224</v>
      </c>
      <c r="SQS2207" s="582" t="s">
        <v>1224</v>
      </c>
      <c r="SQT2207" s="582" t="s">
        <v>1224</v>
      </c>
      <c r="SQU2207" s="582" t="s">
        <v>1224</v>
      </c>
      <c r="SQV2207" s="582" t="s">
        <v>1224</v>
      </c>
      <c r="SQW2207" s="582" t="s">
        <v>1224</v>
      </c>
      <c r="SQX2207" s="582" t="s">
        <v>1224</v>
      </c>
      <c r="SQY2207" s="582" t="s">
        <v>1224</v>
      </c>
      <c r="SQZ2207" s="582" t="s">
        <v>1224</v>
      </c>
      <c r="SRA2207" s="582" t="s">
        <v>1224</v>
      </c>
      <c r="SRB2207" s="582" t="s">
        <v>1224</v>
      </c>
      <c r="SRC2207" s="582" t="s">
        <v>1224</v>
      </c>
      <c r="SRD2207" s="582" t="s">
        <v>1224</v>
      </c>
      <c r="SRE2207" s="582" t="s">
        <v>1224</v>
      </c>
      <c r="SRF2207" s="582" t="s">
        <v>1224</v>
      </c>
      <c r="SRG2207" s="582" t="s">
        <v>1224</v>
      </c>
      <c r="SRH2207" s="582" t="s">
        <v>1224</v>
      </c>
      <c r="SRI2207" s="582" t="s">
        <v>1224</v>
      </c>
      <c r="SRJ2207" s="582" t="s">
        <v>1224</v>
      </c>
      <c r="SRK2207" s="582" t="s">
        <v>1224</v>
      </c>
      <c r="SRL2207" s="582" t="s">
        <v>1224</v>
      </c>
      <c r="SRM2207" s="582" t="s">
        <v>1224</v>
      </c>
      <c r="SRN2207" s="582" t="s">
        <v>1224</v>
      </c>
      <c r="SRO2207" s="582" t="s">
        <v>1224</v>
      </c>
      <c r="SRP2207" s="582" t="s">
        <v>1224</v>
      </c>
      <c r="SRQ2207" s="582" t="s">
        <v>1224</v>
      </c>
      <c r="SRR2207" s="582" t="s">
        <v>1224</v>
      </c>
      <c r="SRS2207" s="582" t="s">
        <v>1224</v>
      </c>
      <c r="SRT2207" s="582" t="s">
        <v>1224</v>
      </c>
      <c r="SRU2207" s="582" t="s">
        <v>1224</v>
      </c>
      <c r="SRV2207" s="582" t="s">
        <v>1224</v>
      </c>
      <c r="SRW2207" s="582" t="s">
        <v>1224</v>
      </c>
      <c r="SRX2207" s="582" t="s">
        <v>1224</v>
      </c>
      <c r="SRY2207" s="582" t="s">
        <v>1224</v>
      </c>
      <c r="SRZ2207" s="582" t="s">
        <v>1224</v>
      </c>
      <c r="SSA2207" s="582" t="s">
        <v>1224</v>
      </c>
      <c r="SSB2207" s="582" t="s">
        <v>1224</v>
      </c>
      <c r="SSC2207" s="582" t="s">
        <v>1224</v>
      </c>
      <c r="SSD2207" s="582" t="s">
        <v>1224</v>
      </c>
      <c r="SSE2207" s="582" t="s">
        <v>1224</v>
      </c>
      <c r="SSF2207" s="582" t="s">
        <v>1224</v>
      </c>
      <c r="SSG2207" s="582" t="s">
        <v>1224</v>
      </c>
      <c r="SSH2207" s="582" t="s">
        <v>1224</v>
      </c>
      <c r="SSI2207" s="582" t="s">
        <v>1224</v>
      </c>
      <c r="SSJ2207" s="582" t="s">
        <v>1224</v>
      </c>
      <c r="SSK2207" s="582" t="s">
        <v>1224</v>
      </c>
      <c r="SSL2207" s="582" t="s">
        <v>1224</v>
      </c>
      <c r="SSM2207" s="582" t="s">
        <v>1224</v>
      </c>
      <c r="SSN2207" s="582" t="s">
        <v>1224</v>
      </c>
      <c r="SSO2207" s="582" t="s">
        <v>1224</v>
      </c>
      <c r="SSP2207" s="582" t="s">
        <v>1224</v>
      </c>
      <c r="SSQ2207" s="582" t="s">
        <v>1224</v>
      </c>
      <c r="SSR2207" s="582" t="s">
        <v>1224</v>
      </c>
      <c r="SSS2207" s="582" t="s">
        <v>1224</v>
      </c>
      <c r="SST2207" s="582" t="s">
        <v>1224</v>
      </c>
      <c r="SSU2207" s="582" t="s">
        <v>1224</v>
      </c>
      <c r="SSV2207" s="582" t="s">
        <v>1224</v>
      </c>
      <c r="SSW2207" s="582" t="s">
        <v>1224</v>
      </c>
      <c r="SSX2207" s="582" t="s">
        <v>1224</v>
      </c>
      <c r="SSY2207" s="582" t="s">
        <v>1224</v>
      </c>
      <c r="SSZ2207" s="582" t="s">
        <v>1224</v>
      </c>
      <c r="STA2207" s="582" t="s">
        <v>1224</v>
      </c>
      <c r="STB2207" s="582" t="s">
        <v>1224</v>
      </c>
      <c r="STC2207" s="582" t="s">
        <v>1224</v>
      </c>
      <c r="STD2207" s="582" t="s">
        <v>1224</v>
      </c>
      <c r="STE2207" s="582" t="s">
        <v>1224</v>
      </c>
      <c r="STF2207" s="582" t="s">
        <v>1224</v>
      </c>
      <c r="STG2207" s="582" t="s">
        <v>1224</v>
      </c>
      <c r="STH2207" s="582" t="s">
        <v>1224</v>
      </c>
      <c r="STI2207" s="582" t="s">
        <v>1224</v>
      </c>
      <c r="STJ2207" s="582" t="s">
        <v>1224</v>
      </c>
      <c r="STK2207" s="582" t="s">
        <v>1224</v>
      </c>
      <c r="STL2207" s="582" t="s">
        <v>1224</v>
      </c>
      <c r="STM2207" s="582" t="s">
        <v>1224</v>
      </c>
      <c r="STN2207" s="582" t="s">
        <v>1224</v>
      </c>
      <c r="STO2207" s="582" t="s">
        <v>1224</v>
      </c>
      <c r="STP2207" s="582" t="s">
        <v>1224</v>
      </c>
      <c r="STQ2207" s="582" t="s">
        <v>1224</v>
      </c>
      <c r="STR2207" s="582" t="s">
        <v>1224</v>
      </c>
      <c r="STS2207" s="582" t="s">
        <v>1224</v>
      </c>
      <c r="STT2207" s="582" t="s">
        <v>1224</v>
      </c>
      <c r="STU2207" s="582" t="s">
        <v>1224</v>
      </c>
      <c r="STV2207" s="582" t="s">
        <v>1224</v>
      </c>
      <c r="STW2207" s="582" t="s">
        <v>1224</v>
      </c>
      <c r="STX2207" s="582" t="s">
        <v>1224</v>
      </c>
      <c r="STY2207" s="582" t="s">
        <v>1224</v>
      </c>
      <c r="STZ2207" s="582" t="s">
        <v>1224</v>
      </c>
      <c r="SUA2207" s="582" t="s">
        <v>1224</v>
      </c>
      <c r="SUB2207" s="582" t="s">
        <v>1224</v>
      </c>
      <c r="SUC2207" s="582" t="s">
        <v>1224</v>
      </c>
      <c r="SUD2207" s="582" t="s">
        <v>1224</v>
      </c>
      <c r="SUE2207" s="582" t="s">
        <v>1224</v>
      </c>
      <c r="SUF2207" s="582" t="s">
        <v>1224</v>
      </c>
      <c r="SUG2207" s="582" t="s">
        <v>1224</v>
      </c>
      <c r="SUH2207" s="582" t="s">
        <v>1224</v>
      </c>
      <c r="SUI2207" s="582" t="s">
        <v>1224</v>
      </c>
      <c r="SUJ2207" s="582" t="s">
        <v>1224</v>
      </c>
      <c r="SUK2207" s="582" t="s">
        <v>1224</v>
      </c>
      <c r="SUL2207" s="582" t="s">
        <v>1224</v>
      </c>
      <c r="SUM2207" s="582" t="s">
        <v>1224</v>
      </c>
      <c r="SUN2207" s="582" t="s">
        <v>1224</v>
      </c>
      <c r="SUO2207" s="582" t="s">
        <v>1224</v>
      </c>
      <c r="SUP2207" s="582" t="s">
        <v>1224</v>
      </c>
      <c r="SUQ2207" s="582" t="s">
        <v>1224</v>
      </c>
      <c r="SUR2207" s="582" t="s">
        <v>1224</v>
      </c>
      <c r="SUS2207" s="582" t="s">
        <v>1224</v>
      </c>
      <c r="SUT2207" s="582" t="s">
        <v>1224</v>
      </c>
      <c r="SUU2207" s="582" t="s">
        <v>1224</v>
      </c>
      <c r="SUV2207" s="582" t="s">
        <v>1224</v>
      </c>
      <c r="SUW2207" s="582" t="s">
        <v>1224</v>
      </c>
      <c r="SUX2207" s="582" t="s">
        <v>1224</v>
      </c>
      <c r="SUY2207" s="582" t="s">
        <v>1224</v>
      </c>
      <c r="SUZ2207" s="582" t="s">
        <v>1224</v>
      </c>
      <c r="SVA2207" s="582" t="s">
        <v>1224</v>
      </c>
      <c r="SVB2207" s="582" t="s">
        <v>1224</v>
      </c>
      <c r="SVC2207" s="582" t="s">
        <v>1224</v>
      </c>
      <c r="SVD2207" s="582" t="s">
        <v>1224</v>
      </c>
      <c r="SVE2207" s="582" t="s">
        <v>1224</v>
      </c>
      <c r="SVF2207" s="582" t="s">
        <v>1224</v>
      </c>
      <c r="SVG2207" s="582" t="s">
        <v>1224</v>
      </c>
      <c r="SVH2207" s="582" t="s">
        <v>1224</v>
      </c>
      <c r="SVI2207" s="582" t="s">
        <v>1224</v>
      </c>
      <c r="SVJ2207" s="582" t="s">
        <v>1224</v>
      </c>
      <c r="SVK2207" s="582" t="s">
        <v>1224</v>
      </c>
      <c r="SVL2207" s="582" t="s">
        <v>1224</v>
      </c>
      <c r="SVM2207" s="582" t="s">
        <v>1224</v>
      </c>
      <c r="SVN2207" s="582" t="s">
        <v>1224</v>
      </c>
      <c r="SVO2207" s="582" t="s">
        <v>1224</v>
      </c>
      <c r="SVP2207" s="582" t="s">
        <v>1224</v>
      </c>
      <c r="SVQ2207" s="582" t="s">
        <v>1224</v>
      </c>
      <c r="SVR2207" s="582" t="s">
        <v>1224</v>
      </c>
      <c r="SVS2207" s="582" t="s">
        <v>1224</v>
      </c>
      <c r="SVT2207" s="582" t="s">
        <v>1224</v>
      </c>
      <c r="SVU2207" s="582" t="s">
        <v>1224</v>
      </c>
      <c r="SVV2207" s="582" t="s">
        <v>1224</v>
      </c>
      <c r="SVW2207" s="582" t="s">
        <v>1224</v>
      </c>
      <c r="SVX2207" s="582" t="s">
        <v>1224</v>
      </c>
      <c r="SVY2207" s="582" t="s">
        <v>1224</v>
      </c>
      <c r="SVZ2207" s="582" t="s">
        <v>1224</v>
      </c>
      <c r="SWA2207" s="582" t="s">
        <v>1224</v>
      </c>
      <c r="SWB2207" s="582" t="s">
        <v>1224</v>
      </c>
      <c r="SWC2207" s="582" t="s">
        <v>1224</v>
      </c>
      <c r="SWD2207" s="582" t="s">
        <v>1224</v>
      </c>
      <c r="SWE2207" s="582" t="s">
        <v>1224</v>
      </c>
      <c r="SWF2207" s="582" t="s">
        <v>1224</v>
      </c>
      <c r="SWG2207" s="582" t="s">
        <v>1224</v>
      </c>
      <c r="SWH2207" s="582" t="s">
        <v>1224</v>
      </c>
      <c r="SWI2207" s="582" t="s">
        <v>1224</v>
      </c>
      <c r="SWJ2207" s="582" t="s">
        <v>1224</v>
      </c>
      <c r="SWK2207" s="582" t="s">
        <v>1224</v>
      </c>
      <c r="SWL2207" s="582" t="s">
        <v>1224</v>
      </c>
      <c r="SWM2207" s="582" t="s">
        <v>1224</v>
      </c>
      <c r="SWN2207" s="582" t="s">
        <v>1224</v>
      </c>
      <c r="SWO2207" s="582" t="s">
        <v>1224</v>
      </c>
      <c r="SWP2207" s="582" t="s">
        <v>1224</v>
      </c>
      <c r="SWQ2207" s="582" t="s">
        <v>1224</v>
      </c>
      <c r="SWR2207" s="582" t="s">
        <v>1224</v>
      </c>
      <c r="SWS2207" s="582" t="s">
        <v>1224</v>
      </c>
      <c r="SWT2207" s="582" t="s">
        <v>1224</v>
      </c>
      <c r="SWU2207" s="582" t="s">
        <v>1224</v>
      </c>
      <c r="SWV2207" s="582" t="s">
        <v>1224</v>
      </c>
      <c r="SWW2207" s="582" t="s">
        <v>1224</v>
      </c>
      <c r="SWX2207" s="582" t="s">
        <v>1224</v>
      </c>
      <c r="SWY2207" s="582" t="s">
        <v>1224</v>
      </c>
      <c r="SWZ2207" s="582" t="s">
        <v>1224</v>
      </c>
      <c r="SXA2207" s="582" t="s">
        <v>1224</v>
      </c>
      <c r="SXB2207" s="582" t="s">
        <v>1224</v>
      </c>
      <c r="SXC2207" s="582" t="s">
        <v>1224</v>
      </c>
      <c r="SXD2207" s="582" t="s">
        <v>1224</v>
      </c>
      <c r="SXE2207" s="582" t="s">
        <v>1224</v>
      </c>
      <c r="SXF2207" s="582" t="s">
        <v>1224</v>
      </c>
      <c r="SXG2207" s="582" t="s">
        <v>1224</v>
      </c>
      <c r="SXH2207" s="582" t="s">
        <v>1224</v>
      </c>
      <c r="SXI2207" s="582" t="s">
        <v>1224</v>
      </c>
      <c r="SXJ2207" s="582" t="s">
        <v>1224</v>
      </c>
      <c r="SXK2207" s="582" t="s">
        <v>1224</v>
      </c>
      <c r="SXL2207" s="582" t="s">
        <v>1224</v>
      </c>
      <c r="SXM2207" s="582" t="s">
        <v>1224</v>
      </c>
      <c r="SXN2207" s="582" t="s">
        <v>1224</v>
      </c>
      <c r="SXO2207" s="582" t="s">
        <v>1224</v>
      </c>
      <c r="SXP2207" s="582" t="s">
        <v>1224</v>
      </c>
      <c r="SXQ2207" s="582" t="s">
        <v>1224</v>
      </c>
      <c r="SXR2207" s="582" t="s">
        <v>1224</v>
      </c>
      <c r="SXS2207" s="582" t="s">
        <v>1224</v>
      </c>
      <c r="SXT2207" s="582" t="s">
        <v>1224</v>
      </c>
      <c r="SXU2207" s="582" t="s">
        <v>1224</v>
      </c>
      <c r="SXV2207" s="582" t="s">
        <v>1224</v>
      </c>
      <c r="SXW2207" s="582" t="s">
        <v>1224</v>
      </c>
      <c r="SXX2207" s="582" t="s">
        <v>1224</v>
      </c>
      <c r="SXY2207" s="582" t="s">
        <v>1224</v>
      </c>
      <c r="SXZ2207" s="582" t="s">
        <v>1224</v>
      </c>
      <c r="SYA2207" s="582" t="s">
        <v>1224</v>
      </c>
      <c r="SYB2207" s="582" t="s">
        <v>1224</v>
      </c>
      <c r="SYC2207" s="582" t="s">
        <v>1224</v>
      </c>
      <c r="SYD2207" s="582" t="s">
        <v>1224</v>
      </c>
      <c r="SYE2207" s="582" t="s">
        <v>1224</v>
      </c>
      <c r="SYF2207" s="582" t="s">
        <v>1224</v>
      </c>
      <c r="SYG2207" s="582" t="s">
        <v>1224</v>
      </c>
      <c r="SYH2207" s="582" t="s">
        <v>1224</v>
      </c>
      <c r="SYI2207" s="582" t="s">
        <v>1224</v>
      </c>
      <c r="SYJ2207" s="582" t="s">
        <v>1224</v>
      </c>
      <c r="SYK2207" s="582" t="s">
        <v>1224</v>
      </c>
      <c r="SYL2207" s="582" t="s">
        <v>1224</v>
      </c>
      <c r="SYM2207" s="582" t="s">
        <v>1224</v>
      </c>
      <c r="SYN2207" s="582" t="s">
        <v>1224</v>
      </c>
      <c r="SYO2207" s="582" t="s">
        <v>1224</v>
      </c>
      <c r="SYP2207" s="582" t="s">
        <v>1224</v>
      </c>
      <c r="SYQ2207" s="582" t="s">
        <v>1224</v>
      </c>
      <c r="SYR2207" s="582" t="s">
        <v>1224</v>
      </c>
      <c r="SYS2207" s="582" t="s">
        <v>1224</v>
      </c>
      <c r="SYT2207" s="582" t="s">
        <v>1224</v>
      </c>
      <c r="SYU2207" s="582" t="s">
        <v>1224</v>
      </c>
      <c r="SYV2207" s="582" t="s">
        <v>1224</v>
      </c>
      <c r="SYW2207" s="582" t="s">
        <v>1224</v>
      </c>
      <c r="SYX2207" s="582" t="s">
        <v>1224</v>
      </c>
      <c r="SYY2207" s="582" t="s">
        <v>1224</v>
      </c>
      <c r="SYZ2207" s="582" t="s">
        <v>1224</v>
      </c>
      <c r="SZA2207" s="582" t="s">
        <v>1224</v>
      </c>
      <c r="SZB2207" s="582" t="s">
        <v>1224</v>
      </c>
      <c r="SZC2207" s="582" t="s">
        <v>1224</v>
      </c>
      <c r="SZD2207" s="582" t="s">
        <v>1224</v>
      </c>
      <c r="SZE2207" s="582" t="s">
        <v>1224</v>
      </c>
      <c r="SZF2207" s="582" t="s">
        <v>1224</v>
      </c>
      <c r="SZG2207" s="582" t="s">
        <v>1224</v>
      </c>
      <c r="SZH2207" s="582" t="s">
        <v>1224</v>
      </c>
      <c r="SZI2207" s="582" t="s">
        <v>1224</v>
      </c>
      <c r="SZJ2207" s="582" t="s">
        <v>1224</v>
      </c>
      <c r="SZK2207" s="582" t="s">
        <v>1224</v>
      </c>
      <c r="SZL2207" s="582" t="s">
        <v>1224</v>
      </c>
      <c r="SZM2207" s="582" t="s">
        <v>1224</v>
      </c>
      <c r="SZN2207" s="582" t="s">
        <v>1224</v>
      </c>
      <c r="SZO2207" s="582" t="s">
        <v>1224</v>
      </c>
      <c r="SZP2207" s="582" t="s">
        <v>1224</v>
      </c>
      <c r="SZQ2207" s="582" t="s">
        <v>1224</v>
      </c>
      <c r="SZR2207" s="582" t="s">
        <v>1224</v>
      </c>
      <c r="SZS2207" s="582" t="s">
        <v>1224</v>
      </c>
      <c r="SZT2207" s="582" t="s">
        <v>1224</v>
      </c>
      <c r="SZU2207" s="582" t="s">
        <v>1224</v>
      </c>
      <c r="SZV2207" s="582" t="s">
        <v>1224</v>
      </c>
      <c r="SZW2207" s="582" t="s">
        <v>1224</v>
      </c>
      <c r="SZX2207" s="582" t="s">
        <v>1224</v>
      </c>
      <c r="SZY2207" s="582" t="s">
        <v>1224</v>
      </c>
      <c r="SZZ2207" s="582" t="s">
        <v>1224</v>
      </c>
      <c r="TAA2207" s="582" t="s">
        <v>1224</v>
      </c>
      <c r="TAB2207" s="582" t="s">
        <v>1224</v>
      </c>
      <c r="TAC2207" s="582" t="s">
        <v>1224</v>
      </c>
      <c r="TAD2207" s="582" t="s">
        <v>1224</v>
      </c>
      <c r="TAE2207" s="582" t="s">
        <v>1224</v>
      </c>
      <c r="TAF2207" s="582" t="s">
        <v>1224</v>
      </c>
      <c r="TAG2207" s="582" t="s">
        <v>1224</v>
      </c>
      <c r="TAH2207" s="582" t="s">
        <v>1224</v>
      </c>
      <c r="TAI2207" s="582" t="s">
        <v>1224</v>
      </c>
      <c r="TAJ2207" s="582" t="s">
        <v>1224</v>
      </c>
      <c r="TAK2207" s="582" t="s">
        <v>1224</v>
      </c>
      <c r="TAL2207" s="582" t="s">
        <v>1224</v>
      </c>
      <c r="TAM2207" s="582" t="s">
        <v>1224</v>
      </c>
      <c r="TAN2207" s="582" t="s">
        <v>1224</v>
      </c>
      <c r="TAO2207" s="582" t="s">
        <v>1224</v>
      </c>
      <c r="TAP2207" s="582" t="s">
        <v>1224</v>
      </c>
      <c r="TAQ2207" s="582" t="s">
        <v>1224</v>
      </c>
      <c r="TAR2207" s="582" t="s">
        <v>1224</v>
      </c>
      <c r="TAS2207" s="582" t="s">
        <v>1224</v>
      </c>
      <c r="TAT2207" s="582" t="s">
        <v>1224</v>
      </c>
      <c r="TAU2207" s="582" t="s">
        <v>1224</v>
      </c>
      <c r="TAV2207" s="582" t="s">
        <v>1224</v>
      </c>
      <c r="TAW2207" s="582" t="s">
        <v>1224</v>
      </c>
      <c r="TAX2207" s="582" t="s">
        <v>1224</v>
      </c>
      <c r="TAY2207" s="582" t="s">
        <v>1224</v>
      </c>
      <c r="TAZ2207" s="582" t="s">
        <v>1224</v>
      </c>
      <c r="TBA2207" s="582" t="s">
        <v>1224</v>
      </c>
      <c r="TBB2207" s="582" t="s">
        <v>1224</v>
      </c>
      <c r="TBC2207" s="582" t="s">
        <v>1224</v>
      </c>
      <c r="TBD2207" s="582" t="s">
        <v>1224</v>
      </c>
      <c r="TBE2207" s="582" t="s">
        <v>1224</v>
      </c>
      <c r="TBF2207" s="582" t="s">
        <v>1224</v>
      </c>
      <c r="TBG2207" s="582" t="s">
        <v>1224</v>
      </c>
      <c r="TBH2207" s="582" t="s">
        <v>1224</v>
      </c>
      <c r="TBI2207" s="582" t="s">
        <v>1224</v>
      </c>
      <c r="TBJ2207" s="582" t="s">
        <v>1224</v>
      </c>
      <c r="TBK2207" s="582" t="s">
        <v>1224</v>
      </c>
      <c r="TBL2207" s="582" t="s">
        <v>1224</v>
      </c>
      <c r="TBM2207" s="582" t="s">
        <v>1224</v>
      </c>
      <c r="TBN2207" s="582" t="s">
        <v>1224</v>
      </c>
      <c r="TBO2207" s="582" t="s">
        <v>1224</v>
      </c>
      <c r="TBP2207" s="582" t="s">
        <v>1224</v>
      </c>
      <c r="TBQ2207" s="582" t="s">
        <v>1224</v>
      </c>
      <c r="TBR2207" s="582" t="s">
        <v>1224</v>
      </c>
      <c r="TBS2207" s="582" t="s">
        <v>1224</v>
      </c>
      <c r="TBT2207" s="582" t="s">
        <v>1224</v>
      </c>
      <c r="TBU2207" s="582" t="s">
        <v>1224</v>
      </c>
      <c r="TBV2207" s="582" t="s">
        <v>1224</v>
      </c>
      <c r="TBW2207" s="582" t="s">
        <v>1224</v>
      </c>
      <c r="TBX2207" s="582" t="s">
        <v>1224</v>
      </c>
      <c r="TBY2207" s="582" t="s">
        <v>1224</v>
      </c>
      <c r="TBZ2207" s="582" t="s">
        <v>1224</v>
      </c>
      <c r="TCA2207" s="582" t="s">
        <v>1224</v>
      </c>
      <c r="TCB2207" s="582" t="s">
        <v>1224</v>
      </c>
      <c r="TCC2207" s="582" t="s">
        <v>1224</v>
      </c>
      <c r="TCD2207" s="582" t="s">
        <v>1224</v>
      </c>
      <c r="TCE2207" s="582" t="s">
        <v>1224</v>
      </c>
      <c r="TCF2207" s="582" t="s">
        <v>1224</v>
      </c>
      <c r="TCG2207" s="582" t="s">
        <v>1224</v>
      </c>
      <c r="TCH2207" s="582" t="s">
        <v>1224</v>
      </c>
      <c r="TCI2207" s="582" t="s">
        <v>1224</v>
      </c>
      <c r="TCJ2207" s="582" t="s">
        <v>1224</v>
      </c>
      <c r="TCK2207" s="582" t="s">
        <v>1224</v>
      </c>
      <c r="TCL2207" s="582" t="s">
        <v>1224</v>
      </c>
      <c r="TCM2207" s="582" t="s">
        <v>1224</v>
      </c>
      <c r="TCN2207" s="582" t="s">
        <v>1224</v>
      </c>
      <c r="TCO2207" s="582" t="s">
        <v>1224</v>
      </c>
      <c r="TCP2207" s="582" t="s">
        <v>1224</v>
      </c>
      <c r="TCQ2207" s="582" t="s">
        <v>1224</v>
      </c>
      <c r="TCR2207" s="582" t="s">
        <v>1224</v>
      </c>
      <c r="TCS2207" s="582" t="s">
        <v>1224</v>
      </c>
      <c r="TCT2207" s="582" t="s">
        <v>1224</v>
      </c>
      <c r="TCU2207" s="582" t="s">
        <v>1224</v>
      </c>
      <c r="TCV2207" s="582" t="s">
        <v>1224</v>
      </c>
      <c r="TCW2207" s="582" t="s">
        <v>1224</v>
      </c>
      <c r="TCX2207" s="582" t="s">
        <v>1224</v>
      </c>
      <c r="TCY2207" s="582" t="s">
        <v>1224</v>
      </c>
      <c r="TCZ2207" s="582" t="s">
        <v>1224</v>
      </c>
      <c r="TDA2207" s="582" t="s">
        <v>1224</v>
      </c>
      <c r="TDB2207" s="582" t="s">
        <v>1224</v>
      </c>
      <c r="TDC2207" s="582" t="s">
        <v>1224</v>
      </c>
      <c r="TDD2207" s="582" t="s">
        <v>1224</v>
      </c>
      <c r="TDE2207" s="582" t="s">
        <v>1224</v>
      </c>
      <c r="TDF2207" s="582" t="s">
        <v>1224</v>
      </c>
      <c r="TDG2207" s="582" t="s">
        <v>1224</v>
      </c>
      <c r="TDH2207" s="582" t="s">
        <v>1224</v>
      </c>
      <c r="TDI2207" s="582" t="s">
        <v>1224</v>
      </c>
      <c r="TDJ2207" s="582" t="s">
        <v>1224</v>
      </c>
      <c r="TDK2207" s="582" t="s">
        <v>1224</v>
      </c>
      <c r="TDL2207" s="582" t="s">
        <v>1224</v>
      </c>
      <c r="TDM2207" s="582" t="s">
        <v>1224</v>
      </c>
      <c r="TDN2207" s="582" t="s">
        <v>1224</v>
      </c>
      <c r="TDO2207" s="582" t="s">
        <v>1224</v>
      </c>
      <c r="TDP2207" s="582" t="s">
        <v>1224</v>
      </c>
      <c r="TDQ2207" s="582" t="s">
        <v>1224</v>
      </c>
      <c r="TDR2207" s="582" t="s">
        <v>1224</v>
      </c>
      <c r="TDS2207" s="582" t="s">
        <v>1224</v>
      </c>
      <c r="TDT2207" s="582" t="s">
        <v>1224</v>
      </c>
      <c r="TDU2207" s="582" t="s">
        <v>1224</v>
      </c>
      <c r="TDV2207" s="582" t="s">
        <v>1224</v>
      </c>
      <c r="TDW2207" s="582" t="s">
        <v>1224</v>
      </c>
      <c r="TDX2207" s="582" t="s">
        <v>1224</v>
      </c>
      <c r="TDY2207" s="582" t="s">
        <v>1224</v>
      </c>
      <c r="TDZ2207" s="582" t="s">
        <v>1224</v>
      </c>
      <c r="TEA2207" s="582" t="s">
        <v>1224</v>
      </c>
      <c r="TEB2207" s="582" t="s">
        <v>1224</v>
      </c>
      <c r="TEC2207" s="582" t="s">
        <v>1224</v>
      </c>
      <c r="TED2207" s="582" t="s">
        <v>1224</v>
      </c>
      <c r="TEE2207" s="582" t="s">
        <v>1224</v>
      </c>
      <c r="TEF2207" s="582" t="s">
        <v>1224</v>
      </c>
      <c r="TEG2207" s="582" t="s">
        <v>1224</v>
      </c>
      <c r="TEH2207" s="582" t="s">
        <v>1224</v>
      </c>
      <c r="TEI2207" s="582" t="s">
        <v>1224</v>
      </c>
      <c r="TEJ2207" s="582" t="s">
        <v>1224</v>
      </c>
      <c r="TEK2207" s="582" t="s">
        <v>1224</v>
      </c>
      <c r="TEL2207" s="582" t="s">
        <v>1224</v>
      </c>
      <c r="TEM2207" s="582" t="s">
        <v>1224</v>
      </c>
      <c r="TEN2207" s="582" t="s">
        <v>1224</v>
      </c>
      <c r="TEO2207" s="582" t="s">
        <v>1224</v>
      </c>
      <c r="TEP2207" s="582" t="s">
        <v>1224</v>
      </c>
      <c r="TEQ2207" s="582" t="s">
        <v>1224</v>
      </c>
      <c r="TER2207" s="582" t="s">
        <v>1224</v>
      </c>
      <c r="TES2207" s="582" t="s">
        <v>1224</v>
      </c>
      <c r="TET2207" s="582" t="s">
        <v>1224</v>
      </c>
      <c r="TEU2207" s="582" t="s">
        <v>1224</v>
      </c>
      <c r="TEV2207" s="582" t="s">
        <v>1224</v>
      </c>
      <c r="TEW2207" s="582" t="s">
        <v>1224</v>
      </c>
      <c r="TEX2207" s="582" t="s">
        <v>1224</v>
      </c>
      <c r="TEY2207" s="582" t="s">
        <v>1224</v>
      </c>
      <c r="TEZ2207" s="582" t="s">
        <v>1224</v>
      </c>
      <c r="TFA2207" s="582" t="s">
        <v>1224</v>
      </c>
      <c r="TFB2207" s="582" t="s">
        <v>1224</v>
      </c>
      <c r="TFC2207" s="582" t="s">
        <v>1224</v>
      </c>
      <c r="TFD2207" s="582" t="s">
        <v>1224</v>
      </c>
      <c r="TFE2207" s="582" t="s">
        <v>1224</v>
      </c>
      <c r="TFF2207" s="582" t="s">
        <v>1224</v>
      </c>
      <c r="TFG2207" s="582" t="s">
        <v>1224</v>
      </c>
      <c r="TFH2207" s="582" t="s">
        <v>1224</v>
      </c>
      <c r="TFI2207" s="582" t="s">
        <v>1224</v>
      </c>
      <c r="TFJ2207" s="582" t="s">
        <v>1224</v>
      </c>
      <c r="TFK2207" s="582" t="s">
        <v>1224</v>
      </c>
      <c r="TFL2207" s="582" t="s">
        <v>1224</v>
      </c>
      <c r="TFM2207" s="582" t="s">
        <v>1224</v>
      </c>
      <c r="TFN2207" s="582" t="s">
        <v>1224</v>
      </c>
      <c r="TFO2207" s="582" t="s">
        <v>1224</v>
      </c>
      <c r="TFP2207" s="582" t="s">
        <v>1224</v>
      </c>
      <c r="TFQ2207" s="582" t="s">
        <v>1224</v>
      </c>
      <c r="TFR2207" s="582" t="s">
        <v>1224</v>
      </c>
      <c r="TFS2207" s="582" t="s">
        <v>1224</v>
      </c>
      <c r="TFT2207" s="582" t="s">
        <v>1224</v>
      </c>
      <c r="TFU2207" s="582" t="s">
        <v>1224</v>
      </c>
      <c r="TFV2207" s="582" t="s">
        <v>1224</v>
      </c>
      <c r="TFW2207" s="582" t="s">
        <v>1224</v>
      </c>
      <c r="TFX2207" s="582" t="s">
        <v>1224</v>
      </c>
      <c r="TFY2207" s="582" t="s">
        <v>1224</v>
      </c>
      <c r="TFZ2207" s="582" t="s">
        <v>1224</v>
      </c>
      <c r="TGA2207" s="582" t="s">
        <v>1224</v>
      </c>
      <c r="TGB2207" s="582" t="s">
        <v>1224</v>
      </c>
      <c r="TGC2207" s="582" t="s">
        <v>1224</v>
      </c>
      <c r="TGD2207" s="582" t="s">
        <v>1224</v>
      </c>
      <c r="TGE2207" s="582" t="s">
        <v>1224</v>
      </c>
      <c r="TGF2207" s="582" t="s">
        <v>1224</v>
      </c>
      <c r="TGG2207" s="582" t="s">
        <v>1224</v>
      </c>
      <c r="TGH2207" s="582" t="s">
        <v>1224</v>
      </c>
      <c r="TGI2207" s="582" t="s">
        <v>1224</v>
      </c>
      <c r="TGJ2207" s="582" t="s">
        <v>1224</v>
      </c>
      <c r="TGK2207" s="582" t="s">
        <v>1224</v>
      </c>
      <c r="TGL2207" s="582" t="s">
        <v>1224</v>
      </c>
      <c r="TGM2207" s="582" t="s">
        <v>1224</v>
      </c>
      <c r="TGN2207" s="582" t="s">
        <v>1224</v>
      </c>
      <c r="TGO2207" s="582" t="s">
        <v>1224</v>
      </c>
      <c r="TGP2207" s="582" t="s">
        <v>1224</v>
      </c>
      <c r="TGQ2207" s="582" t="s">
        <v>1224</v>
      </c>
      <c r="TGR2207" s="582" t="s">
        <v>1224</v>
      </c>
      <c r="TGS2207" s="582" t="s">
        <v>1224</v>
      </c>
      <c r="TGT2207" s="582" t="s">
        <v>1224</v>
      </c>
      <c r="TGU2207" s="582" t="s">
        <v>1224</v>
      </c>
      <c r="TGV2207" s="582" t="s">
        <v>1224</v>
      </c>
      <c r="TGW2207" s="582" t="s">
        <v>1224</v>
      </c>
      <c r="TGX2207" s="582" t="s">
        <v>1224</v>
      </c>
      <c r="TGY2207" s="582" t="s">
        <v>1224</v>
      </c>
      <c r="TGZ2207" s="582" t="s">
        <v>1224</v>
      </c>
      <c r="THA2207" s="582" t="s">
        <v>1224</v>
      </c>
      <c r="THB2207" s="582" t="s">
        <v>1224</v>
      </c>
      <c r="THC2207" s="582" t="s">
        <v>1224</v>
      </c>
      <c r="THD2207" s="582" t="s">
        <v>1224</v>
      </c>
      <c r="THE2207" s="582" t="s">
        <v>1224</v>
      </c>
      <c r="THF2207" s="582" t="s">
        <v>1224</v>
      </c>
      <c r="THG2207" s="582" t="s">
        <v>1224</v>
      </c>
      <c r="THH2207" s="582" t="s">
        <v>1224</v>
      </c>
      <c r="THI2207" s="582" t="s">
        <v>1224</v>
      </c>
      <c r="THJ2207" s="582" t="s">
        <v>1224</v>
      </c>
      <c r="THK2207" s="582" t="s">
        <v>1224</v>
      </c>
      <c r="THL2207" s="582" t="s">
        <v>1224</v>
      </c>
      <c r="THM2207" s="582" t="s">
        <v>1224</v>
      </c>
      <c r="THN2207" s="582" t="s">
        <v>1224</v>
      </c>
      <c r="THO2207" s="582" t="s">
        <v>1224</v>
      </c>
      <c r="THP2207" s="582" t="s">
        <v>1224</v>
      </c>
      <c r="THQ2207" s="582" t="s">
        <v>1224</v>
      </c>
      <c r="THR2207" s="582" t="s">
        <v>1224</v>
      </c>
      <c r="THS2207" s="582" t="s">
        <v>1224</v>
      </c>
      <c r="THT2207" s="582" t="s">
        <v>1224</v>
      </c>
      <c r="THU2207" s="582" t="s">
        <v>1224</v>
      </c>
      <c r="THV2207" s="582" t="s">
        <v>1224</v>
      </c>
      <c r="THW2207" s="582" t="s">
        <v>1224</v>
      </c>
      <c r="THX2207" s="582" t="s">
        <v>1224</v>
      </c>
      <c r="THY2207" s="582" t="s">
        <v>1224</v>
      </c>
      <c r="THZ2207" s="582" t="s">
        <v>1224</v>
      </c>
      <c r="TIA2207" s="582" t="s">
        <v>1224</v>
      </c>
      <c r="TIB2207" s="582" t="s">
        <v>1224</v>
      </c>
      <c r="TIC2207" s="582" t="s">
        <v>1224</v>
      </c>
      <c r="TID2207" s="582" t="s">
        <v>1224</v>
      </c>
      <c r="TIE2207" s="582" t="s">
        <v>1224</v>
      </c>
      <c r="TIF2207" s="582" t="s">
        <v>1224</v>
      </c>
      <c r="TIG2207" s="582" t="s">
        <v>1224</v>
      </c>
      <c r="TIH2207" s="582" t="s">
        <v>1224</v>
      </c>
      <c r="TII2207" s="582" t="s">
        <v>1224</v>
      </c>
      <c r="TIJ2207" s="582" t="s">
        <v>1224</v>
      </c>
      <c r="TIK2207" s="582" t="s">
        <v>1224</v>
      </c>
      <c r="TIL2207" s="582" t="s">
        <v>1224</v>
      </c>
      <c r="TIM2207" s="582" t="s">
        <v>1224</v>
      </c>
      <c r="TIN2207" s="582" t="s">
        <v>1224</v>
      </c>
      <c r="TIO2207" s="582" t="s">
        <v>1224</v>
      </c>
      <c r="TIP2207" s="582" t="s">
        <v>1224</v>
      </c>
      <c r="TIQ2207" s="582" t="s">
        <v>1224</v>
      </c>
      <c r="TIR2207" s="582" t="s">
        <v>1224</v>
      </c>
      <c r="TIS2207" s="582" t="s">
        <v>1224</v>
      </c>
      <c r="TIT2207" s="582" t="s">
        <v>1224</v>
      </c>
      <c r="TIU2207" s="582" t="s">
        <v>1224</v>
      </c>
      <c r="TIV2207" s="582" t="s">
        <v>1224</v>
      </c>
      <c r="TIW2207" s="582" t="s">
        <v>1224</v>
      </c>
      <c r="TIX2207" s="582" t="s">
        <v>1224</v>
      </c>
      <c r="TIY2207" s="582" t="s">
        <v>1224</v>
      </c>
      <c r="TIZ2207" s="582" t="s">
        <v>1224</v>
      </c>
      <c r="TJA2207" s="582" t="s">
        <v>1224</v>
      </c>
      <c r="TJB2207" s="582" t="s">
        <v>1224</v>
      </c>
      <c r="TJC2207" s="582" t="s">
        <v>1224</v>
      </c>
      <c r="TJD2207" s="582" t="s">
        <v>1224</v>
      </c>
      <c r="TJE2207" s="582" t="s">
        <v>1224</v>
      </c>
      <c r="TJF2207" s="582" t="s">
        <v>1224</v>
      </c>
      <c r="TJG2207" s="582" t="s">
        <v>1224</v>
      </c>
      <c r="TJH2207" s="582" t="s">
        <v>1224</v>
      </c>
      <c r="TJI2207" s="582" t="s">
        <v>1224</v>
      </c>
      <c r="TJJ2207" s="582" t="s">
        <v>1224</v>
      </c>
      <c r="TJK2207" s="582" t="s">
        <v>1224</v>
      </c>
      <c r="TJL2207" s="582" t="s">
        <v>1224</v>
      </c>
      <c r="TJM2207" s="582" t="s">
        <v>1224</v>
      </c>
      <c r="TJN2207" s="582" t="s">
        <v>1224</v>
      </c>
      <c r="TJO2207" s="582" t="s">
        <v>1224</v>
      </c>
      <c r="TJP2207" s="582" t="s">
        <v>1224</v>
      </c>
      <c r="TJQ2207" s="582" t="s">
        <v>1224</v>
      </c>
      <c r="TJR2207" s="582" t="s">
        <v>1224</v>
      </c>
      <c r="TJS2207" s="582" t="s">
        <v>1224</v>
      </c>
      <c r="TJT2207" s="582" t="s">
        <v>1224</v>
      </c>
      <c r="TJU2207" s="582" t="s">
        <v>1224</v>
      </c>
      <c r="TJV2207" s="582" t="s">
        <v>1224</v>
      </c>
      <c r="TJW2207" s="582" t="s">
        <v>1224</v>
      </c>
      <c r="TJX2207" s="582" t="s">
        <v>1224</v>
      </c>
      <c r="TJY2207" s="582" t="s">
        <v>1224</v>
      </c>
      <c r="TJZ2207" s="582" t="s">
        <v>1224</v>
      </c>
      <c r="TKA2207" s="582" t="s">
        <v>1224</v>
      </c>
      <c r="TKB2207" s="582" t="s">
        <v>1224</v>
      </c>
      <c r="TKC2207" s="582" t="s">
        <v>1224</v>
      </c>
      <c r="TKD2207" s="582" t="s">
        <v>1224</v>
      </c>
      <c r="TKE2207" s="582" t="s">
        <v>1224</v>
      </c>
      <c r="TKF2207" s="582" t="s">
        <v>1224</v>
      </c>
      <c r="TKG2207" s="582" t="s">
        <v>1224</v>
      </c>
      <c r="TKH2207" s="582" t="s">
        <v>1224</v>
      </c>
      <c r="TKI2207" s="582" t="s">
        <v>1224</v>
      </c>
      <c r="TKJ2207" s="582" t="s">
        <v>1224</v>
      </c>
      <c r="TKK2207" s="582" t="s">
        <v>1224</v>
      </c>
      <c r="TKL2207" s="582" t="s">
        <v>1224</v>
      </c>
      <c r="TKM2207" s="582" t="s">
        <v>1224</v>
      </c>
      <c r="TKN2207" s="582" t="s">
        <v>1224</v>
      </c>
      <c r="TKO2207" s="582" t="s">
        <v>1224</v>
      </c>
      <c r="TKP2207" s="582" t="s">
        <v>1224</v>
      </c>
      <c r="TKQ2207" s="582" t="s">
        <v>1224</v>
      </c>
      <c r="TKR2207" s="582" t="s">
        <v>1224</v>
      </c>
      <c r="TKS2207" s="582" t="s">
        <v>1224</v>
      </c>
      <c r="TKT2207" s="582" t="s">
        <v>1224</v>
      </c>
      <c r="TKU2207" s="582" t="s">
        <v>1224</v>
      </c>
      <c r="TKV2207" s="582" t="s">
        <v>1224</v>
      </c>
      <c r="TKW2207" s="582" t="s">
        <v>1224</v>
      </c>
      <c r="TKX2207" s="582" t="s">
        <v>1224</v>
      </c>
      <c r="TKY2207" s="582" t="s">
        <v>1224</v>
      </c>
      <c r="TKZ2207" s="582" t="s">
        <v>1224</v>
      </c>
      <c r="TLA2207" s="582" t="s">
        <v>1224</v>
      </c>
      <c r="TLB2207" s="582" t="s">
        <v>1224</v>
      </c>
      <c r="TLC2207" s="582" t="s">
        <v>1224</v>
      </c>
      <c r="TLD2207" s="582" t="s">
        <v>1224</v>
      </c>
      <c r="TLE2207" s="582" t="s">
        <v>1224</v>
      </c>
      <c r="TLF2207" s="582" t="s">
        <v>1224</v>
      </c>
      <c r="TLG2207" s="582" t="s">
        <v>1224</v>
      </c>
      <c r="TLH2207" s="582" t="s">
        <v>1224</v>
      </c>
      <c r="TLI2207" s="582" t="s">
        <v>1224</v>
      </c>
      <c r="TLJ2207" s="582" t="s">
        <v>1224</v>
      </c>
      <c r="TLK2207" s="582" t="s">
        <v>1224</v>
      </c>
      <c r="TLL2207" s="582" t="s">
        <v>1224</v>
      </c>
      <c r="TLM2207" s="582" t="s">
        <v>1224</v>
      </c>
      <c r="TLN2207" s="582" t="s">
        <v>1224</v>
      </c>
      <c r="TLO2207" s="582" t="s">
        <v>1224</v>
      </c>
      <c r="TLP2207" s="582" t="s">
        <v>1224</v>
      </c>
      <c r="TLQ2207" s="582" t="s">
        <v>1224</v>
      </c>
      <c r="TLR2207" s="582" t="s">
        <v>1224</v>
      </c>
      <c r="TLS2207" s="582" t="s">
        <v>1224</v>
      </c>
      <c r="TLT2207" s="582" t="s">
        <v>1224</v>
      </c>
      <c r="TLU2207" s="582" t="s">
        <v>1224</v>
      </c>
      <c r="TLV2207" s="582" t="s">
        <v>1224</v>
      </c>
      <c r="TLW2207" s="582" t="s">
        <v>1224</v>
      </c>
      <c r="TLX2207" s="582" t="s">
        <v>1224</v>
      </c>
      <c r="TLY2207" s="582" t="s">
        <v>1224</v>
      </c>
      <c r="TLZ2207" s="582" t="s">
        <v>1224</v>
      </c>
      <c r="TMA2207" s="582" t="s">
        <v>1224</v>
      </c>
      <c r="TMB2207" s="582" t="s">
        <v>1224</v>
      </c>
      <c r="TMC2207" s="582" t="s">
        <v>1224</v>
      </c>
      <c r="TMD2207" s="582" t="s">
        <v>1224</v>
      </c>
      <c r="TME2207" s="582" t="s">
        <v>1224</v>
      </c>
      <c r="TMF2207" s="582" t="s">
        <v>1224</v>
      </c>
      <c r="TMG2207" s="582" t="s">
        <v>1224</v>
      </c>
      <c r="TMH2207" s="582" t="s">
        <v>1224</v>
      </c>
      <c r="TMI2207" s="582" t="s">
        <v>1224</v>
      </c>
      <c r="TMJ2207" s="582" t="s">
        <v>1224</v>
      </c>
      <c r="TMK2207" s="582" t="s">
        <v>1224</v>
      </c>
      <c r="TML2207" s="582" t="s">
        <v>1224</v>
      </c>
      <c r="TMM2207" s="582" t="s">
        <v>1224</v>
      </c>
      <c r="TMN2207" s="582" t="s">
        <v>1224</v>
      </c>
      <c r="TMO2207" s="582" t="s">
        <v>1224</v>
      </c>
      <c r="TMP2207" s="582" t="s">
        <v>1224</v>
      </c>
      <c r="TMQ2207" s="582" t="s">
        <v>1224</v>
      </c>
      <c r="TMR2207" s="582" t="s">
        <v>1224</v>
      </c>
      <c r="TMS2207" s="582" t="s">
        <v>1224</v>
      </c>
      <c r="TMT2207" s="582" t="s">
        <v>1224</v>
      </c>
      <c r="TMU2207" s="582" t="s">
        <v>1224</v>
      </c>
      <c r="TMV2207" s="582" t="s">
        <v>1224</v>
      </c>
      <c r="TMW2207" s="582" t="s">
        <v>1224</v>
      </c>
      <c r="TMX2207" s="582" t="s">
        <v>1224</v>
      </c>
      <c r="TMY2207" s="582" t="s">
        <v>1224</v>
      </c>
      <c r="TMZ2207" s="582" t="s">
        <v>1224</v>
      </c>
      <c r="TNA2207" s="582" t="s">
        <v>1224</v>
      </c>
      <c r="TNB2207" s="582" t="s">
        <v>1224</v>
      </c>
      <c r="TNC2207" s="582" t="s">
        <v>1224</v>
      </c>
      <c r="TND2207" s="582" t="s">
        <v>1224</v>
      </c>
      <c r="TNE2207" s="582" t="s">
        <v>1224</v>
      </c>
      <c r="TNF2207" s="582" t="s">
        <v>1224</v>
      </c>
      <c r="TNG2207" s="582" t="s">
        <v>1224</v>
      </c>
      <c r="TNH2207" s="582" t="s">
        <v>1224</v>
      </c>
      <c r="TNI2207" s="582" t="s">
        <v>1224</v>
      </c>
      <c r="TNJ2207" s="582" t="s">
        <v>1224</v>
      </c>
      <c r="TNK2207" s="582" t="s">
        <v>1224</v>
      </c>
      <c r="TNL2207" s="582" t="s">
        <v>1224</v>
      </c>
      <c r="TNM2207" s="582" t="s">
        <v>1224</v>
      </c>
      <c r="TNN2207" s="582" t="s">
        <v>1224</v>
      </c>
      <c r="TNO2207" s="582" t="s">
        <v>1224</v>
      </c>
      <c r="TNP2207" s="582" t="s">
        <v>1224</v>
      </c>
      <c r="TNQ2207" s="582" t="s">
        <v>1224</v>
      </c>
      <c r="TNR2207" s="582" t="s">
        <v>1224</v>
      </c>
      <c r="TNS2207" s="582" t="s">
        <v>1224</v>
      </c>
      <c r="TNT2207" s="582" t="s">
        <v>1224</v>
      </c>
      <c r="TNU2207" s="582" t="s">
        <v>1224</v>
      </c>
      <c r="TNV2207" s="582" t="s">
        <v>1224</v>
      </c>
      <c r="TNW2207" s="582" t="s">
        <v>1224</v>
      </c>
      <c r="TNX2207" s="582" t="s">
        <v>1224</v>
      </c>
      <c r="TNY2207" s="582" t="s">
        <v>1224</v>
      </c>
      <c r="TNZ2207" s="582" t="s">
        <v>1224</v>
      </c>
      <c r="TOA2207" s="582" t="s">
        <v>1224</v>
      </c>
      <c r="TOB2207" s="582" t="s">
        <v>1224</v>
      </c>
      <c r="TOC2207" s="582" t="s">
        <v>1224</v>
      </c>
      <c r="TOD2207" s="582" t="s">
        <v>1224</v>
      </c>
      <c r="TOE2207" s="582" t="s">
        <v>1224</v>
      </c>
      <c r="TOF2207" s="582" t="s">
        <v>1224</v>
      </c>
      <c r="TOG2207" s="582" t="s">
        <v>1224</v>
      </c>
      <c r="TOH2207" s="582" t="s">
        <v>1224</v>
      </c>
      <c r="TOI2207" s="582" t="s">
        <v>1224</v>
      </c>
      <c r="TOJ2207" s="582" t="s">
        <v>1224</v>
      </c>
      <c r="TOK2207" s="582" t="s">
        <v>1224</v>
      </c>
      <c r="TOL2207" s="582" t="s">
        <v>1224</v>
      </c>
      <c r="TOM2207" s="582" t="s">
        <v>1224</v>
      </c>
      <c r="TON2207" s="582" t="s">
        <v>1224</v>
      </c>
      <c r="TOO2207" s="582" t="s">
        <v>1224</v>
      </c>
      <c r="TOP2207" s="582" t="s">
        <v>1224</v>
      </c>
      <c r="TOQ2207" s="582" t="s">
        <v>1224</v>
      </c>
      <c r="TOR2207" s="582" t="s">
        <v>1224</v>
      </c>
      <c r="TOS2207" s="582" t="s">
        <v>1224</v>
      </c>
      <c r="TOT2207" s="582" t="s">
        <v>1224</v>
      </c>
      <c r="TOU2207" s="582" t="s">
        <v>1224</v>
      </c>
      <c r="TOV2207" s="582" t="s">
        <v>1224</v>
      </c>
      <c r="TOW2207" s="582" t="s">
        <v>1224</v>
      </c>
      <c r="TOX2207" s="582" t="s">
        <v>1224</v>
      </c>
      <c r="TOY2207" s="582" t="s">
        <v>1224</v>
      </c>
      <c r="TOZ2207" s="582" t="s">
        <v>1224</v>
      </c>
      <c r="TPA2207" s="582" t="s">
        <v>1224</v>
      </c>
      <c r="TPB2207" s="582" t="s">
        <v>1224</v>
      </c>
      <c r="TPC2207" s="582" t="s">
        <v>1224</v>
      </c>
      <c r="TPD2207" s="582" t="s">
        <v>1224</v>
      </c>
      <c r="TPE2207" s="582" t="s">
        <v>1224</v>
      </c>
      <c r="TPF2207" s="582" t="s">
        <v>1224</v>
      </c>
      <c r="TPG2207" s="582" t="s">
        <v>1224</v>
      </c>
      <c r="TPH2207" s="582" t="s">
        <v>1224</v>
      </c>
      <c r="TPI2207" s="582" t="s">
        <v>1224</v>
      </c>
      <c r="TPJ2207" s="582" t="s">
        <v>1224</v>
      </c>
      <c r="TPK2207" s="582" t="s">
        <v>1224</v>
      </c>
      <c r="TPL2207" s="582" t="s">
        <v>1224</v>
      </c>
      <c r="TPM2207" s="582" t="s">
        <v>1224</v>
      </c>
      <c r="TPN2207" s="582" t="s">
        <v>1224</v>
      </c>
      <c r="TPO2207" s="582" t="s">
        <v>1224</v>
      </c>
      <c r="TPP2207" s="582" t="s">
        <v>1224</v>
      </c>
      <c r="TPQ2207" s="582" t="s">
        <v>1224</v>
      </c>
      <c r="TPR2207" s="582" t="s">
        <v>1224</v>
      </c>
      <c r="TPS2207" s="582" t="s">
        <v>1224</v>
      </c>
      <c r="TPT2207" s="582" t="s">
        <v>1224</v>
      </c>
      <c r="TPU2207" s="582" t="s">
        <v>1224</v>
      </c>
      <c r="TPV2207" s="582" t="s">
        <v>1224</v>
      </c>
      <c r="TPW2207" s="582" t="s">
        <v>1224</v>
      </c>
      <c r="TPX2207" s="582" t="s">
        <v>1224</v>
      </c>
      <c r="TPY2207" s="582" t="s">
        <v>1224</v>
      </c>
      <c r="TPZ2207" s="582" t="s">
        <v>1224</v>
      </c>
      <c r="TQA2207" s="582" t="s">
        <v>1224</v>
      </c>
      <c r="TQB2207" s="582" t="s">
        <v>1224</v>
      </c>
      <c r="TQC2207" s="582" t="s">
        <v>1224</v>
      </c>
      <c r="TQD2207" s="582" t="s">
        <v>1224</v>
      </c>
      <c r="TQE2207" s="582" t="s">
        <v>1224</v>
      </c>
      <c r="TQF2207" s="582" t="s">
        <v>1224</v>
      </c>
      <c r="TQG2207" s="582" t="s">
        <v>1224</v>
      </c>
      <c r="TQH2207" s="582" t="s">
        <v>1224</v>
      </c>
      <c r="TQI2207" s="582" t="s">
        <v>1224</v>
      </c>
      <c r="TQJ2207" s="582" t="s">
        <v>1224</v>
      </c>
      <c r="TQK2207" s="582" t="s">
        <v>1224</v>
      </c>
      <c r="TQL2207" s="582" t="s">
        <v>1224</v>
      </c>
      <c r="TQM2207" s="582" t="s">
        <v>1224</v>
      </c>
      <c r="TQN2207" s="582" t="s">
        <v>1224</v>
      </c>
      <c r="TQO2207" s="582" t="s">
        <v>1224</v>
      </c>
      <c r="TQP2207" s="582" t="s">
        <v>1224</v>
      </c>
      <c r="TQQ2207" s="582" t="s">
        <v>1224</v>
      </c>
      <c r="TQR2207" s="582" t="s">
        <v>1224</v>
      </c>
      <c r="TQS2207" s="582" t="s">
        <v>1224</v>
      </c>
      <c r="TQT2207" s="582" t="s">
        <v>1224</v>
      </c>
      <c r="TQU2207" s="582" t="s">
        <v>1224</v>
      </c>
      <c r="TQV2207" s="582" t="s">
        <v>1224</v>
      </c>
      <c r="TQW2207" s="582" t="s">
        <v>1224</v>
      </c>
      <c r="TQX2207" s="582" t="s">
        <v>1224</v>
      </c>
      <c r="TQY2207" s="582" t="s">
        <v>1224</v>
      </c>
      <c r="TQZ2207" s="582" t="s">
        <v>1224</v>
      </c>
      <c r="TRA2207" s="582" t="s">
        <v>1224</v>
      </c>
      <c r="TRB2207" s="582" t="s">
        <v>1224</v>
      </c>
      <c r="TRC2207" s="582" t="s">
        <v>1224</v>
      </c>
      <c r="TRD2207" s="582" t="s">
        <v>1224</v>
      </c>
      <c r="TRE2207" s="582" t="s">
        <v>1224</v>
      </c>
      <c r="TRF2207" s="582" t="s">
        <v>1224</v>
      </c>
      <c r="TRG2207" s="582" t="s">
        <v>1224</v>
      </c>
      <c r="TRH2207" s="582" t="s">
        <v>1224</v>
      </c>
      <c r="TRI2207" s="582" t="s">
        <v>1224</v>
      </c>
      <c r="TRJ2207" s="582" t="s">
        <v>1224</v>
      </c>
      <c r="TRK2207" s="582" t="s">
        <v>1224</v>
      </c>
      <c r="TRL2207" s="582" t="s">
        <v>1224</v>
      </c>
      <c r="TRM2207" s="582" t="s">
        <v>1224</v>
      </c>
      <c r="TRN2207" s="582" t="s">
        <v>1224</v>
      </c>
      <c r="TRO2207" s="582" t="s">
        <v>1224</v>
      </c>
      <c r="TRP2207" s="582" t="s">
        <v>1224</v>
      </c>
      <c r="TRQ2207" s="582" t="s">
        <v>1224</v>
      </c>
      <c r="TRR2207" s="582" t="s">
        <v>1224</v>
      </c>
      <c r="TRS2207" s="582" t="s">
        <v>1224</v>
      </c>
      <c r="TRT2207" s="582" t="s">
        <v>1224</v>
      </c>
      <c r="TRU2207" s="582" t="s">
        <v>1224</v>
      </c>
      <c r="TRV2207" s="582" t="s">
        <v>1224</v>
      </c>
      <c r="TRW2207" s="582" t="s">
        <v>1224</v>
      </c>
      <c r="TRX2207" s="582" t="s">
        <v>1224</v>
      </c>
      <c r="TRY2207" s="582" t="s">
        <v>1224</v>
      </c>
      <c r="TRZ2207" s="582" t="s">
        <v>1224</v>
      </c>
      <c r="TSA2207" s="582" t="s">
        <v>1224</v>
      </c>
      <c r="TSB2207" s="582" t="s">
        <v>1224</v>
      </c>
      <c r="TSC2207" s="582" t="s">
        <v>1224</v>
      </c>
      <c r="TSD2207" s="582" t="s">
        <v>1224</v>
      </c>
      <c r="TSE2207" s="582" t="s">
        <v>1224</v>
      </c>
      <c r="TSF2207" s="582" t="s">
        <v>1224</v>
      </c>
      <c r="TSG2207" s="582" t="s">
        <v>1224</v>
      </c>
      <c r="TSH2207" s="582" t="s">
        <v>1224</v>
      </c>
      <c r="TSI2207" s="582" t="s">
        <v>1224</v>
      </c>
      <c r="TSJ2207" s="582" t="s">
        <v>1224</v>
      </c>
      <c r="TSK2207" s="582" t="s">
        <v>1224</v>
      </c>
      <c r="TSL2207" s="582" t="s">
        <v>1224</v>
      </c>
      <c r="TSM2207" s="582" t="s">
        <v>1224</v>
      </c>
      <c r="TSN2207" s="582" t="s">
        <v>1224</v>
      </c>
      <c r="TSO2207" s="582" t="s">
        <v>1224</v>
      </c>
      <c r="TSP2207" s="582" t="s">
        <v>1224</v>
      </c>
      <c r="TSQ2207" s="582" t="s">
        <v>1224</v>
      </c>
      <c r="TSR2207" s="582" t="s">
        <v>1224</v>
      </c>
      <c r="TSS2207" s="582" t="s">
        <v>1224</v>
      </c>
      <c r="TST2207" s="582" t="s">
        <v>1224</v>
      </c>
      <c r="TSU2207" s="582" t="s">
        <v>1224</v>
      </c>
      <c r="TSV2207" s="582" t="s">
        <v>1224</v>
      </c>
      <c r="TSW2207" s="582" t="s">
        <v>1224</v>
      </c>
      <c r="TSX2207" s="582" t="s">
        <v>1224</v>
      </c>
      <c r="TSY2207" s="582" t="s">
        <v>1224</v>
      </c>
      <c r="TSZ2207" s="582" t="s">
        <v>1224</v>
      </c>
      <c r="TTA2207" s="582" t="s">
        <v>1224</v>
      </c>
      <c r="TTB2207" s="582" t="s">
        <v>1224</v>
      </c>
      <c r="TTC2207" s="582" t="s">
        <v>1224</v>
      </c>
      <c r="TTD2207" s="582" t="s">
        <v>1224</v>
      </c>
      <c r="TTE2207" s="582" t="s">
        <v>1224</v>
      </c>
      <c r="TTF2207" s="582" t="s">
        <v>1224</v>
      </c>
      <c r="TTG2207" s="582" t="s">
        <v>1224</v>
      </c>
      <c r="TTH2207" s="582" t="s">
        <v>1224</v>
      </c>
      <c r="TTI2207" s="582" t="s">
        <v>1224</v>
      </c>
      <c r="TTJ2207" s="582" t="s">
        <v>1224</v>
      </c>
      <c r="TTK2207" s="582" t="s">
        <v>1224</v>
      </c>
      <c r="TTL2207" s="582" t="s">
        <v>1224</v>
      </c>
      <c r="TTM2207" s="582" t="s">
        <v>1224</v>
      </c>
      <c r="TTN2207" s="582" t="s">
        <v>1224</v>
      </c>
      <c r="TTO2207" s="582" t="s">
        <v>1224</v>
      </c>
      <c r="TTP2207" s="582" t="s">
        <v>1224</v>
      </c>
      <c r="TTQ2207" s="582" t="s">
        <v>1224</v>
      </c>
      <c r="TTR2207" s="582" t="s">
        <v>1224</v>
      </c>
      <c r="TTS2207" s="582" t="s">
        <v>1224</v>
      </c>
      <c r="TTT2207" s="582" t="s">
        <v>1224</v>
      </c>
      <c r="TTU2207" s="582" t="s">
        <v>1224</v>
      </c>
      <c r="TTV2207" s="582" t="s">
        <v>1224</v>
      </c>
      <c r="TTW2207" s="582" t="s">
        <v>1224</v>
      </c>
      <c r="TTX2207" s="582" t="s">
        <v>1224</v>
      </c>
      <c r="TTY2207" s="582" t="s">
        <v>1224</v>
      </c>
      <c r="TTZ2207" s="582" t="s">
        <v>1224</v>
      </c>
      <c r="TUA2207" s="582" t="s">
        <v>1224</v>
      </c>
      <c r="TUB2207" s="582" t="s">
        <v>1224</v>
      </c>
      <c r="TUC2207" s="582" t="s">
        <v>1224</v>
      </c>
      <c r="TUD2207" s="582" t="s">
        <v>1224</v>
      </c>
      <c r="TUE2207" s="582" t="s">
        <v>1224</v>
      </c>
      <c r="TUF2207" s="582" t="s">
        <v>1224</v>
      </c>
      <c r="TUG2207" s="582" t="s">
        <v>1224</v>
      </c>
      <c r="TUH2207" s="582" t="s">
        <v>1224</v>
      </c>
      <c r="TUI2207" s="582" t="s">
        <v>1224</v>
      </c>
      <c r="TUJ2207" s="582" t="s">
        <v>1224</v>
      </c>
      <c r="TUK2207" s="582" t="s">
        <v>1224</v>
      </c>
      <c r="TUL2207" s="582" t="s">
        <v>1224</v>
      </c>
      <c r="TUM2207" s="582" t="s">
        <v>1224</v>
      </c>
      <c r="TUN2207" s="582" t="s">
        <v>1224</v>
      </c>
      <c r="TUO2207" s="582" t="s">
        <v>1224</v>
      </c>
      <c r="TUP2207" s="582" t="s">
        <v>1224</v>
      </c>
      <c r="TUQ2207" s="582" t="s">
        <v>1224</v>
      </c>
      <c r="TUR2207" s="582" t="s">
        <v>1224</v>
      </c>
      <c r="TUS2207" s="582" t="s">
        <v>1224</v>
      </c>
      <c r="TUT2207" s="582" t="s">
        <v>1224</v>
      </c>
      <c r="TUU2207" s="582" t="s">
        <v>1224</v>
      </c>
      <c r="TUV2207" s="582" t="s">
        <v>1224</v>
      </c>
      <c r="TUW2207" s="582" t="s">
        <v>1224</v>
      </c>
      <c r="TUX2207" s="582" t="s">
        <v>1224</v>
      </c>
      <c r="TUY2207" s="582" t="s">
        <v>1224</v>
      </c>
      <c r="TUZ2207" s="582" t="s">
        <v>1224</v>
      </c>
      <c r="TVA2207" s="582" t="s">
        <v>1224</v>
      </c>
      <c r="TVB2207" s="582" t="s">
        <v>1224</v>
      </c>
      <c r="TVC2207" s="582" t="s">
        <v>1224</v>
      </c>
      <c r="TVD2207" s="582" t="s">
        <v>1224</v>
      </c>
      <c r="TVE2207" s="582" t="s">
        <v>1224</v>
      </c>
      <c r="TVF2207" s="582" t="s">
        <v>1224</v>
      </c>
      <c r="TVG2207" s="582" t="s">
        <v>1224</v>
      </c>
      <c r="TVH2207" s="582" t="s">
        <v>1224</v>
      </c>
      <c r="TVI2207" s="582" t="s">
        <v>1224</v>
      </c>
      <c r="TVJ2207" s="582" t="s">
        <v>1224</v>
      </c>
      <c r="TVK2207" s="582" t="s">
        <v>1224</v>
      </c>
      <c r="TVL2207" s="582" t="s">
        <v>1224</v>
      </c>
      <c r="TVM2207" s="582" t="s">
        <v>1224</v>
      </c>
      <c r="TVN2207" s="582" t="s">
        <v>1224</v>
      </c>
      <c r="TVO2207" s="582" t="s">
        <v>1224</v>
      </c>
      <c r="TVP2207" s="582" t="s">
        <v>1224</v>
      </c>
      <c r="TVQ2207" s="582" t="s">
        <v>1224</v>
      </c>
      <c r="TVR2207" s="582" t="s">
        <v>1224</v>
      </c>
      <c r="TVS2207" s="582" t="s">
        <v>1224</v>
      </c>
      <c r="TVT2207" s="582" t="s">
        <v>1224</v>
      </c>
      <c r="TVU2207" s="582" t="s">
        <v>1224</v>
      </c>
      <c r="TVV2207" s="582" t="s">
        <v>1224</v>
      </c>
      <c r="TVW2207" s="582" t="s">
        <v>1224</v>
      </c>
      <c r="TVX2207" s="582" t="s">
        <v>1224</v>
      </c>
      <c r="TVY2207" s="582" t="s">
        <v>1224</v>
      </c>
      <c r="TVZ2207" s="582" t="s">
        <v>1224</v>
      </c>
      <c r="TWA2207" s="582" t="s">
        <v>1224</v>
      </c>
      <c r="TWB2207" s="582" t="s">
        <v>1224</v>
      </c>
      <c r="TWC2207" s="582" t="s">
        <v>1224</v>
      </c>
      <c r="TWD2207" s="582" t="s">
        <v>1224</v>
      </c>
      <c r="TWE2207" s="582" t="s">
        <v>1224</v>
      </c>
      <c r="TWF2207" s="582" t="s">
        <v>1224</v>
      </c>
      <c r="TWG2207" s="582" t="s">
        <v>1224</v>
      </c>
      <c r="TWH2207" s="582" t="s">
        <v>1224</v>
      </c>
      <c r="TWI2207" s="582" t="s">
        <v>1224</v>
      </c>
      <c r="TWJ2207" s="582" t="s">
        <v>1224</v>
      </c>
      <c r="TWK2207" s="582" t="s">
        <v>1224</v>
      </c>
      <c r="TWL2207" s="582" t="s">
        <v>1224</v>
      </c>
      <c r="TWM2207" s="582" t="s">
        <v>1224</v>
      </c>
      <c r="TWN2207" s="582" t="s">
        <v>1224</v>
      </c>
      <c r="TWO2207" s="582" t="s">
        <v>1224</v>
      </c>
      <c r="TWP2207" s="582" t="s">
        <v>1224</v>
      </c>
      <c r="TWQ2207" s="582" t="s">
        <v>1224</v>
      </c>
      <c r="TWR2207" s="582" t="s">
        <v>1224</v>
      </c>
      <c r="TWS2207" s="582" t="s">
        <v>1224</v>
      </c>
      <c r="TWT2207" s="582" t="s">
        <v>1224</v>
      </c>
      <c r="TWU2207" s="582" t="s">
        <v>1224</v>
      </c>
      <c r="TWV2207" s="582" t="s">
        <v>1224</v>
      </c>
      <c r="TWW2207" s="582" t="s">
        <v>1224</v>
      </c>
      <c r="TWX2207" s="582" t="s">
        <v>1224</v>
      </c>
      <c r="TWY2207" s="582" t="s">
        <v>1224</v>
      </c>
      <c r="TWZ2207" s="582" t="s">
        <v>1224</v>
      </c>
      <c r="TXA2207" s="582" t="s">
        <v>1224</v>
      </c>
      <c r="TXB2207" s="582" t="s">
        <v>1224</v>
      </c>
      <c r="TXC2207" s="582" t="s">
        <v>1224</v>
      </c>
      <c r="TXD2207" s="582" t="s">
        <v>1224</v>
      </c>
      <c r="TXE2207" s="582" t="s">
        <v>1224</v>
      </c>
      <c r="TXF2207" s="582" t="s">
        <v>1224</v>
      </c>
      <c r="TXG2207" s="582" t="s">
        <v>1224</v>
      </c>
      <c r="TXH2207" s="582" t="s">
        <v>1224</v>
      </c>
      <c r="TXI2207" s="582" t="s">
        <v>1224</v>
      </c>
      <c r="TXJ2207" s="582" t="s">
        <v>1224</v>
      </c>
      <c r="TXK2207" s="582" t="s">
        <v>1224</v>
      </c>
      <c r="TXL2207" s="582" t="s">
        <v>1224</v>
      </c>
      <c r="TXM2207" s="582" t="s">
        <v>1224</v>
      </c>
      <c r="TXN2207" s="582" t="s">
        <v>1224</v>
      </c>
      <c r="TXO2207" s="582" t="s">
        <v>1224</v>
      </c>
      <c r="TXP2207" s="582" t="s">
        <v>1224</v>
      </c>
      <c r="TXQ2207" s="582" t="s">
        <v>1224</v>
      </c>
      <c r="TXR2207" s="582" t="s">
        <v>1224</v>
      </c>
      <c r="TXS2207" s="582" t="s">
        <v>1224</v>
      </c>
      <c r="TXT2207" s="582" t="s">
        <v>1224</v>
      </c>
      <c r="TXU2207" s="582" t="s">
        <v>1224</v>
      </c>
      <c r="TXV2207" s="582" t="s">
        <v>1224</v>
      </c>
      <c r="TXW2207" s="582" t="s">
        <v>1224</v>
      </c>
      <c r="TXX2207" s="582" t="s">
        <v>1224</v>
      </c>
      <c r="TXY2207" s="582" t="s">
        <v>1224</v>
      </c>
      <c r="TXZ2207" s="582" t="s">
        <v>1224</v>
      </c>
      <c r="TYA2207" s="582" t="s">
        <v>1224</v>
      </c>
      <c r="TYB2207" s="582" t="s">
        <v>1224</v>
      </c>
      <c r="TYC2207" s="582" t="s">
        <v>1224</v>
      </c>
      <c r="TYD2207" s="582" t="s">
        <v>1224</v>
      </c>
      <c r="TYE2207" s="582" t="s">
        <v>1224</v>
      </c>
      <c r="TYF2207" s="582" t="s">
        <v>1224</v>
      </c>
      <c r="TYG2207" s="582" t="s">
        <v>1224</v>
      </c>
      <c r="TYH2207" s="582" t="s">
        <v>1224</v>
      </c>
      <c r="TYI2207" s="582" t="s">
        <v>1224</v>
      </c>
      <c r="TYJ2207" s="582" t="s">
        <v>1224</v>
      </c>
      <c r="TYK2207" s="582" t="s">
        <v>1224</v>
      </c>
      <c r="TYL2207" s="582" t="s">
        <v>1224</v>
      </c>
      <c r="TYM2207" s="582" t="s">
        <v>1224</v>
      </c>
      <c r="TYN2207" s="582" t="s">
        <v>1224</v>
      </c>
      <c r="TYO2207" s="582" t="s">
        <v>1224</v>
      </c>
      <c r="TYP2207" s="582" t="s">
        <v>1224</v>
      </c>
      <c r="TYQ2207" s="582" t="s">
        <v>1224</v>
      </c>
      <c r="TYR2207" s="582" t="s">
        <v>1224</v>
      </c>
      <c r="TYS2207" s="582" t="s">
        <v>1224</v>
      </c>
      <c r="TYT2207" s="582" t="s">
        <v>1224</v>
      </c>
      <c r="TYU2207" s="582" t="s">
        <v>1224</v>
      </c>
      <c r="TYV2207" s="582" t="s">
        <v>1224</v>
      </c>
      <c r="TYW2207" s="582" t="s">
        <v>1224</v>
      </c>
      <c r="TYX2207" s="582" t="s">
        <v>1224</v>
      </c>
      <c r="TYY2207" s="582" t="s">
        <v>1224</v>
      </c>
      <c r="TYZ2207" s="582" t="s">
        <v>1224</v>
      </c>
      <c r="TZA2207" s="582" t="s">
        <v>1224</v>
      </c>
      <c r="TZB2207" s="582" t="s">
        <v>1224</v>
      </c>
      <c r="TZC2207" s="582" t="s">
        <v>1224</v>
      </c>
      <c r="TZD2207" s="582" t="s">
        <v>1224</v>
      </c>
      <c r="TZE2207" s="582" t="s">
        <v>1224</v>
      </c>
      <c r="TZF2207" s="582" t="s">
        <v>1224</v>
      </c>
      <c r="TZG2207" s="582" t="s">
        <v>1224</v>
      </c>
      <c r="TZH2207" s="582" t="s">
        <v>1224</v>
      </c>
      <c r="TZI2207" s="582" t="s">
        <v>1224</v>
      </c>
      <c r="TZJ2207" s="582" t="s">
        <v>1224</v>
      </c>
      <c r="TZK2207" s="582" t="s">
        <v>1224</v>
      </c>
      <c r="TZL2207" s="582" t="s">
        <v>1224</v>
      </c>
      <c r="TZM2207" s="582" t="s">
        <v>1224</v>
      </c>
      <c r="TZN2207" s="582" t="s">
        <v>1224</v>
      </c>
      <c r="TZO2207" s="582" t="s">
        <v>1224</v>
      </c>
      <c r="TZP2207" s="582" t="s">
        <v>1224</v>
      </c>
      <c r="TZQ2207" s="582" t="s">
        <v>1224</v>
      </c>
      <c r="TZR2207" s="582" t="s">
        <v>1224</v>
      </c>
      <c r="TZS2207" s="582" t="s">
        <v>1224</v>
      </c>
      <c r="TZT2207" s="582" t="s">
        <v>1224</v>
      </c>
      <c r="TZU2207" s="582" t="s">
        <v>1224</v>
      </c>
      <c r="TZV2207" s="582" t="s">
        <v>1224</v>
      </c>
      <c r="TZW2207" s="582" t="s">
        <v>1224</v>
      </c>
      <c r="TZX2207" s="582" t="s">
        <v>1224</v>
      </c>
      <c r="TZY2207" s="582" t="s">
        <v>1224</v>
      </c>
      <c r="TZZ2207" s="582" t="s">
        <v>1224</v>
      </c>
      <c r="UAA2207" s="582" t="s">
        <v>1224</v>
      </c>
      <c r="UAB2207" s="582" t="s">
        <v>1224</v>
      </c>
      <c r="UAC2207" s="582" t="s">
        <v>1224</v>
      </c>
      <c r="UAD2207" s="582" t="s">
        <v>1224</v>
      </c>
      <c r="UAE2207" s="582" t="s">
        <v>1224</v>
      </c>
      <c r="UAF2207" s="582" t="s">
        <v>1224</v>
      </c>
      <c r="UAG2207" s="582" t="s">
        <v>1224</v>
      </c>
      <c r="UAH2207" s="582" t="s">
        <v>1224</v>
      </c>
      <c r="UAI2207" s="582" t="s">
        <v>1224</v>
      </c>
      <c r="UAJ2207" s="582" t="s">
        <v>1224</v>
      </c>
      <c r="UAK2207" s="582" t="s">
        <v>1224</v>
      </c>
      <c r="UAL2207" s="582" t="s">
        <v>1224</v>
      </c>
      <c r="UAM2207" s="582" t="s">
        <v>1224</v>
      </c>
      <c r="UAN2207" s="582" t="s">
        <v>1224</v>
      </c>
      <c r="UAO2207" s="582" t="s">
        <v>1224</v>
      </c>
      <c r="UAP2207" s="582" t="s">
        <v>1224</v>
      </c>
      <c r="UAQ2207" s="582" t="s">
        <v>1224</v>
      </c>
      <c r="UAR2207" s="582" t="s">
        <v>1224</v>
      </c>
      <c r="UAS2207" s="582" t="s">
        <v>1224</v>
      </c>
      <c r="UAT2207" s="582" t="s">
        <v>1224</v>
      </c>
      <c r="UAU2207" s="582" t="s">
        <v>1224</v>
      </c>
      <c r="UAV2207" s="582" t="s">
        <v>1224</v>
      </c>
      <c r="UAW2207" s="582" t="s">
        <v>1224</v>
      </c>
      <c r="UAX2207" s="582" t="s">
        <v>1224</v>
      </c>
      <c r="UAY2207" s="582" t="s">
        <v>1224</v>
      </c>
      <c r="UAZ2207" s="582" t="s">
        <v>1224</v>
      </c>
      <c r="UBA2207" s="582" t="s">
        <v>1224</v>
      </c>
      <c r="UBB2207" s="582" t="s">
        <v>1224</v>
      </c>
      <c r="UBC2207" s="582" t="s">
        <v>1224</v>
      </c>
      <c r="UBD2207" s="582" t="s">
        <v>1224</v>
      </c>
      <c r="UBE2207" s="582" t="s">
        <v>1224</v>
      </c>
      <c r="UBF2207" s="582" t="s">
        <v>1224</v>
      </c>
      <c r="UBG2207" s="582" t="s">
        <v>1224</v>
      </c>
      <c r="UBH2207" s="582" t="s">
        <v>1224</v>
      </c>
      <c r="UBI2207" s="582" t="s">
        <v>1224</v>
      </c>
      <c r="UBJ2207" s="582" t="s">
        <v>1224</v>
      </c>
      <c r="UBK2207" s="582" t="s">
        <v>1224</v>
      </c>
      <c r="UBL2207" s="582" t="s">
        <v>1224</v>
      </c>
      <c r="UBM2207" s="582" t="s">
        <v>1224</v>
      </c>
      <c r="UBN2207" s="582" t="s">
        <v>1224</v>
      </c>
      <c r="UBO2207" s="582" t="s">
        <v>1224</v>
      </c>
      <c r="UBP2207" s="582" t="s">
        <v>1224</v>
      </c>
      <c r="UBQ2207" s="582" t="s">
        <v>1224</v>
      </c>
      <c r="UBR2207" s="582" t="s">
        <v>1224</v>
      </c>
      <c r="UBS2207" s="582" t="s">
        <v>1224</v>
      </c>
      <c r="UBT2207" s="582" t="s">
        <v>1224</v>
      </c>
      <c r="UBU2207" s="582" t="s">
        <v>1224</v>
      </c>
      <c r="UBV2207" s="582" t="s">
        <v>1224</v>
      </c>
      <c r="UBW2207" s="582" t="s">
        <v>1224</v>
      </c>
      <c r="UBX2207" s="582" t="s">
        <v>1224</v>
      </c>
      <c r="UBY2207" s="582" t="s">
        <v>1224</v>
      </c>
      <c r="UBZ2207" s="582" t="s">
        <v>1224</v>
      </c>
      <c r="UCA2207" s="582" t="s">
        <v>1224</v>
      </c>
      <c r="UCB2207" s="582" t="s">
        <v>1224</v>
      </c>
      <c r="UCC2207" s="582" t="s">
        <v>1224</v>
      </c>
      <c r="UCD2207" s="582" t="s">
        <v>1224</v>
      </c>
      <c r="UCE2207" s="582" t="s">
        <v>1224</v>
      </c>
      <c r="UCF2207" s="582" t="s">
        <v>1224</v>
      </c>
      <c r="UCG2207" s="582" t="s">
        <v>1224</v>
      </c>
      <c r="UCH2207" s="582" t="s">
        <v>1224</v>
      </c>
      <c r="UCI2207" s="582" t="s">
        <v>1224</v>
      </c>
      <c r="UCJ2207" s="582" t="s">
        <v>1224</v>
      </c>
      <c r="UCK2207" s="582" t="s">
        <v>1224</v>
      </c>
      <c r="UCL2207" s="582" t="s">
        <v>1224</v>
      </c>
      <c r="UCM2207" s="582" t="s">
        <v>1224</v>
      </c>
      <c r="UCN2207" s="582" t="s">
        <v>1224</v>
      </c>
      <c r="UCO2207" s="582" t="s">
        <v>1224</v>
      </c>
      <c r="UCP2207" s="582" t="s">
        <v>1224</v>
      </c>
      <c r="UCQ2207" s="582" t="s">
        <v>1224</v>
      </c>
      <c r="UCR2207" s="582" t="s">
        <v>1224</v>
      </c>
      <c r="UCS2207" s="582" t="s">
        <v>1224</v>
      </c>
      <c r="UCT2207" s="582" t="s">
        <v>1224</v>
      </c>
      <c r="UCU2207" s="582" t="s">
        <v>1224</v>
      </c>
      <c r="UCV2207" s="582" t="s">
        <v>1224</v>
      </c>
      <c r="UCW2207" s="582" t="s">
        <v>1224</v>
      </c>
      <c r="UCX2207" s="582" t="s">
        <v>1224</v>
      </c>
      <c r="UCY2207" s="582" t="s">
        <v>1224</v>
      </c>
      <c r="UCZ2207" s="582" t="s">
        <v>1224</v>
      </c>
      <c r="UDA2207" s="582" t="s">
        <v>1224</v>
      </c>
      <c r="UDB2207" s="582" t="s">
        <v>1224</v>
      </c>
      <c r="UDC2207" s="582" t="s">
        <v>1224</v>
      </c>
      <c r="UDD2207" s="582" t="s">
        <v>1224</v>
      </c>
      <c r="UDE2207" s="582" t="s">
        <v>1224</v>
      </c>
      <c r="UDF2207" s="582" t="s">
        <v>1224</v>
      </c>
      <c r="UDG2207" s="582" t="s">
        <v>1224</v>
      </c>
      <c r="UDH2207" s="582" t="s">
        <v>1224</v>
      </c>
      <c r="UDI2207" s="582" t="s">
        <v>1224</v>
      </c>
      <c r="UDJ2207" s="582" t="s">
        <v>1224</v>
      </c>
      <c r="UDK2207" s="582" t="s">
        <v>1224</v>
      </c>
      <c r="UDL2207" s="582" t="s">
        <v>1224</v>
      </c>
      <c r="UDM2207" s="582" t="s">
        <v>1224</v>
      </c>
      <c r="UDN2207" s="582" t="s">
        <v>1224</v>
      </c>
      <c r="UDO2207" s="582" t="s">
        <v>1224</v>
      </c>
      <c r="UDP2207" s="582" t="s">
        <v>1224</v>
      </c>
      <c r="UDQ2207" s="582" t="s">
        <v>1224</v>
      </c>
      <c r="UDR2207" s="582" t="s">
        <v>1224</v>
      </c>
      <c r="UDS2207" s="582" t="s">
        <v>1224</v>
      </c>
      <c r="UDT2207" s="582" t="s">
        <v>1224</v>
      </c>
      <c r="UDU2207" s="582" t="s">
        <v>1224</v>
      </c>
      <c r="UDV2207" s="582" t="s">
        <v>1224</v>
      </c>
      <c r="UDW2207" s="582" t="s">
        <v>1224</v>
      </c>
      <c r="UDX2207" s="582" t="s">
        <v>1224</v>
      </c>
      <c r="UDY2207" s="582" t="s">
        <v>1224</v>
      </c>
      <c r="UDZ2207" s="582" t="s">
        <v>1224</v>
      </c>
      <c r="UEA2207" s="582" t="s">
        <v>1224</v>
      </c>
      <c r="UEB2207" s="582" t="s">
        <v>1224</v>
      </c>
      <c r="UEC2207" s="582" t="s">
        <v>1224</v>
      </c>
      <c r="UED2207" s="582" t="s">
        <v>1224</v>
      </c>
      <c r="UEE2207" s="582" t="s">
        <v>1224</v>
      </c>
      <c r="UEF2207" s="582" t="s">
        <v>1224</v>
      </c>
      <c r="UEG2207" s="582" t="s">
        <v>1224</v>
      </c>
      <c r="UEH2207" s="582" t="s">
        <v>1224</v>
      </c>
      <c r="UEI2207" s="582" t="s">
        <v>1224</v>
      </c>
      <c r="UEJ2207" s="582" t="s">
        <v>1224</v>
      </c>
      <c r="UEK2207" s="582" t="s">
        <v>1224</v>
      </c>
      <c r="UEL2207" s="582" t="s">
        <v>1224</v>
      </c>
      <c r="UEM2207" s="582" t="s">
        <v>1224</v>
      </c>
      <c r="UEN2207" s="582" t="s">
        <v>1224</v>
      </c>
      <c r="UEO2207" s="582" t="s">
        <v>1224</v>
      </c>
      <c r="UEP2207" s="582" t="s">
        <v>1224</v>
      </c>
      <c r="UEQ2207" s="582" t="s">
        <v>1224</v>
      </c>
      <c r="UER2207" s="582" t="s">
        <v>1224</v>
      </c>
      <c r="UES2207" s="582" t="s">
        <v>1224</v>
      </c>
      <c r="UET2207" s="582" t="s">
        <v>1224</v>
      </c>
      <c r="UEU2207" s="582" t="s">
        <v>1224</v>
      </c>
      <c r="UEV2207" s="582" t="s">
        <v>1224</v>
      </c>
      <c r="UEW2207" s="582" t="s">
        <v>1224</v>
      </c>
      <c r="UEX2207" s="582" t="s">
        <v>1224</v>
      </c>
      <c r="UEY2207" s="582" t="s">
        <v>1224</v>
      </c>
      <c r="UEZ2207" s="582" t="s">
        <v>1224</v>
      </c>
      <c r="UFA2207" s="582" t="s">
        <v>1224</v>
      </c>
      <c r="UFB2207" s="582" t="s">
        <v>1224</v>
      </c>
      <c r="UFC2207" s="582" t="s">
        <v>1224</v>
      </c>
      <c r="UFD2207" s="582" t="s">
        <v>1224</v>
      </c>
      <c r="UFE2207" s="582" t="s">
        <v>1224</v>
      </c>
      <c r="UFF2207" s="582" t="s">
        <v>1224</v>
      </c>
      <c r="UFG2207" s="582" t="s">
        <v>1224</v>
      </c>
      <c r="UFH2207" s="582" t="s">
        <v>1224</v>
      </c>
      <c r="UFI2207" s="582" t="s">
        <v>1224</v>
      </c>
      <c r="UFJ2207" s="582" t="s">
        <v>1224</v>
      </c>
      <c r="UFK2207" s="582" t="s">
        <v>1224</v>
      </c>
      <c r="UFL2207" s="582" t="s">
        <v>1224</v>
      </c>
      <c r="UFM2207" s="582" t="s">
        <v>1224</v>
      </c>
      <c r="UFN2207" s="582" t="s">
        <v>1224</v>
      </c>
      <c r="UFO2207" s="582" t="s">
        <v>1224</v>
      </c>
      <c r="UFP2207" s="582" t="s">
        <v>1224</v>
      </c>
      <c r="UFQ2207" s="582" t="s">
        <v>1224</v>
      </c>
      <c r="UFR2207" s="582" t="s">
        <v>1224</v>
      </c>
      <c r="UFS2207" s="582" t="s">
        <v>1224</v>
      </c>
      <c r="UFT2207" s="582" t="s">
        <v>1224</v>
      </c>
      <c r="UFU2207" s="582" t="s">
        <v>1224</v>
      </c>
      <c r="UFV2207" s="582" t="s">
        <v>1224</v>
      </c>
      <c r="UFW2207" s="582" t="s">
        <v>1224</v>
      </c>
      <c r="UFX2207" s="582" t="s">
        <v>1224</v>
      </c>
      <c r="UFY2207" s="582" t="s">
        <v>1224</v>
      </c>
      <c r="UFZ2207" s="582" t="s">
        <v>1224</v>
      </c>
      <c r="UGA2207" s="582" t="s">
        <v>1224</v>
      </c>
      <c r="UGB2207" s="582" t="s">
        <v>1224</v>
      </c>
      <c r="UGC2207" s="582" t="s">
        <v>1224</v>
      </c>
      <c r="UGD2207" s="582" t="s">
        <v>1224</v>
      </c>
      <c r="UGE2207" s="582" t="s">
        <v>1224</v>
      </c>
      <c r="UGF2207" s="582" t="s">
        <v>1224</v>
      </c>
      <c r="UGG2207" s="582" t="s">
        <v>1224</v>
      </c>
      <c r="UGH2207" s="582" t="s">
        <v>1224</v>
      </c>
      <c r="UGI2207" s="582" t="s">
        <v>1224</v>
      </c>
      <c r="UGJ2207" s="582" t="s">
        <v>1224</v>
      </c>
      <c r="UGK2207" s="582" t="s">
        <v>1224</v>
      </c>
      <c r="UGL2207" s="582" t="s">
        <v>1224</v>
      </c>
      <c r="UGM2207" s="582" t="s">
        <v>1224</v>
      </c>
      <c r="UGN2207" s="582" t="s">
        <v>1224</v>
      </c>
      <c r="UGO2207" s="582" t="s">
        <v>1224</v>
      </c>
      <c r="UGP2207" s="582" t="s">
        <v>1224</v>
      </c>
      <c r="UGQ2207" s="582" t="s">
        <v>1224</v>
      </c>
      <c r="UGR2207" s="582" t="s">
        <v>1224</v>
      </c>
      <c r="UGS2207" s="582" t="s">
        <v>1224</v>
      </c>
      <c r="UGT2207" s="582" t="s">
        <v>1224</v>
      </c>
      <c r="UGU2207" s="582" t="s">
        <v>1224</v>
      </c>
      <c r="UGV2207" s="582" t="s">
        <v>1224</v>
      </c>
      <c r="UGW2207" s="582" t="s">
        <v>1224</v>
      </c>
      <c r="UGX2207" s="582" t="s">
        <v>1224</v>
      </c>
      <c r="UGY2207" s="582" t="s">
        <v>1224</v>
      </c>
      <c r="UGZ2207" s="582" t="s">
        <v>1224</v>
      </c>
      <c r="UHA2207" s="582" t="s">
        <v>1224</v>
      </c>
      <c r="UHB2207" s="582" t="s">
        <v>1224</v>
      </c>
      <c r="UHC2207" s="582" t="s">
        <v>1224</v>
      </c>
      <c r="UHD2207" s="582" t="s">
        <v>1224</v>
      </c>
      <c r="UHE2207" s="582" t="s">
        <v>1224</v>
      </c>
      <c r="UHF2207" s="582" t="s">
        <v>1224</v>
      </c>
      <c r="UHG2207" s="582" t="s">
        <v>1224</v>
      </c>
      <c r="UHH2207" s="582" t="s">
        <v>1224</v>
      </c>
      <c r="UHI2207" s="582" t="s">
        <v>1224</v>
      </c>
      <c r="UHJ2207" s="582" t="s">
        <v>1224</v>
      </c>
      <c r="UHK2207" s="582" t="s">
        <v>1224</v>
      </c>
      <c r="UHL2207" s="582" t="s">
        <v>1224</v>
      </c>
      <c r="UHM2207" s="582" t="s">
        <v>1224</v>
      </c>
      <c r="UHN2207" s="582" t="s">
        <v>1224</v>
      </c>
      <c r="UHO2207" s="582" t="s">
        <v>1224</v>
      </c>
      <c r="UHP2207" s="582" t="s">
        <v>1224</v>
      </c>
      <c r="UHQ2207" s="582" t="s">
        <v>1224</v>
      </c>
      <c r="UHR2207" s="582" t="s">
        <v>1224</v>
      </c>
      <c r="UHS2207" s="582" t="s">
        <v>1224</v>
      </c>
      <c r="UHT2207" s="582" t="s">
        <v>1224</v>
      </c>
      <c r="UHU2207" s="582" t="s">
        <v>1224</v>
      </c>
      <c r="UHV2207" s="582" t="s">
        <v>1224</v>
      </c>
      <c r="UHW2207" s="582" t="s">
        <v>1224</v>
      </c>
      <c r="UHX2207" s="582" t="s">
        <v>1224</v>
      </c>
      <c r="UHY2207" s="582" t="s">
        <v>1224</v>
      </c>
      <c r="UHZ2207" s="582" t="s">
        <v>1224</v>
      </c>
      <c r="UIA2207" s="582" t="s">
        <v>1224</v>
      </c>
      <c r="UIB2207" s="582" t="s">
        <v>1224</v>
      </c>
      <c r="UIC2207" s="582" t="s">
        <v>1224</v>
      </c>
      <c r="UID2207" s="582" t="s">
        <v>1224</v>
      </c>
      <c r="UIE2207" s="582" t="s">
        <v>1224</v>
      </c>
      <c r="UIF2207" s="582" t="s">
        <v>1224</v>
      </c>
      <c r="UIG2207" s="582" t="s">
        <v>1224</v>
      </c>
      <c r="UIH2207" s="582" t="s">
        <v>1224</v>
      </c>
      <c r="UII2207" s="582" t="s">
        <v>1224</v>
      </c>
      <c r="UIJ2207" s="582" t="s">
        <v>1224</v>
      </c>
      <c r="UIK2207" s="582" t="s">
        <v>1224</v>
      </c>
      <c r="UIL2207" s="582" t="s">
        <v>1224</v>
      </c>
      <c r="UIM2207" s="582" t="s">
        <v>1224</v>
      </c>
      <c r="UIN2207" s="582" t="s">
        <v>1224</v>
      </c>
      <c r="UIO2207" s="582" t="s">
        <v>1224</v>
      </c>
      <c r="UIP2207" s="582" t="s">
        <v>1224</v>
      </c>
      <c r="UIQ2207" s="582" t="s">
        <v>1224</v>
      </c>
      <c r="UIR2207" s="582" t="s">
        <v>1224</v>
      </c>
      <c r="UIS2207" s="582" t="s">
        <v>1224</v>
      </c>
      <c r="UIT2207" s="582" t="s">
        <v>1224</v>
      </c>
      <c r="UIU2207" s="582" t="s">
        <v>1224</v>
      </c>
      <c r="UIV2207" s="582" t="s">
        <v>1224</v>
      </c>
      <c r="UIW2207" s="582" t="s">
        <v>1224</v>
      </c>
      <c r="UIX2207" s="582" t="s">
        <v>1224</v>
      </c>
      <c r="UIY2207" s="582" t="s">
        <v>1224</v>
      </c>
      <c r="UIZ2207" s="582" t="s">
        <v>1224</v>
      </c>
      <c r="UJA2207" s="582" t="s">
        <v>1224</v>
      </c>
      <c r="UJB2207" s="582" t="s">
        <v>1224</v>
      </c>
      <c r="UJC2207" s="582" t="s">
        <v>1224</v>
      </c>
      <c r="UJD2207" s="582" t="s">
        <v>1224</v>
      </c>
      <c r="UJE2207" s="582" t="s">
        <v>1224</v>
      </c>
      <c r="UJF2207" s="582" t="s">
        <v>1224</v>
      </c>
      <c r="UJG2207" s="582" t="s">
        <v>1224</v>
      </c>
      <c r="UJH2207" s="582" t="s">
        <v>1224</v>
      </c>
      <c r="UJI2207" s="582" t="s">
        <v>1224</v>
      </c>
      <c r="UJJ2207" s="582" t="s">
        <v>1224</v>
      </c>
      <c r="UJK2207" s="582" t="s">
        <v>1224</v>
      </c>
      <c r="UJL2207" s="582" t="s">
        <v>1224</v>
      </c>
      <c r="UJM2207" s="582" t="s">
        <v>1224</v>
      </c>
      <c r="UJN2207" s="582" t="s">
        <v>1224</v>
      </c>
      <c r="UJO2207" s="582" t="s">
        <v>1224</v>
      </c>
      <c r="UJP2207" s="582" t="s">
        <v>1224</v>
      </c>
      <c r="UJQ2207" s="582" t="s">
        <v>1224</v>
      </c>
      <c r="UJR2207" s="582" t="s">
        <v>1224</v>
      </c>
      <c r="UJS2207" s="582" t="s">
        <v>1224</v>
      </c>
      <c r="UJT2207" s="582" t="s">
        <v>1224</v>
      </c>
      <c r="UJU2207" s="582" t="s">
        <v>1224</v>
      </c>
      <c r="UJV2207" s="582" t="s">
        <v>1224</v>
      </c>
      <c r="UJW2207" s="582" t="s">
        <v>1224</v>
      </c>
      <c r="UJX2207" s="582" t="s">
        <v>1224</v>
      </c>
      <c r="UJY2207" s="582" t="s">
        <v>1224</v>
      </c>
      <c r="UJZ2207" s="582" t="s">
        <v>1224</v>
      </c>
      <c r="UKA2207" s="582" t="s">
        <v>1224</v>
      </c>
      <c r="UKB2207" s="582" t="s">
        <v>1224</v>
      </c>
      <c r="UKC2207" s="582" t="s">
        <v>1224</v>
      </c>
      <c r="UKD2207" s="582" t="s">
        <v>1224</v>
      </c>
      <c r="UKE2207" s="582" t="s">
        <v>1224</v>
      </c>
      <c r="UKF2207" s="582" t="s">
        <v>1224</v>
      </c>
      <c r="UKG2207" s="582" t="s">
        <v>1224</v>
      </c>
      <c r="UKH2207" s="582" t="s">
        <v>1224</v>
      </c>
      <c r="UKI2207" s="582" t="s">
        <v>1224</v>
      </c>
      <c r="UKJ2207" s="582" t="s">
        <v>1224</v>
      </c>
      <c r="UKK2207" s="582" t="s">
        <v>1224</v>
      </c>
      <c r="UKL2207" s="582" t="s">
        <v>1224</v>
      </c>
      <c r="UKM2207" s="582" t="s">
        <v>1224</v>
      </c>
      <c r="UKN2207" s="582" t="s">
        <v>1224</v>
      </c>
      <c r="UKO2207" s="582" t="s">
        <v>1224</v>
      </c>
      <c r="UKP2207" s="582" t="s">
        <v>1224</v>
      </c>
      <c r="UKQ2207" s="582" t="s">
        <v>1224</v>
      </c>
      <c r="UKR2207" s="582" t="s">
        <v>1224</v>
      </c>
      <c r="UKS2207" s="582" t="s">
        <v>1224</v>
      </c>
      <c r="UKT2207" s="582" t="s">
        <v>1224</v>
      </c>
      <c r="UKU2207" s="582" t="s">
        <v>1224</v>
      </c>
      <c r="UKV2207" s="582" t="s">
        <v>1224</v>
      </c>
      <c r="UKW2207" s="582" t="s">
        <v>1224</v>
      </c>
      <c r="UKX2207" s="582" t="s">
        <v>1224</v>
      </c>
      <c r="UKY2207" s="582" t="s">
        <v>1224</v>
      </c>
      <c r="UKZ2207" s="582" t="s">
        <v>1224</v>
      </c>
      <c r="ULA2207" s="582" t="s">
        <v>1224</v>
      </c>
      <c r="ULB2207" s="582" t="s">
        <v>1224</v>
      </c>
      <c r="ULC2207" s="582" t="s">
        <v>1224</v>
      </c>
      <c r="ULD2207" s="582" t="s">
        <v>1224</v>
      </c>
      <c r="ULE2207" s="582" t="s">
        <v>1224</v>
      </c>
      <c r="ULF2207" s="582" t="s">
        <v>1224</v>
      </c>
      <c r="ULG2207" s="582" t="s">
        <v>1224</v>
      </c>
      <c r="ULH2207" s="582" t="s">
        <v>1224</v>
      </c>
      <c r="ULI2207" s="582" t="s">
        <v>1224</v>
      </c>
      <c r="ULJ2207" s="582" t="s">
        <v>1224</v>
      </c>
      <c r="ULK2207" s="582" t="s">
        <v>1224</v>
      </c>
      <c r="ULL2207" s="582" t="s">
        <v>1224</v>
      </c>
      <c r="ULM2207" s="582" t="s">
        <v>1224</v>
      </c>
      <c r="ULN2207" s="582" t="s">
        <v>1224</v>
      </c>
      <c r="ULO2207" s="582" t="s">
        <v>1224</v>
      </c>
      <c r="ULP2207" s="582" t="s">
        <v>1224</v>
      </c>
      <c r="ULQ2207" s="582" t="s">
        <v>1224</v>
      </c>
      <c r="ULR2207" s="582" t="s">
        <v>1224</v>
      </c>
      <c r="ULS2207" s="582" t="s">
        <v>1224</v>
      </c>
      <c r="ULT2207" s="582" t="s">
        <v>1224</v>
      </c>
      <c r="ULU2207" s="582" t="s">
        <v>1224</v>
      </c>
      <c r="ULV2207" s="582" t="s">
        <v>1224</v>
      </c>
      <c r="ULW2207" s="582" t="s">
        <v>1224</v>
      </c>
      <c r="ULX2207" s="582" t="s">
        <v>1224</v>
      </c>
      <c r="ULY2207" s="582" t="s">
        <v>1224</v>
      </c>
      <c r="ULZ2207" s="582" t="s">
        <v>1224</v>
      </c>
      <c r="UMA2207" s="582" t="s">
        <v>1224</v>
      </c>
      <c r="UMB2207" s="582" t="s">
        <v>1224</v>
      </c>
      <c r="UMC2207" s="582" t="s">
        <v>1224</v>
      </c>
      <c r="UMD2207" s="582" t="s">
        <v>1224</v>
      </c>
      <c r="UME2207" s="582" t="s">
        <v>1224</v>
      </c>
      <c r="UMF2207" s="582" t="s">
        <v>1224</v>
      </c>
      <c r="UMG2207" s="582" t="s">
        <v>1224</v>
      </c>
      <c r="UMH2207" s="582" t="s">
        <v>1224</v>
      </c>
      <c r="UMI2207" s="582" t="s">
        <v>1224</v>
      </c>
      <c r="UMJ2207" s="582" t="s">
        <v>1224</v>
      </c>
      <c r="UMK2207" s="582" t="s">
        <v>1224</v>
      </c>
      <c r="UML2207" s="582" t="s">
        <v>1224</v>
      </c>
      <c r="UMM2207" s="582" t="s">
        <v>1224</v>
      </c>
      <c r="UMN2207" s="582" t="s">
        <v>1224</v>
      </c>
      <c r="UMO2207" s="582" t="s">
        <v>1224</v>
      </c>
      <c r="UMP2207" s="582" t="s">
        <v>1224</v>
      </c>
      <c r="UMQ2207" s="582" t="s">
        <v>1224</v>
      </c>
      <c r="UMR2207" s="582" t="s">
        <v>1224</v>
      </c>
      <c r="UMS2207" s="582" t="s">
        <v>1224</v>
      </c>
      <c r="UMT2207" s="582" t="s">
        <v>1224</v>
      </c>
      <c r="UMU2207" s="582" t="s">
        <v>1224</v>
      </c>
      <c r="UMV2207" s="582" t="s">
        <v>1224</v>
      </c>
      <c r="UMW2207" s="582" t="s">
        <v>1224</v>
      </c>
      <c r="UMX2207" s="582" t="s">
        <v>1224</v>
      </c>
      <c r="UMY2207" s="582" t="s">
        <v>1224</v>
      </c>
      <c r="UMZ2207" s="582" t="s">
        <v>1224</v>
      </c>
      <c r="UNA2207" s="582" t="s">
        <v>1224</v>
      </c>
      <c r="UNB2207" s="582" t="s">
        <v>1224</v>
      </c>
      <c r="UNC2207" s="582" t="s">
        <v>1224</v>
      </c>
      <c r="UND2207" s="582" t="s">
        <v>1224</v>
      </c>
      <c r="UNE2207" s="582" t="s">
        <v>1224</v>
      </c>
      <c r="UNF2207" s="582" t="s">
        <v>1224</v>
      </c>
      <c r="UNG2207" s="582" t="s">
        <v>1224</v>
      </c>
      <c r="UNH2207" s="582" t="s">
        <v>1224</v>
      </c>
      <c r="UNI2207" s="582" t="s">
        <v>1224</v>
      </c>
      <c r="UNJ2207" s="582" t="s">
        <v>1224</v>
      </c>
      <c r="UNK2207" s="582" t="s">
        <v>1224</v>
      </c>
      <c r="UNL2207" s="582" t="s">
        <v>1224</v>
      </c>
      <c r="UNM2207" s="582" t="s">
        <v>1224</v>
      </c>
      <c r="UNN2207" s="582" t="s">
        <v>1224</v>
      </c>
      <c r="UNO2207" s="582" t="s">
        <v>1224</v>
      </c>
      <c r="UNP2207" s="582" t="s">
        <v>1224</v>
      </c>
      <c r="UNQ2207" s="582" t="s">
        <v>1224</v>
      </c>
      <c r="UNR2207" s="582" t="s">
        <v>1224</v>
      </c>
      <c r="UNS2207" s="582" t="s">
        <v>1224</v>
      </c>
      <c r="UNT2207" s="582" t="s">
        <v>1224</v>
      </c>
      <c r="UNU2207" s="582" t="s">
        <v>1224</v>
      </c>
      <c r="UNV2207" s="582" t="s">
        <v>1224</v>
      </c>
      <c r="UNW2207" s="582" t="s">
        <v>1224</v>
      </c>
      <c r="UNX2207" s="582" t="s">
        <v>1224</v>
      </c>
      <c r="UNY2207" s="582" t="s">
        <v>1224</v>
      </c>
      <c r="UNZ2207" s="582" t="s">
        <v>1224</v>
      </c>
      <c r="UOA2207" s="582" t="s">
        <v>1224</v>
      </c>
      <c r="UOB2207" s="582" t="s">
        <v>1224</v>
      </c>
      <c r="UOC2207" s="582" t="s">
        <v>1224</v>
      </c>
      <c r="UOD2207" s="582" t="s">
        <v>1224</v>
      </c>
      <c r="UOE2207" s="582" t="s">
        <v>1224</v>
      </c>
      <c r="UOF2207" s="582" t="s">
        <v>1224</v>
      </c>
      <c r="UOG2207" s="582" t="s">
        <v>1224</v>
      </c>
      <c r="UOH2207" s="582" t="s">
        <v>1224</v>
      </c>
      <c r="UOI2207" s="582" t="s">
        <v>1224</v>
      </c>
      <c r="UOJ2207" s="582" t="s">
        <v>1224</v>
      </c>
      <c r="UOK2207" s="582" t="s">
        <v>1224</v>
      </c>
      <c r="UOL2207" s="582" t="s">
        <v>1224</v>
      </c>
      <c r="UOM2207" s="582" t="s">
        <v>1224</v>
      </c>
      <c r="UON2207" s="582" t="s">
        <v>1224</v>
      </c>
      <c r="UOO2207" s="582" t="s">
        <v>1224</v>
      </c>
      <c r="UOP2207" s="582" t="s">
        <v>1224</v>
      </c>
      <c r="UOQ2207" s="582" t="s">
        <v>1224</v>
      </c>
      <c r="UOR2207" s="582" t="s">
        <v>1224</v>
      </c>
      <c r="UOS2207" s="582" t="s">
        <v>1224</v>
      </c>
      <c r="UOT2207" s="582" t="s">
        <v>1224</v>
      </c>
      <c r="UOU2207" s="582" t="s">
        <v>1224</v>
      </c>
      <c r="UOV2207" s="582" t="s">
        <v>1224</v>
      </c>
      <c r="UOW2207" s="582" t="s">
        <v>1224</v>
      </c>
      <c r="UOX2207" s="582" t="s">
        <v>1224</v>
      </c>
      <c r="UOY2207" s="582" t="s">
        <v>1224</v>
      </c>
      <c r="UOZ2207" s="582" t="s">
        <v>1224</v>
      </c>
      <c r="UPA2207" s="582" t="s">
        <v>1224</v>
      </c>
      <c r="UPB2207" s="582" t="s">
        <v>1224</v>
      </c>
      <c r="UPC2207" s="582" t="s">
        <v>1224</v>
      </c>
      <c r="UPD2207" s="582" t="s">
        <v>1224</v>
      </c>
      <c r="UPE2207" s="582" t="s">
        <v>1224</v>
      </c>
      <c r="UPF2207" s="582" t="s">
        <v>1224</v>
      </c>
      <c r="UPG2207" s="582" t="s">
        <v>1224</v>
      </c>
      <c r="UPH2207" s="582" t="s">
        <v>1224</v>
      </c>
      <c r="UPI2207" s="582" t="s">
        <v>1224</v>
      </c>
      <c r="UPJ2207" s="582" t="s">
        <v>1224</v>
      </c>
      <c r="UPK2207" s="582" t="s">
        <v>1224</v>
      </c>
      <c r="UPL2207" s="582" t="s">
        <v>1224</v>
      </c>
      <c r="UPM2207" s="582" t="s">
        <v>1224</v>
      </c>
      <c r="UPN2207" s="582" t="s">
        <v>1224</v>
      </c>
      <c r="UPO2207" s="582" t="s">
        <v>1224</v>
      </c>
      <c r="UPP2207" s="582" t="s">
        <v>1224</v>
      </c>
      <c r="UPQ2207" s="582" t="s">
        <v>1224</v>
      </c>
      <c r="UPR2207" s="582" t="s">
        <v>1224</v>
      </c>
      <c r="UPS2207" s="582" t="s">
        <v>1224</v>
      </c>
      <c r="UPT2207" s="582" t="s">
        <v>1224</v>
      </c>
      <c r="UPU2207" s="582" t="s">
        <v>1224</v>
      </c>
      <c r="UPV2207" s="582" t="s">
        <v>1224</v>
      </c>
      <c r="UPW2207" s="582" t="s">
        <v>1224</v>
      </c>
      <c r="UPX2207" s="582" t="s">
        <v>1224</v>
      </c>
      <c r="UPY2207" s="582" t="s">
        <v>1224</v>
      </c>
      <c r="UPZ2207" s="582" t="s">
        <v>1224</v>
      </c>
      <c r="UQA2207" s="582" t="s">
        <v>1224</v>
      </c>
      <c r="UQB2207" s="582" t="s">
        <v>1224</v>
      </c>
      <c r="UQC2207" s="582" t="s">
        <v>1224</v>
      </c>
      <c r="UQD2207" s="582" t="s">
        <v>1224</v>
      </c>
      <c r="UQE2207" s="582" t="s">
        <v>1224</v>
      </c>
      <c r="UQF2207" s="582" t="s">
        <v>1224</v>
      </c>
      <c r="UQG2207" s="582" t="s">
        <v>1224</v>
      </c>
      <c r="UQH2207" s="582" t="s">
        <v>1224</v>
      </c>
      <c r="UQI2207" s="582" t="s">
        <v>1224</v>
      </c>
      <c r="UQJ2207" s="582" t="s">
        <v>1224</v>
      </c>
      <c r="UQK2207" s="582" t="s">
        <v>1224</v>
      </c>
      <c r="UQL2207" s="582" t="s">
        <v>1224</v>
      </c>
      <c r="UQM2207" s="582" t="s">
        <v>1224</v>
      </c>
      <c r="UQN2207" s="582" t="s">
        <v>1224</v>
      </c>
      <c r="UQO2207" s="582" t="s">
        <v>1224</v>
      </c>
      <c r="UQP2207" s="582" t="s">
        <v>1224</v>
      </c>
      <c r="UQQ2207" s="582" t="s">
        <v>1224</v>
      </c>
      <c r="UQR2207" s="582" t="s">
        <v>1224</v>
      </c>
      <c r="UQS2207" s="582" t="s">
        <v>1224</v>
      </c>
      <c r="UQT2207" s="582" t="s">
        <v>1224</v>
      </c>
      <c r="UQU2207" s="582" t="s">
        <v>1224</v>
      </c>
      <c r="UQV2207" s="582" t="s">
        <v>1224</v>
      </c>
      <c r="UQW2207" s="582" t="s">
        <v>1224</v>
      </c>
      <c r="UQX2207" s="582" t="s">
        <v>1224</v>
      </c>
      <c r="UQY2207" s="582" t="s">
        <v>1224</v>
      </c>
      <c r="UQZ2207" s="582" t="s">
        <v>1224</v>
      </c>
      <c r="URA2207" s="582" t="s">
        <v>1224</v>
      </c>
      <c r="URB2207" s="582" t="s">
        <v>1224</v>
      </c>
      <c r="URC2207" s="582" t="s">
        <v>1224</v>
      </c>
      <c r="URD2207" s="582" t="s">
        <v>1224</v>
      </c>
      <c r="URE2207" s="582" t="s">
        <v>1224</v>
      </c>
      <c r="URF2207" s="582" t="s">
        <v>1224</v>
      </c>
      <c r="URG2207" s="582" t="s">
        <v>1224</v>
      </c>
      <c r="URH2207" s="582" t="s">
        <v>1224</v>
      </c>
      <c r="URI2207" s="582" t="s">
        <v>1224</v>
      </c>
      <c r="URJ2207" s="582" t="s">
        <v>1224</v>
      </c>
      <c r="URK2207" s="582" t="s">
        <v>1224</v>
      </c>
      <c r="URL2207" s="582" t="s">
        <v>1224</v>
      </c>
      <c r="URM2207" s="582" t="s">
        <v>1224</v>
      </c>
      <c r="URN2207" s="582" t="s">
        <v>1224</v>
      </c>
      <c r="URO2207" s="582" t="s">
        <v>1224</v>
      </c>
      <c r="URP2207" s="582" t="s">
        <v>1224</v>
      </c>
      <c r="URQ2207" s="582" t="s">
        <v>1224</v>
      </c>
      <c r="URR2207" s="582" t="s">
        <v>1224</v>
      </c>
      <c r="URS2207" s="582" t="s">
        <v>1224</v>
      </c>
      <c r="URT2207" s="582" t="s">
        <v>1224</v>
      </c>
      <c r="URU2207" s="582" t="s">
        <v>1224</v>
      </c>
      <c r="URV2207" s="582" t="s">
        <v>1224</v>
      </c>
      <c r="URW2207" s="582" t="s">
        <v>1224</v>
      </c>
      <c r="URX2207" s="582" t="s">
        <v>1224</v>
      </c>
      <c r="URY2207" s="582" t="s">
        <v>1224</v>
      </c>
      <c r="URZ2207" s="582" t="s">
        <v>1224</v>
      </c>
      <c r="USA2207" s="582" t="s">
        <v>1224</v>
      </c>
      <c r="USB2207" s="582" t="s">
        <v>1224</v>
      </c>
      <c r="USC2207" s="582" t="s">
        <v>1224</v>
      </c>
      <c r="USD2207" s="582" t="s">
        <v>1224</v>
      </c>
      <c r="USE2207" s="582" t="s">
        <v>1224</v>
      </c>
      <c r="USF2207" s="582" t="s">
        <v>1224</v>
      </c>
      <c r="USG2207" s="582" t="s">
        <v>1224</v>
      </c>
      <c r="USH2207" s="582" t="s">
        <v>1224</v>
      </c>
      <c r="USI2207" s="582" t="s">
        <v>1224</v>
      </c>
      <c r="USJ2207" s="582" t="s">
        <v>1224</v>
      </c>
      <c r="USK2207" s="582" t="s">
        <v>1224</v>
      </c>
      <c r="USL2207" s="582" t="s">
        <v>1224</v>
      </c>
      <c r="USM2207" s="582" t="s">
        <v>1224</v>
      </c>
      <c r="USN2207" s="582" t="s">
        <v>1224</v>
      </c>
      <c r="USO2207" s="582" t="s">
        <v>1224</v>
      </c>
      <c r="USP2207" s="582" t="s">
        <v>1224</v>
      </c>
      <c r="USQ2207" s="582" t="s">
        <v>1224</v>
      </c>
      <c r="USR2207" s="582" t="s">
        <v>1224</v>
      </c>
      <c r="USS2207" s="582" t="s">
        <v>1224</v>
      </c>
      <c r="UST2207" s="582" t="s">
        <v>1224</v>
      </c>
      <c r="USU2207" s="582" t="s">
        <v>1224</v>
      </c>
      <c r="USV2207" s="582" t="s">
        <v>1224</v>
      </c>
      <c r="USW2207" s="582" t="s">
        <v>1224</v>
      </c>
      <c r="USX2207" s="582" t="s">
        <v>1224</v>
      </c>
      <c r="USY2207" s="582" t="s">
        <v>1224</v>
      </c>
      <c r="USZ2207" s="582" t="s">
        <v>1224</v>
      </c>
      <c r="UTA2207" s="582" t="s">
        <v>1224</v>
      </c>
      <c r="UTB2207" s="582" t="s">
        <v>1224</v>
      </c>
      <c r="UTC2207" s="582" t="s">
        <v>1224</v>
      </c>
      <c r="UTD2207" s="582" t="s">
        <v>1224</v>
      </c>
      <c r="UTE2207" s="582" t="s">
        <v>1224</v>
      </c>
      <c r="UTF2207" s="582" t="s">
        <v>1224</v>
      </c>
      <c r="UTG2207" s="582" t="s">
        <v>1224</v>
      </c>
      <c r="UTH2207" s="582" t="s">
        <v>1224</v>
      </c>
      <c r="UTI2207" s="582" t="s">
        <v>1224</v>
      </c>
      <c r="UTJ2207" s="582" t="s">
        <v>1224</v>
      </c>
      <c r="UTK2207" s="582" t="s">
        <v>1224</v>
      </c>
      <c r="UTL2207" s="582" t="s">
        <v>1224</v>
      </c>
      <c r="UTM2207" s="582" t="s">
        <v>1224</v>
      </c>
      <c r="UTN2207" s="582" t="s">
        <v>1224</v>
      </c>
      <c r="UTO2207" s="582" t="s">
        <v>1224</v>
      </c>
      <c r="UTP2207" s="582" t="s">
        <v>1224</v>
      </c>
      <c r="UTQ2207" s="582" t="s">
        <v>1224</v>
      </c>
      <c r="UTR2207" s="582" t="s">
        <v>1224</v>
      </c>
      <c r="UTS2207" s="582" t="s">
        <v>1224</v>
      </c>
      <c r="UTT2207" s="582" t="s">
        <v>1224</v>
      </c>
      <c r="UTU2207" s="582" t="s">
        <v>1224</v>
      </c>
      <c r="UTV2207" s="582" t="s">
        <v>1224</v>
      </c>
      <c r="UTW2207" s="582" t="s">
        <v>1224</v>
      </c>
      <c r="UTX2207" s="582" t="s">
        <v>1224</v>
      </c>
      <c r="UTY2207" s="582" t="s">
        <v>1224</v>
      </c>
      <c r="UTZ2207" s="582" t="s">
        <v>1224</v>
      </c>
      <c r="UUA2207" s="582" t="s">
        <v>1224</v>
      </c>
      <c r="UUB2207" s="582" t="s">
        <v>1224</v>
      </c>
      <c r="UUC2207" s="582" t="s">
        <v>1224</v>
      </c>
      <c r="UUD2207" s="582" t="s">
        <v>1224</v>
      </c>
      <c r="UUE2207" s="582" t="s">
        <v>1224</v>
      </c>
      <c r="UUF2207" s="582" t="s">
        <v>1224</v>
      </c>
      <c r="UUG2207" s="582" t="s">
        <v>1224</v>
      </c>
      <c r="UUH2207" s="582" t="s">
        <v>1224</v>
      </c>
      <c r="UUI2207" s="582" t="s">
        <v>1224</v>
      </c>
      <c r="UUJ2207" s="582" t="s">
        <v>1224</v>
      </c>
      <c r="UUK2207" s="582" t="s">
        <v>1224</v>
      </c>
      <c r="UUL2207" s="582" t="s">
        <v>1224</v>
      </c>
      <c r="UUM2207" s="582" t="s">
        <v>1224</v>
      </c>
      <c r="UUN2207" s="582" t="s">
        <v>1224</v>
      </c>
      <c r="UUO2207" s="582" t="s">
        <v>1224</v>
      </c>
      <c r="UUP2207" s="582" t="s">
        <v>1224</v>
      </c>
      <c r="UUQ2207" s="582" t="s">
        <v>1224</v>
      </c>
      <c r="UUR2207" s="582" t="s">
        <v>1224</v>
      </c>
      <c r="UUS2207" s="582" t="s">
        <v>1224</v>
      </c>
      <c r="UUT2207" s="582" t="s">
        <v>1224</v>
      </c>
      <c r="UUU2207" s="582" t="s">
        <v>1224</v>
      </c>
      <c r="UUV2207" s="582" t="s">
        <v>1224</v>
      </c>
      <c r="UUW2207" s="582" t="s">
        <v>1224</v>
      </c>
      <c r="UUX2207" s="582" t="s">
        <v>1224</v>
      </c>
      <c r="UUY2207" s="582" t="s">
        <v>1224</v>
      </c>
      <c r="UUZ2207" s="582" t="s">
        <v>1224</v>
      </c>
      <c r="UVA2207" s="582" t="s">
        <v>1224</v>
      </c>
      <c r="UVB2207" s="582" t="s">
        <v>1224</v>
      </c>
      <c r="UVC2207" s="582" t="s">
        <v>1224</v>
      </c>
      <c r="UVD2207" s="582" t="s">
        <v>1224</v>
      </c>
      <c r="UVE2207" s="582" t="s">
        <v>1224</v>
      </c>
      <c r="UVF2207" s="582" t="s">
        <v>1224</v>
      </c>
      <c r="UVG2207" s="582" t="s">
        <v>1224</v>
      </c>
      <c r="UVH2207" s="582" t="s">
        <v>1224</v>
      </c>
      <c r="UVI2207" s="582" t="s">
        <v>1224</v>
      </c>
      <c r="UVJ2207" s="582" t="s">
        <v>1224</v>
      </c>
      <c r="UVK2207" s="582" t="s">
        <v>1224</v>
      </c>
      <c r="UVL2207" s="582" t="s">
        <v>1224</v>
      </c>
      <c r="UVM2207" s="582" t="s">
        <v>1224</v>
      </c>
      <c r="UVN2207" s="582" t="s">
        <v>1224</v>
      </c>
      <c r="UVO2207" s="582" t="s">
        <v>1224</v>
      </c>
      <c r="UVP2207" s="582" t="s">
        <v>1224</v>
      </c>
      <c r="UVQ2207" s="582" t="s">
        <v>1224</v>
      </c>
      <c r="UVR2207" s="582" t="s">
        <v>1224</v>
      </c>
      <c r="UVS2207" s="582" t="s">
        <v>1224</v>
      </c>
      <c r="UVT2207" s="582" t="s">
        <v>1224</v>
      </c>
      <c r="UVU2207" s="582" t="s">
        <v>1224</v>
      </c>
      <c r="UVV2207" s="582" t="s">
        <v>1224</v>
      </c>
      <c r="UVW2207" s="582" t="s">
        <v>1224</v>
      </c>
      <c r="UVX2207" s="582" t="s">
        <v>1224</v>
      </c>
      <c r="UVY2207" s="582" t="s">
        <v>1224</v>
      </c>
      <c r="UVZ2207" s="582" t="s">
        <v>1224</v>
      </c>
      <c r="UWA2207" s="582" t="s">
        <v>1224</v>
      </c>
      <c r="UWB2207" s="582" t="s">
        <v>1224</v>
      </c>
      <c r="UWC2207" s="582" t="s">
        <v>1224</v>
      </c>
      <c r="UWD2207" s="582" t="s">
        <v>1224</v>
      </c>
      <c r="UWE2207" s="582" t="s">
        <v>1224</v>
      </c>
      <c r="UWF2207" s="582" t="s">
        <v>1224</v>
      </c>
      <c r="UWG2207" s="582" t="s">
        <v>1224</v>
      </c>
      <c r="UWH2207" s="582" t="s">
        <v>1224</v>
      </c>
      <c r="UWI2207" s="582" t="s">
        <v>1224</v>
      </c>
      <c r="UWJ2207" s="582" t="s">
        <v>1224</v>
      </c>
      <c r="UWK2207" s="582" t="s">
        <v>1224</v>
      </c>
      <c r="UWL2207" s="582" t="s">
        <v>1224</v>
      </c>
      <c r="UWM2207" s="582" t="s">
        <v>1224</v>
      </c>
      <c r="UWN2207" s="582" t="s">
        <v>1224</v>
      </c>
      <c r="UWO2207" s="582" t="s">
        <v>1224</v>
      </c>
      <c r="UWP2207" s="582" t="s">
        <v>1224</v>
      </c>
      <c r="UWQ2207" s="582" t="s">
        <v>1224</v>
      </c>
      <c r="UWR2207" s="582" t="s">
        <v>1224</v>
      </c>
      <c r="UWS2207" s="582" t="s">
        <v>1224</v>
      </c>
      <c r="UWT2207" s="582" t="s">
        <v>1224</v>
      </c>
      <c r="UWU2207" s="582" t="s">
        <v>1224</v>
      </c>
      <c r="UWV2207" s="582" t="s">
        <v>1224</v>
      </c>
      <c r="UWW2207" s="582" t="s">
        <v>1224</v>
      </c>
      <c r="UWX2207" s="582" t="s">
        <v>1224</v>
      </c>
      <c r="UWY2207" s="582" t="s">
        <v>1224</v>
      </c>
      <c r="UWZ2207" s="582" t="s">
        <v>1224</v>
      </c>
      <c r="UXA2207" s="582" t="s">
        <v>1224</v>
      </c>
      <c r="UXB2207" s="582" t="s">
        <v>1224</v>
      </c>
      <c r="UXC2207" s="582" t="s">
        <v>1224</v>
      </c>
      <c r="UXD2207" s="582" t="s">
        <v>1224</v>
      </c>
      <c r="UXE2207" s="582" t="s">
        <v>1224</v>
      </c>
      <c r="UXF2207" s="582" t="s">
        <v>1224</v>
      </c>
      <c r="UXG2207" s="582" t="s">
        <v>1224</v>
      </c>
      <c r="UXH2207" s="582" t="s">
        <v>1224</v>
      </c>
      <c r="UXI2207" s="582" t="s">
        <v>1224</v>
      </c>
      <c r="UXJ2207" s="582" t="s">
        <v>1224</v>
      </c>
      <c r="UXK2207" s="582" t="s">
        <v>1224</v>
      </c>
      <c r="UXL2207" s="582" t="s">
        <v>1224</v>
      </c>
      <c r="UXM2207" s="582" t="s">
        <v>1224</v>
      </c>
      <c r="UXN2207" s="582" t="s">
        <v>1224</v>
      </c>
      <c r="UXO2207" s="582" t="s">
        <v>1224</v>
      </c>
      <c r="UXP2207" s="582" t="s">
        <v>1224</v>
      </c>
      <c r="UXQ2207" s="582" t="s">
        <v>1224</v>
      </c>
      <c r="UXR2207" s="582" t="s">
        <v>1224</v>
      </c>
      <c r="UXS2207" s="582" t="s">
        <v>1224</v>
      </c>
      <c r="UXT2207" s="582" t="s">
        <v>1224</v>
      </c>
      <c r="UXU2207" s="582" t="s">
        <v>1224</v>
      </c>
      <c r="UXV2207" s="582" t="s">
        <v>1224</v>
      </c>
      <c r="UXW2207" s="582" t="s">
        <v>1224</v>
      </c>
      <c r="UXX2207" s="582" t="s">
        <v>1224</v>
      </c>
      <c r="UXY2207" s="582" t="s">
        <v>1224</v>
      </c>
      <c r="UXZ2207" s="582" t="s">
        <v>1224</v>
      </c>
      <c r="UYA2207" s="582" t="s">
        <v>1224</v>
      </c>
      <c r="UYB2207" s="582" t="s">
        <v>1224</v>
      </c>
      <c r="UYC2207" s="582" t="s">
        <v>1224</v>
      </c>
      <c r="UYD2207" s="582" t="s">
        <v>1224</v>
      </c>
      <c r="UYE2207" s="582" t="s">
        <v>1224</v>
      </c>
      <c r="UYF2207" s="582" t="s">
        <v>1224</v>
      </c>
      <c r="UYG2207" s="582" t="s">
        <v>1224</v>
      </c>
      <c r="UYH2207" s="582" t="s">
        <v>1224</v>
      </c>
      <c r="UYI2207" s="582" t="s">
        <v>1224</v>
      </c>
      <c r="UYJ2207" s="582" t="s">
        <v>1224</v>
      </c>
      <c r="UYK2207" s="582" t="s">
        <v>1224</v>
      </c>
      <c r="UYL2207" s="582" t="s">
        <v>1224</v>
      </c>
      <c r="UYM2207" s="582" t="s">
        <v>1224</v>
      </c>
      <c r="UYN2207" s="582" t="s">
        <v>1224</v>
      </c>
      <c r="UYO2207" s="582" t="s">
        <v>1224</v>
      </c>
      <c r="UYP2207" s="582" t="s">
        <v>1224</v>
      </c>
      <c r="UYQ2207" s="582" t="s">
        <v>1224</v>
      </c>
      <c r="UYR2207" s="582" t="s">
        <v>1224</v>
      </c>
      <c r="UYS2207" s="582" t="s">
        <v>1224</v>
      </c>
      <c r="UYT2207" s="582" t="s">
        <v>1224</v>
      </c>
      <c r="UYU2207" s="582" t="s">
        <v>1224</v>
      </c>
      <c r="UYV2207" s="582" t="s">
        <v>1224</v>
      </c>
      <c r="UYW2207" s="582" t="s">
        <v>1224</v>
      </c>
      <c r="UYX2207" s="582" t="s">
        <v>1224</v>
      </c>
      <c r="UYY2207" s="582" t="s">
        <v>1224</v>
      </c>
      <c r="UYZ2207" s="582" t="s">
        <v>1224</v>
      </c>
      <c r="UZA2207" s="582" t="s">
        <v>1224</v>
      </c>
      <c r="UZB2207" s="582" t="s">
        <v>1224</v>
      </c>
      <c r="UZC2207" s="582" t="s">
        <v>1224</v>
      </c>
      <c r="UZD2207" s="582" t="s">
        <v>1224</v>
      </c>
      <c r="UZE2207" s="582" t="s">
        <v>1224</v>
      </c>
      <c r="UZF2207" s="582" t="s">
        <v>1224</v>
      </c>
      <c r="UZG2207" s="582" t="s">
        <v>1224</v>
      </c>
      <c r="UZH2207" s="582" t="s">
        <v>1224</v>
      </c>
      <c r="UZI2207" s="582" t="s">
        <v>1224</v>
      </c>
      <c r="UZJ2207" s="582" t="s">
        <v>1224</v>
      </c>
      <c r="UZK2207" s="582" t="s">
        <v>1224</v>
      </c>
      <c r="UZL2207" s="582" t="s">
        <v>1224</v>
      </c>
      <c r="UZM2207" s="582" t="s">
        <v>1224</v>
      </c>
      <c r="UZN2207" s="582" t="s">
        <v>1224</v>
      </c>
      <c r="UZO2207" s="582" t="s">
        <v>1224</v>
      </c>
      <c r="UZP2207" s="582" t="s">
        <v>1224</v>
      </c>
      <c r="UZQ2207" s="582" t="s">
        <v>1224</v>
      </c>
      <c r="UZR2207" s="582" t="s">
        <v>1224</v>
      </c>
      <c r="UZS2207" s="582" t="s">
        <v>1224</v>
      </c>
      <c r="UZT2207" s="582" t="s">
        <v>1224</v>
      </c>
      <c r="UZU2207" s="582" t="s">
        <v>1224</v>
      </c>
      <c r="UZV2207" s="582" t="s">
        <v>1224</v>
      </c>
      <c r="UZW2207" s="582" t="s">
        <v>1224</v>
      </c>
      <c r="UZX2207" s="582" t="s">
        <v>1224</v>
      </c>
      <c r="UZY2207" s="582" t="s">
        <v>1224</v>
      </c>
      <c r="UZZ2207" s="582" t="s">
        <v>1224</v>
      </c>
      <c r="VAA2207" s="582" t="s">
        <v>1224</v>
      </c>
      <c r="VAB2207" s="582" t="s">
        <v>1224</v>
      </c>
      <c r="VAC2207" s="582" t="s">
        <v>1224</v>
      </c>
      <c r="VAD2207" s="582" t="s">
        <v>1224</v>
      </c>
      <c r="VAE2207" s="582" t="s">
        <v>1224</v>
      </c>
      <c r="VAF2207" s="582" t="s">
        <v>1224</v>
      </c>
      <c r="VAG2207" s="582" t="s">
        <v>1224</v>
      </c>
      <c r="VAH2207" s="582" t="s">
        <v>1224</v>
      </c>
      <c r="VAI2207" s="582" t="s">
        <v>1224</v>
      </c>
      <c r="VAJ2207" s="582" t="s">
        <v>1224</v>
      </c>
      <c r="VAK2207" s="582" t="s">
        <v>1224</v>
      </c>
      <c r="VAL2207" s="582" t="s">
        <v>1224</v>
      </c>
      <c r="VAM2207" s="582" t="s">
        <v>1224</v>
      </c>
      <c r="VAN2207" s="582" t="s">
        <v>1224</v>
      </c>
      <c r="VAO2207" s="582" t="s">
        <v>1224</v>
      </c>
      <c r="VAP2207" s="582" t="s">
        <v>1224</v>
      </c>
      <c r="VAQ2207" s="582" t="s">
        <v>1224</v>
      </c>
      <c r="VAR2207" s="582" t="s">
        <v>1224</v>
      </c>
      <c r="VAS2207" s="582" t="s">
        <v>1224</v>
      </c>
      <c r="VAT2207" s="582" t="s">
        <v>1224</v>
      </c>
      <c r="VAU2207" s="582" t="s">
        <v>1224</v>
      </c>
      <c r="VAV2207" s="582" t="s">
        <v>1224</v>
      </c>
      <c r="VAW2207" s="582" t="s">
        <v>1224</v>
      </c>
      <c r="VAX2207" s="582" t="s">
        <v>1224</v>
      </c>
      <c r="VAY2207" s="582" t="s">
        <v>1224</v>
      </c>
      <c r="VAZ2207" s="582" t="s">
        <v>1224</v>
      </c>
      <c r="VBA2207" s="582" t="s">
        <v>1224</v>
      </c>
      <c r="VBB2207" s="582" t="s">
        <v>1224</v>
      </c>
      <c r="VBC2207" s="582" t="s">
        <v>1224</v>
      </c>
      <c r="VBD2207" s="582" t="s">
        <v>1224</v>
      </c>
      <c r="VBE2207" s="582" t="s">
        <v>1224</v>
      </c>
      <c r="VBF2207" s="582" t="s">
        <v>1224</v>
      </c>
      <c r="VBG2207" s="582" t="s">
        <v>1224</v>
      </c>
      <c r="VBH2207" s="582" t="s">
        <v>1224</v>
      </c>
      <c r="VBI2207" s="582" t="s">
        <v>1224</v>
      </c>
      <c r="VBJ2207" s="582" t="s">
        <v>1224</v>
      </c>
      <c r="VBK2207" s="582" t="s">
        <v>1224</v>
      </c>
      <c r="VBL2207" s="582" t="s">
        <v>1224</v>
      </c>
      <c r="VBM2207" s="582" t="s">
        <v>1224</v>
      </c>
      <c r="VBN2207" s="582" t="s">
        <v>1224</v>
      </c>
      <c r="VBO2207" s="582" t="s">
        <v>1224</v>
      </c>
      <c r="VBP2207" s="582" t="s">
        <v>1224</v>
      </c>
      <c r="VBQ2207" s="582" t="s">
        <v>1224</v>
      </c>
      <c r="VBR2207" s="582" t="s">
        <v>1224</v>
      </c>
      <c r="VBS2207" s="582" t="s">
        <v>1224</v>
      </c>
      <c r="VBT2207" s="582" t="s">
        <v>1224</v>
      </c>
      <c r="VBU2207" s="582" t="s">
        <v>1224</v>
      </c>
      <c r="VBV2207" s="582" t="s">
        <v>1224</v>
      </c>
      <c r="VBW2207" s="582" t="s">
        <v>1224</v>
      </c>
      <c r="VBX2207" s="582" t="s">
        <v>1224</v>
      </c>
      <c r="VBY2207" s="582" t="s">
        <v>1224</v>
      </c>
      <c r="VBZ2207" s="582" t="s">
        <v>1224</v>
      </c>
      <c r="VCA2207" s="582" t="s">
        <v>1224</v>
      </c>
      <c r="VCB2207" s="582" t="s">
        <v>1224</v>
      </c>
      <c r="VCC2207" s="582" t="s">
        <v>1224</v>
      </c>
      <c r="VCD2207" s="582" t="s">
        <v>1224</v>
      </c>
      <c r="VCE2207" s="582" t="s">
        <v>1224</v>
      </c>
      <c r="VCF2207" s="582" t="s">
        <v>1224</v>
      </c>
      <c r="VCG2207" s="582" t="s">
        <v>1224</v>
      </c>
      <c r="VCH2207" s="582" t="s">
        <v>1224</v>
      </c>
      <c r="VCI2207" s="582" t="s">
        <v>1224</v>
      </c>
      <c r="VCJ2207" s="582" t="s">
        <v>1224</v>
      </c>
      <c r="VCK2207" s="582" t="s">
        <v>1224</v>
      </c>
      <c r="VCL2207" s="582" t="s">
        <v>1224</v>
      </c>
      <c r="VCM2207" s="582" t="s">
        <v>1224</v>
      </c>
      <c r="VCN2207" s="582" t="s">
        <v>1224</v>
      </c>
      <c r="VCO2207" s="582" t="s">
        <v>1224</v>
      </c>
      <c r="VCP2207" s="582" t="s">
        <v>1224</v>
      </c>
      <c r="VCQ2207" s="582" t="s">
        <v>1224</v>
      </c>
      <c r="VCR2207" s="582" t="s">
        <v>1224</v>
      </c>
      <c r="VCS2207" s="582" t="s">
        <v>1224</v>
      </c>
      <c r="VCT2207" s="582" t="s">
        <v>1224</v>
      </c>
      <c r="VCU2207" s="582" t="s">
        <v>1224</v>
      </c>
      <c r="VCV2207" s="582" t="s">
        <v>1224</v>
      </c>
      <c r="VCW2207" s="582" t="s">
        <v>1224</v>
      </c>
      <c r="VCX2207" s="582" t="s">
        <v>1224</v>
      </c>
      <c r="VCY2207" s="582" t="s">
        <v>1224</v>
      </c>
      <c r="VCZ2207" s="582" t="s">
        <v>1224</v>
      </c>
      <c r="VDA2207" s="582" t="s">
        <v>1224</v>
      </c>
      <c r="VDB2207" s="582" t="s">
        <v>1224</v>
      </c>
      <c r="VDC2207" s="582" t="s">
        <v>1224</v>
      </c>
      <c r="VDD2207" s="582" t="s">
        <v>1224</v>
      </c>
      <c r="VDE2207" s="582" t="s">
        <v>1224</v>
      </c>
      <c r="VDF2207" s="582" t="s">
        <v>1224</v>
      </c>
      <c r="VDG2207" s="582" t="s">
        <v>1224</v>
      </c>
      <c r="VDH2207" s="582" t="s">
        <v>1224</v>
      </c>
      <c r="VDI2207" s="582" t="s">
        <v>1224</v>
      </c>
      <c r="VDJ2207" s="582" t="s">
        <v>1224</v>
      </c>
      <c r="VDK2207" s="582" t="s">
        <v>1224</v>
      </c>
      <c r="VDL2207" s="582" t="s">
        <v>1224</v>
      </c>
      <c r="VDM2207" s="582" t="s">
        <v>1224</v>
      </c>
      <c r="VDN2207" s="582" t="s">
        <v>1224</v>
      </c>
      <c r="VDO2207" s="582" t="s">
        <v>1224</v>
      </c>
      <c r="VDP2207" s="582" t="s">
        <v>1224</v>
      </c>
      <c r="VDQ2207" s="582" t="s">
        <v>1224</v>
      </c>
      <c r="VDR2207" s="582" t="s">
        <v>1224</v>
      </c>
      <c r="VDS2207" s="582" t="s">
        <v>1224</v>
      </c>
      <c r="VDT2207" s="582" t="s">
        <v>1224</v>
      </c>
      <c r="VDU2207" s="582" t="s">
        <v>1224</v>
      </c>
      <c r="VDV2207" s="582" t="s">
        <v>1224</v>
      </c>
      <c r="VDW2207" s="582" t="s">
        <v>1224</v>
      </c>
      <c r="VDX2207" s="582" t="s">
        <v>1224</v>
      </c>
      <c r="VDY2207" s="582" t="s">
        <v>1224</v>
      </c>
      <c r="VDZ2207" s="582" t="s">
        <v>1224</v>
      </c>
      <c r="VEA2207" s="582" t="s">
        <v>1224</v>
      </c>
      <c r="VEB2207" s="582" t="s">
        <v>1224</v>
      </c>
      <c r="VEC2207" s="582" t="s">
        <v>1224</v>
      </c>
      <c r="VED2207" s="582" t="s">
        <v>1224</v>
      </c>
      <c r="VEE2207" s="582" t="s">
        <v>1224</v>
      </c>
      <c r="VEF2207" s="582" t="s">
        <v>1224</v>
      </c>
      <c r="VEG2207" s="582" t="s">
        <v>1224</v>
      </c>
      <c r="VEH2207" s="582" t="s">
        <v>1224</v>
      </c>
      <c r="VEI2207" s="582" t="s">
        <v>1224</v>
      </c>
      <c r="VEJ2207" s="582" t="s">
        <v>1224</v>
      </c>
      <c r="VEK2207" s="582" t="s">
        <v>1224</v>
      </c>
      <c r="VEL2207" s="582" t="s">
        <v>1224</v>
      </c>
      <c r="VEM2207" s="582" t="s">
        <v>1224</v>
      </c>
      <c r="VEN2207" s="582" t="s">
        <v>1224</v>
      </c>
      <c r="VEO2207" s="582" t="s">
        <v>1224</v>
      </c>
      <c r="VEP2207" s="582" t="s">
        <v>1224</v>
      </c>
      <c r="VEQ2207" s="582" t="s">
        <v>1224</v>
      </c>
      <c r="VER2207" s="582" t="s">
        <v>1224</v>
      </c>
      <c r="VES2207" s="582" t="s">
        <v>1224</v>
      </c>
      <c r="VET2207" s="582" t="s">
        <v>1224</v>
      </c>
      <c r="VEU2207" s="582" t="s">
        <v>1224</v>
      </c>
      <c r="VEV2207" s="582" t="s">
        <v>1224</v>
      </c>
      <c r="VEW2207" s="582" t="s">
        <v>1224</v>
      </c>
      <c r="VEX2207" s="582" t="s">
        <v>1224</v>
      </c>
      <c r="VEY2207" s="582" t="s">
        <v>1224</v>
      </c>
      <c r="VEZ2207" s="582" t="s">
        <v>1224</v>
      </c>
      <c r="VFA2207" s="582" t="s">
        <v>1224</v>
      </c>
      <c r="VFB2207" s="582" t="s">
        <v>1224</v>
      </c>
      <c r="VFC2207" s="582" t="s">
        <v>1224</v>
      </c>
      <c r="VFD2207" s="582" t="s">
        <v>1224</v>
      </c>
      <c r="VFE2207" s="582" t="s">
        <v>1224</v>
      </c>
      <c r="VFF2207" s="582" t="s">
        <v>1224</v>
      </c>
      <c r="VFG2207" s="582" t="s">
        <v>1224</v>
      </c>
      <c r="VFH2207" s="582" t="s">
        <v>1224</v>
      </c>
      <c r="VFI2207" s="582" t="s">
        <v>1224</v>
      </c>
      <c r="VFJ2207" s="582" t="s">
        <v>1224</v>
      </c>
      <c r="VFK2207" s="582" t="s">
        <v>1224</v>
      </c>
      <c r="VFL2207" s="582" t="s">
        <v>1224</v>
      </c>
      <c r="VFM2207" s="582" t="s">
        <v>1224</v>
      </c>
      <c r="VFN2207" s="582" t="s">
        <v>1224</v>
      </c>
      <c r="VFO2207" s="582" t="s">
        <v>1224</v>
      </c>
      <c r="VFP2207" s="582" t="s">
        <v>1224</v>
      </c>
      <c r="VFQ2207" s="582" t="s">
        <v>1224</v>
      </c>
      <c r="VFR2207" s="582" t="s">
        <v>1224</v>
      </c>
      <c r="VFS2207" s="582" t="s">
        <v>1224</v>
      </c>
      <c r="VFT2207" s="582" t="s">
        <v>1224</v>
      </c>
      <c r="VFU2207" s="582" t="s">
        <v>1224</v>
      </c>
      <c r="VFV2207" s="582" t="s">
        <v>1224</v>
      </c>
      <c r="VFW2207" s="582" t="s">
        <v>1224</v>
      </c>
      <c r="VFX2207" s="582" t="s">
        <v>1224</v>
      </c>
      <c r="VFY2207" s="582" t="s">
        <v>1224</v>
      </c>
      <c r="VFZ2207" s="582" t="s">
        <v>1224</v>
      </c>
      <c r="VGA2207" s="582" t="s">
        <v>1224</v>
      </c>
      <c r="VGB2207" s="582" t="s">
        <v>1224</v>
      </c>
      <c r="VGC2207" s="582" t="s">
        <v>1224</v>
      </c>
      <c r="VGD2207" s="582" t="s">
        <v>1224</v>
      </c>
      <c r="VGE2207" s="582" t="s">
        <v>1224</v>
      </c>
      <c r="VGF2207" s="582" t="s">
        <v>1224</v>
      </c>
      <c r="VGG2207" s="582" t="s">
        <v>1224</v>
      </c>
      <c r="VGH2207" s="582" t="s">
        <v>1224</v>
      </c>
      <c r="VGI2207" s="582" t="s">
        <v>1224</v>
      </c>
      <c r="VGJ2207" s="582" t="s">
        <v>1224</v>
      </c>
      <c r="VGK2207" s="582" t="s">
        <v>1224</v>
      </c>
      <c r="VGL2207" s="582" t="s">
        <v>1224</v>
      </c>
      <c r="VGM2207" s="582" t="s">
        <v>1224</v>
      </c>
      <c r="VGN2207" s="582" t="s">
        <v>1224</v>
      </c>
      <c r="VGO2207" s="582" t="s">
        <v>1224</v>
      </c>
      <c r="VGP2207" s="582" t="s">
        <v>1224</v>
      </c>
      <c r="VGQ2207" s="582" t="s">
        <v>1224</v>
      </c>
      <c r="VGR2207" s="582" t="s">
        <v>1224</v>
      </c>
      <c r="VGS2207" s="582" t="s">
        <v>1224</v>
      </c>
      <c r="VGT2207" s="582" t="s">
        <v>1224</v>
      </c>
      <c r="VGU2207" s="582" t="s">
        <v>1224</v>
      </c>
      <c r="VGV2207" s="582" t="s">
        <v>1224</v>
      </c>
      <c r="VGW2207" s="582" t="s">
        <v>1224</v>
      </c>
      <c r="VGX2207" s="582" t="s">
        <v>1224</v>
      </c>
      <c r="VGY2207" s="582" t="s">
        <v>1224</v>
      </c>
      <c r="VGZ2207" s="582" t="s">
        <v>1224</v>
      </c>
      <c r="VHA2207" s="582" t="s">
        <v>1224</v>
      </c>
      <c r="VHB2207" s="582" t="s">
        <v>1224</v>
      </c>
      <c r="VHC2207" s="582" t="s">
        <v>1224</v>
      </c>
      <c r="VHD2207" s="582" t="s">
        <v>1224</v>
      </c>
      <c r="VHE2207" s="582" t="s">
        <v>1224</v>
      </c>
      <c r="VHF2207" s="582" t="s">
        <v>1224</v>
      </c>
      <c r="VHG2207" s="582" t="s">
        <v>1224</v>
      </c>
      <c r="VHH2207" s="582" t="s">
        <v>1224</v>
      </c>
      <c r="VHI2207" s="582" t="s">
        <v>1224</v>
      </c>
      <c r="VHJ2207" s="582" t="s">
        <v>1224</v>
      </c>
      <c r="VHK2207" s="582" t="s">
        <v>1224</v>
      </c>
      <c r="VHL2207" s="582" t="s">
        <v>1224</v>
      </c>
      <c r="VHM2207" s="582" t="s">
        <v>1224</v>
      </c>
      <c r="VHN2207" s="582" t="s">
        <v>1224</v>
      </c>
      <c r="VHO2207" s="582" t="s">
        <v>1224</v>
      </c>
      <c r="VHP2207" s="582" t="s">
        <v>1224</v>
      </c>
      <c r="VHQ2207" s="582" t="s">
        <v>1224</v>
      </c>
      <c r="VHR2207" s="582" t="s">
        <v>1224</v>
      </c>
      <c r="VHS2207" s="582" t="s">
        <v>1224</v>
      </c>
      <c r="VHT2207" s="582" t="s">
        <v>1224</v>
      </c>
      <c r="VHU2207" s="582" t="s">
        <v>1224</v>
      </c>
      <c r="VHV2207" s="582" t="s">
        <v>1224</v>
      </c>
      <c r="VHW2207" s="582" t="s">
        <v>1224</v>
      </c>
      <c r="VHX2207" s="582" t="s">
        <v>1224</v>
      </c>
      <c r="VHY2207" s="582" t="s">
        <v>1224</v>
      </c>
      <c r="VHZ2207" s="582" t="s">
        <v>1224</v>
      </c>
      <c r="VIA2207" s="582" t="s">
        <v>1224</v>
      </c>
      <c r="VIB2207" s="582" t="s">
        <v>1224</v>
      </c>
      <c r="VIC2207" s="582" t="s">
        <v>1224</v>
      </c>
      <c r="VID2207" s="582" t="s">
        <v>1224</v>
      </c>
      <c r="VIE2207" s="582" t="s">
        <v>1224</v>
      </c>
      <c r="VIF2207" s="582" t="s">
        <v>1224</v>
      </c>
      <c r="VIG2207" s="582" t="s">
        <v>1224</v>
      </c>
      <c r="VIH2207" s="582" t="s">
        <v>1224</v>
      </c>
      <c r="VII2207" s="582" t="s">
        <v>1224</v>
      </c>
      <c r="VIJ2207" s="582" t="s">
        <v>1224</v>
      </c>
      <c r="VIK2207" s="582" t="s">
        <v>1224</v>
      </c>
      <c r="VIL2207" s="582" t="s">
        <v>1224</v>
      </c>
      <c r="VIM2207" s="582" t="s">
        <v>1224</v>
      </c>
      <c r="VIN2207" s="582" t="s">
        <v>1224</v>
      </c>
      <c r="VIO2207" s="582" t="s">
        <v>1224</v>
      </c>
      <c r="VIP2207" s="582" t="s">
        <v>1224</v>
      </c>
      <c r="VIQ2207" s="582" t="s">
        <v>1224</v>
      </c>
      <c r="VIR2207" s="582" t="s">
        <v>1224</v>
      </c>
      <c r="VIS2207" s="582" t="s">
        <v>1224</v>
      </c>
      <c r="VIT2207" s="582" t="s">
        <v>1224</v>
      </c>
      <c r="VIU2207" s="582" t="s">
        <v>1224</v>
      </c>
      <c r="VIV2207" s="582" t="s">
        <v>1224</v>
      </c>
      <c r="VIW2207" s="582" t="s">
        <v>1224</v>
      </c>
      <c r="VIX2207" s="582" t="s">
        <v>1224</v>
      </c>
      <c r="VIY2207" s="582" t="s">
        <v>1224</v>
      </c>
      <c r="VIZ2207" s="582" t="s">
        <v>1224</v>
      </c>
      <c r="VJA2207" s="582" t="s">
        <v>1224</v>
      </c>
      <c r="VJB2207" s="582" t="s">
        <v>1224</v>
      </c>
      <c r="VJC2207" s="582" t="s">
        <v>1224</v>
      </c>
      <c r="VJD2207" s="582" t="s">
        <v>1224</v>
      </c>
      <c r="VJE2207" s="582" t="s">
        <v>1224</v>
      </c>
      <c r="VJF2207" s="582" t="s">
        <v>1224</v>
      </c>
      <c r="VJG2207" s="582" t="s">
        <v>1224</v>
      </c>
      <c r="VJH2207" s="582" t="s">
        <v>1224</v>
      </c>
      <c r="VJI2207" s="582" t="s">
        <v>1224</v>
      </c>
      <c r="VJJ2207" s="582" t="s">
        <v>1224</v>
      </c>
      <c r="VJK2207" s="582" t="s">
        <v>1224</v>
      </c>
      <c r="VJL2207" s="582" t="s">
        <v>1224</v>
      </c>
      <c r="VJM2207" s="582" t="s">
        <v>1224</v>
      </c>
      <c r="VJN2207" s="582" t="s">
        <v>1224</v>
      </c>
      <c r="VJO2207" s="582" t="s">
        <v>1224</v>
      </c>
      <c r="VJP2207" s="582" t="s">
        <v>1224</v>
      </c>
      <c r="VJQ2207" s="582" t="s">
        <v>1224</v>
      </c>
      <c r="VJR2207" s="582" t="s">
        <v>1224</v>
      </c>
      <c r="VJS2207" s="582" t="s">
        <v>1224</v>
      </c>
      <c r="VJT2207" s="582" t="s">
        <v>1224</v>
      </c>
      <c r="VJU2207" s="582" t="s">
        <v>1224</v>
      </c>
      <c r="VJV2207" s="582" t="s">
        <v>1224</v>
      </c>
      <c r="VJW2207" s="582" t="s">
        <v>1224</v>
      </c>
      <c r="VJX2207" s="582" t="s">
        <v>1224</v>
      </c>
      <c r="VJY2207" s="582" t="s">
        <v>1224</v>
      </c>
      <c r="VJZ2207" s="582" t="s">
        <v>1224</v>
      </c>
      <c r="VKA2207" s="582" t="s">
        <v>1224</v>
      </c>
      <c r="VKB2207" s="582" t="s">
        <v>1224</v>
      </c>
      <c r="VKC2207" s="582" t="s">
        <v>1224</v>
      </c>
      <c r="VKD2207" s="582" t="s">
        <v>1224</v>
      </c>
      <c r="VKE2207" s="582" t="s">
        <v>1224</v>
      </c>
      <c r="VKF2207" s="582" t="s">
        <v>1224</v>
      </c>
      <c r="VKG2207" s="582" t="s">
        <v>1224</v>
      </c>
      <c r="VKH2207" s="582" t="s">
        <v>1224</v>
      </c>
      <c r="VKI2207" s="582" t="s">
        <v>1224</v>
      </c>
      <c r="VKJ2207" s="582" t="s">
        <v>1224</v>
      </c>
      <c r="VKK2207" s="582" t="s">
        <v>1224</v>
      </c>
      <c r="VKL2207" s="582" t="s">
        <v>1224</v>
      </c>
      <c r="VKM2207" s="582" t="s">
        <v>1224</v>
      </c>
      <c r="VKN2207" s="582" t="s">
        <v>1224</v>
      </c>
      <c r="VKO2207" s="582" t="s">
        <v>1224</v>
      </c>
      <c r="VKP2207" s="582" t="s">
        <v>1224</v>
      </c>
      <c r="VKQ2207" s="582" t="s">
        <v>1224</v>
      </c>
      <c r="VKR2207" s="582" t="s">
        <v>1224</v>
      </c>
      <c r="VKS2207" s="582" t="s">
        <v>1224</v>
      </c>
      <c r="VKT2207" s="582" t="s">
        <v>1224</v>
      </c>
      <c r="VKU2207" s="582" t="s">
        <v>1224</v>
      </c>
      <c r="VKV2207" s="582" t="s">
        <v>1224</v>
      </c>
      <c r="VKW2207" s="582" t="s">
        <v>1224</v>
      </c>
      <c r="VKX2207" s="582" t="s">
        <v>1224</v>
      </c>
      <c r="VKY2207" s="582" t="s">
        <v>1224</v>
      </c>
      <c r="VKZ2207" s="582" t="s">
        <v>1224</v>
      </c>
      <c r="VLA2207" s="582" t="s">
        <v>1224</v>
      </c>
      <c r="VLB2207" s="582" t="s">
        <v>1224</v>
      </c>
      <c r="VLC2207" s="582" t="s">
        <v>1224</v>
      </c>
      <c r="VLD2207" s="582" t="s">
        <v>1224</v>
      </c>
      <c r="VLE2207" s="582" t="s">
        <v>1224</v>
      </c>
      <c r="VLF2207" s="582" t="s">
        <v>1224</v>
      </c>
      <c r="VLG2207" s="582" t="s">
        <v>1224</v>
      </c>
      <c r="VLH2207" s="582" t="s">
        <v>1224</v>
      </c>
      <c r="VLI2207" s="582" t="s">
        <v>1224</v>
      </c>
      <c r="VLJ2207" s="582" t="s">
        <v>1224</v>
      </c>
      <c r="VLK2207" s="582" t="s">
        <v>1224</v>
      </c>
      <c r="VLL2207" s="582" t="s">
        <v>1224</v>
      </c>
      <c r="VLM2207" s="582" t="s">
        <v>1224</v>
      </c>
      <c r="VLN2207" s="582" t="s">
        <v>1224</v>
      </c>
      <c r="VLO2207" s="582" t="s">
        <v>1224</v>
      </c>
      <c r="VLP2207" s="582" t="s">
        <v>1224</v>
      </c>
      <c r="VLQ2207" s="582" t="s">
        <v>1224</v>
      </c>
      <c r="VLR2207" s="582" t="s">
        <v>1224</v>
      </c>
      <c r="VLS2207" s="582" t="s">
        <v>1224</v>
      </c>
      <c r="VLT2207" s="582" t="s">
        <v>1224</v>
      </c>
      <c r="VLU2207" s="582" t="s">
        <v>1224</v>
      </c>
      <c r="VLV2207" s="582" t="s">
        <v>1224</v>
      </c>
      <c r="VLW2207" s="582" t="s">
        <v>1224</v>
      </c>
      <c r="VLX2207" s="582" t="s">
        <v>1224</v>
      </c>
      <c r="VLY2207" s="582" t="s">
        <v>1224</v>
      </c>
      <c r="VLZ2207" s="582" t="s">
        <v>1224</v>
      </c>
      <c r="VMA2207" s="582" t="s">
        <v>1224</v>
      </c>
      <c r="VMB2207" s="582" t="s">
        <v>1224</v>
      </c>
      <c r="VMC2207" s="582" t="s">
        <v>1224</v>
      </c>
      <c r="VMD2207" s="582" t="s">
        <v>1224</v>
      </c>
      <c r="VME2207" s="582" t="s">
        <v>1224</v>
      </c>
      <c r="VMF2207" s="582" t="s">
        <v>1224</v>
      </c>
      <c r="VMG2207" s="582" t="s">
        <v>1224</v>
      </c>
      <c r="VMH2207" s="582" t="s">
        <v>1224</v>
      </c>
      <c r="VMI2207" s="582" t="s">
        <v>1224</v>
      </c>
      <c r="VMJ2207" s="582" t="s">
        <v>1224</v>
      </c>
      <c r="VMK2207" s="582" t="s">
        <v>1224</v>
      </c>
      <c r="VML2207" s="582" t="s">
        <v>1224</v>
      </c>
      <c r="VMM2207" s="582" t="s">
        <v>1224</v>
      </c>
      <c r="VMN2207" s="582" t="s">
        <v>1224</v>
      </c>
      <c r="VMO2207" s="582" t="s">
        <v>1224</v>
      </c>
      <c r="VMP2207" s="582" t="s">
        <v>1224</v>
      </c>
      <c r="VMQ2207" s="582" t="s">
        <v>1224</v>
      </c>
      <c r="VMR2207" s="582" t="s">
        <v>1224</v>
      </c>
      <c r="VMS2207" s="582" t="s">
        <v>1224</v>
      </c>
      <c r="VMT2207" s="582" t="s">
        <v>1224</v>
      </c>
      <c r="VMU2207" s="582" t="s">
        <v>1224</v>
      </c>
      <c r="VMV2207" s="582" t="s">
        <v>1224</v>
      </c>
      <c r="VMW2207" s="582" t="s">
        <v>1224</v>
      </c>
      <c r="VMX2207" s="582" t="s">
        <v>1224</v>
      </c>
      <c r="VMY2207" s="582" t="s">
        <v>1224</v>
      </c>
      <c r="VMZ2207" s="582" t="s">
        <v>1224</v>
      </c>
      <c r="VNA2207" s="582" t="s">
        <v>1224</v>
      </c>
      <c r="VNB2207" s="582" t="s">
        <v>1224</v>
      </c>
      <c r="VNC2207" s="582" t="s">
        <v>1224</v>
      </c>
      <c r="VND2207" s="582" t="s">
        <v>1224</v>
      </c>
      <c r="VNE2207" s="582" t="s">
        <v>1224</v>
      </c>
      <c r="VNF2207" s="582" t="s">
        <v>1224</v>
      </c>
      <c r="VNG2207" s="582" t="s">
        <v>1224</v>
      </c>
      <c r="VNH2207" s="582" t="s">
        <v>1224</v>
      </c>
      <c r="VNI2207" s="582" t="s">
        <v>1224</v>
      </c>
      <c r="VNJ2207" s="582" t="s">
        <v>1224</v>
      </c>
      <c r="VNK2207" s="582" t="s">
        <v>1224</v>
      </c>
      <c r="VNL2207" s="582" t="s">
        <v>1224</v>
      </c>
      <c r="VNM2207" s="582" t="s">
        <v>1224</v>
      </c>
      <c r="VNN2207" s="582" t="s">
        <v>1224</v>
      </c>
      <c r="VNO2207" s="582" t="s">
        <v>1224</v>
      </c>
      <c r="VNP2207" s="582" t="s">
        <v>1224</v>
      </c>
      <c r="VNQ2207" s="582" t="s">
        <v>1224</v>
      </c>
      <c r="VNR2207" s="582" t="s">
        <v>1224</v>
      </c>
      <c r="VNS2207" s="582" t="s">
        <v>1224</v>
      </c>
      <c r="VNT2207" s="582" t="s">
        <v>1224</v>
      </c>
      <c r="VNU2207" s="582" t="s">
        <v>1224</v>
      </c>
      <c r="VNV2207" s="582" t="s">
        <v>1224</v>
      </c>
      <c r="VNW2207" s="582" t="s">
        <v>1224</v>
      </c>
      <c r="VNX2207" s="582" t="s">
        <v>1224</v>
      </c>
      <c r="VNY2207" s="582" t="s">
        <v>1224</v>
      </c>
      <c r="VNZ2207" s="582" t="s">
        <v>1224</v>
      </c>
      <c r="VOA2207" s="582" t="s">
        <v>1224</v>
      </c>
      <c r="VOB2207" s="582" t="s">
        <v>1224</v>
      </c>
      <c r="VOC2207" s="582" t="s">
        <v>1224</v>
      </c>
      <c r="VOD2207" s="582" t="s">
        <v>1224</v>
      </c>
      <c r="VOE2207" s="582" t="s">
        <v>1224</v>
      </c>
      <c r="VOF2207" s="582" t="s">
        <v>1224</v>
      </c>
      <c r="VOG2207" s="582" t="s">
        <v>1224</v>
      </c>
      <c r="VOH2207" s="582" t="s">
        <v>1224</v>
      </c>
      <c r="VOI2207" s="582" t="s">
        <v>1224</v>
      </c>
      <c r="VOJ2207" s="582" t="s">
        <v>1224</v>
      </c>
      <c r="VOK2207" s="582" t="s">
        <v>1224</v>
      </c>
      <c r="VOL2207" s="582" t="s">
        <v>1224</v>
      </c>
      <c r="VOM2207" s="582" t="s">
        <v>1224</v>
      </c>
      <c r="VON2207" s="582" t="s">
        <v>1224</v>
      </c>
      <c r="VOO2207" s="582" t="s">
        <v>1224</v>
      </c>
      <c r="VOP2207" s="582" t="s">
        <v>1224</v>
      </c>
      <c r="VOQ2207" s="582" t="s">
        <v>1224</v>
      </c>
      <c r="VOR2207" s="582" t="s">
        <v>1224</v>
      </c>
      <c r="VOS2207" s="582" t="s">
        <v>1224</v>
      </c>
      <c r="VOT2207" s="582" t="s">
        <v>1224</v>
      </c>
      <c r="VOU2207" s="582" t="s">
        <v>1224</v>
      </c>
      <c r="VOV2207" s="582" t="s">
        <v>1224</v>
      </c>
      <c r="VOW2207" s="582" t="s">
        <v>1224</v>
      </c>
      <c r="VOX2207" s="582" t="s">
        <v>1224</v>
      </c>
      <c r="VOY2207" s="582" t="s">
        <v>1224</v>
      </c>
      <c r="VOZ2207" s="582" t="s">
        <v>1224</v>
      </c>
      <c r="VPA2207" s="582" t="s">
        <v>1224</v>
      </c>
      <c r="VPB2207" s="582" t="s">
        <v>1224</v>
      </c>
      <c r="VPC2207" s="582" t="s">
        <v>1224</v>
      </c>
      <c r="VPD2207" s="582" t="s">
        <v>1224</v>
      </c>
      <c r="VPE2207" s="582" t="s">
        <v>1224</v>
      </c>
      <c r="VPF2207" s="582" t="s">
        <v>1224</v>
      </c>
      <c r="VPG2207" s="582" t="s">
        <v>1224</v>
      </c>
      <c r="VPH2207" s="582" t="s">
        <v>1224</v>
      </c>
      <c r="VPI2207" s="582" t="s">
        <v>1224</v>
      </c>
      <c r="VPJ2207" s="582" t="s">
        <v>1224</v>
      </c>
      <c r="VPK2207" s="582" t="s">
        <v>1224</v>
      </c>
      <c r="VPL2207" s="582" t="s">
        <v>1224</v>
      </c>
      <c r="VPM2207" s="582" t="s">
        <v>1224</v>
      </c>
      <c r="VPN2207" s="582" t="s">
        <v>1224</v>
      </c>
      <c r="VPO2207" s="582" t="s">
        <v>1224</v>
      </c>
      <c r="VPP2207" s="582" t="s">
        <v>1224</v>
      </c>
      <c r="VPQ2207" s="582" t="s">
        <v>1224</v>
      </c>
      <c r="VPR2207" s="582" t="s">
        <v>1224</v>
      </c>
      <c r="VPS2207" s="582" t="s">
        <v>1224</v>
      </c>
      <c r="VPT2207" s="582" t="s">
        <v>1224</v>
      </c>
      <c r="VPU2207" s="582" t="s">
        <v>1224</v>
      </c>
      <c r="VPV2207" s="582" t="s">
        <v>1224</v>
      </c>
      <c r="VPW2207" s="582" t="s">
        <v>1224</v>
      </c>
      <c r="VPX2207" s="582" t="s">
        <v>1224</v>
      </c>
      <c r="VPY2207" s="582" t="s">
        <v>1224</v>
      </c>
      <c r="VPZ2207" s="582" t="s">
        <v>1224</v>
      </c>
      <c r="VQA2207" s="582" t="s">
        <v>1224</v>
      </c>
      <c r="VQB2207" s="582" t="s">
        <v>1224</v>
      </c>
      <c r="VQC2207" s="582" t="s">
        <v>1224</v>
      </c>
      <c r="VQD2207" s="582" t="s">
        <v>1224</v>
      </c>
      <c r="VQE2207" s="582" t="s">
        <v>1224</v>
      </c>
      <c r="VQF2207" s="582" t="s">
        <v>1224</v>
      </c>
      <c r="VQG2207" s="582" t="s">
        <v>1224</v>
      </c>
      <c r="VQH2207" s="582" t="s">
        <v>1224</v>
      </c>
      <c r="VQI2207" s="582" t="s">
        <v>1224</v>
      </c>
      <c r="VQJ2207" s="582" t="s">
        <v>1224</v>
      </c>
      <c r="VQK2207" s="582" t="s">
        <v>1224</v>
      </c>
      <c r="VQL2207" s="582" t="s">
        <v>1224</v>
      </c>
      <c r="VQM2207" s="582" t="s">
        <v>1224</v>
      </c>
      <c r="VQN2207" s="582" t="s">
        <v>1224</v>
      </c>
      <c r="VQO2207" s="582" t="s">
        <v>1224</v>
      </c>
      <c r="VQP2207" s="582" t="s">
        <v>1224</v>
      </c>
      <c r="VQQ2207" s="582" t="s">
        <v>1224</v>
      </c>
      <c r="VQR2207" s="582" t="s">
        <v>1224</v>
      </c>
      <c r="VQS2207" s="582" t="s">
        <v>1224</v>
      </c>
      <c r="VQT2207" s="582" t="s">
        <v>1224</v>
      </c>
      <c r="VQU2207" s="582" t="s">
        <v>1224</v>
      </c>
      <c r="VQV2207" s="582" t="s">
        <v>1224</v>
      </c>
      <c r="VQW2207" s="582" t="s">
        <v>1224</v>
      </c>
      <c r="VQX2207" s="582" t="s">
        <v>1224</v>
      </c>
      <c r="VQY2207" s="582" t="s">
        <v>1224</v>
      </c>
      <c r="VQZ2207" s="582" t="s">
        <v>1224</v>
      </c>
      <c r="VRA2207" s="582" t="s">
        <v>1224</v>
      </c>
      <c r="VRB2207" s="582" t="s">
        <v>1224</v>
      </c>
      <c r="VRC2207" s="582" t="s">
        <v>1224</v>
      </c>
      <c r="VRD2207" s="582" t="s">
        <v>1224</v>
      </c>
      <c r="VRE2207" s="582" t="s">
        <v>1224</v>
      </c>
      <c r="VRF2207" s="582" t="s">
        <v>1224</v>
      </c>
      <c r="VRG2207" s="582" t="s">
        <v>1224</v>
      </c>
      <c r="VRH2207" s="582" t="s">
        <v>1224</v>
      </c>
      <c r="VRI2207" s="582" t="s">
        <v>1224</v>
      </c>
      <c r="VRJ2207" s="582" t="s">
        <v>1224</v>
      </c>
      <c r="VRK2207" s="582" t="s">
        <v>1224</v>
      </c>
      <c r="VRL2207" s="582" t="s">
        <v>1224</v>
      </c>
      <c r="VRM2207" s="582" t="s">
        <v>1224</v>
      </c>
      <c r="VRN2207" s="582" t="s">
        <v>1224</v>
      </c>
      <c r="VRO2207" s="582" t="s">
        <v>1224</v>
      </c>
      <c r="VRP2207" s="582" t="s">
        <v>1224</v>
      </c>
      <c r="VRQ2207" s="582" t="s">
        <v>1224</v>
      </c>
      <c r="VRR2207" s="582" t="s">
        <v>1224</v>
      </c>
      <c r="VRS2207" s="582" t="s">
        <v>1224</v>
      </c>
      <c r="VRT2207" s="582" t="s">
        <v>1224</v>
      </c>
      <c r="VRU2207" s="582" t="s">
        <v>1224</v>
      </c>
      <c r="VRV2207" s="582" t="s">
        <v>1224</v>
      </c>
      <c r="VRW2207" s="582" t="s">
        <v>1224</v>
      </c>
      <c r="VRX2207" s="582" t="s">
        <v>1224</v>
      </c>
      <c r="VRY2207" s="582" t="s">
        <v>1224</v>
      </c>
      <c r="VRZ2207" s="582" t="s">
        <v>1224</v>
      </c>
      <c r="VSA2207" s="582" t="s">
        <v>1224</v>
      </c>
      <c r="VSB2207" s="582" t="s">
        <v>1224</v>
      </c>
      <c r="VSC2207" s="582" t="s">
        <v>1224</v>
      </c>
      <c r="VSD2207" s="582" t="s">
        <v>1224</v>
      </c>
      <c r="VSE2207" s="582" t="s">
        <v>1224</v>
      </c>
      <c r="VSF2207" s="582" t="s">
        <v>1224</v>
      </c>
      <c r="VSG2207" s="582" t="s">
        <v>1224</v>
      </c>
      <c r="VSH2207" s="582" t="s">
        <v>1224</v>
      </c>
      <c r="VSI2207" s="582" t="s">
        <v>1224</v>
      </c>
      <c r="VSJ2207" s="582" t="s">
        <v>1224</v>
      </c>
      <c r="VSK2207" s="582" t="s">
        <v>1224</v>
      </c>
      <c r="VSL2207" s="582" t="s">
        <v>1224</v>
      </c>
      <c r="VSM2207" s="582" t="s">
        <v>1224</v>
      </c>
      <c r="VSN2207" s="582" t="s">
        <v>1224</v>
      </c>
      <c r="VSO2207" s="582" t="s">
        <v>1224</v>
      </c>
      <c r="VSP2207" s="582" t="s">
        <v>1224</v>
      </c>
      <c r="VSQ2207" s="582" t="s">
        <v>1224</v>
      </c>
      <c r="VSR2207" s="582" t="s">
        <v>1224</v>
      </c>
      <c r="VSS2207" s="582" t="s">
        <v>1224</v>
      </c>
      <c r="VST2207" s="582" t="s">
        <v>1224</v>
      </c>
      <c r="VSU2207" s="582" t="s">
        <v>1224</v>
      </c>
      <c r="VSV2207" s="582" t="s">
        <v>1224</v>
      </c>
      <c r="VSW2207" s="582" t="s">
        <v>1224</v>
      </c>
      <c r="VSX2207" s="582" t="s">
        <v>1224</v>
      </c>
      <c r="VSY2207" s="582" t="s">
        <v>1224</v>
      </c>
      <c r="VSZ2207" s="582" t="s">
        <v>1224</v>
      </c>
      <c r="VTA2207" s="582" t="s">
        <v>1224</v>
      </c>
      <c r="VTB2207" s="582" t="s">
        <v>1224</v>
      </c>
      <c r="VTC2207" s="582" t="s">
        <v>1224</v>
      </c>
      <c r="VTD2207" s="582" t="s">
        <v>1224</v>
      </c>
      <c r="VTE2207" s="582" t="s">
        <v>1224</v>
      </c>
      <c r="VTF2207" s="582" t="s">
        <v>1224</v>
      </c>
      <c r="VTG2207" s="582" t="s">
        <v>1224</v>
      </c>
      <c r="VTH2207" s="582" t="s">
        <v>1224</v>
      </c>
      <c r="VTI2207" s="582" t="s">
        <v>1224</v>
      </c>
      <c r="VTJ2207" s="582" t="s">
        <v>1224</v>
      </c>
      <c r="VTK2207" s="582" t="s">
        <v>1224</v>
      </c>
      <c r="VTL2207" s="582" t="s">
        <v>1224</v>
      </c>
      <c r="VTM2207" s="582" t="s">
        <v>1224</v>
      </c>
      <c r="VTN2207" s="582" t="s">
        <v>1224</v>
      </c>
      <c r="VTO2207" s="582" t="s">
        <v>1224</v>
      </c>
      <c r="VTP2207" s="582" t="s">
        <v>1224</v>
      </c>
      <c r="VTQ2207" s="582" t="s">
        <v>1224</v>
      </c>
      <c r="VTR2207" s="582" t="s">
        <v>1224</v>
      </c>
      <c r="VTS2207" s="582" t="s">
        <v>1224</v>
      </c>
      <c r="VTT2207" s="582" t="s">
        <v>1224</v>
      </c>
      <c r="VTU2207" s="582" t="s">
        <v>1224</v>
      </c>
      <c r="VTV2207" s="582" t="s">
        <v>1224</v>
      </c>
      <c r="VTW2207" s="582" t="s">
        <v>1224</v>
      </c>
      <c r="VTX2207" s="582" t="s">
        <v>1224</v>
      </c>
      <c r="VTY2207" s="582" t="s">
        <v>1224</v>
      </c>
      <c r="VTZ2207" s="582" t="s">
        <v>1224</v>
      </c>
      <c r="VUA2207" s="582" t="s">
        <v>1224</v>
      </c>
      <c r="VUB2207" s="582" t="s">
        <v>1224</v>
      </c>
      <c r="VUC2207" s="582" t="s">
        <v>1224</v>
      </c>
      <c r="VUD2207" s="582" t="s">
        <v>1224</v>
      </c>
      <c r="VUE2207" s="582" t="s">
        <v>1224</v>
      </c>
      <c r="VUF2207" s="582" t="s">
        <v>1224</v>
      </c>
      <c r="VUG2207" s="582" t="s">
        <v>1224</v>
      </c>
      <c r="VUH2207" s="582" t="s">
        <v>1224</v>
      </c>
      <c r="VUI2207" s="582" t="s">
        <v>1224</v>
      </c>
      <c r="VUJ2207" s="582" t="s">
        <v>1224</v>
      </c>
      <c r="VUK2207" s="582" t="s">
        <v>1224</v>
      </c>
      <c r="VUL2207" s="582" t="s">
        <v>1224</v>
      </c>
      <c r="VUM2207" s="582" t="s">
        <v>1224</v>
      </c>
      <c r="VUN2207" s="582" t="s">
        <v>1224</v>
      </c>
      <c r="VUO2207" s="582" t="s">
        <v>1224</v>
      </c>
      <c r="VUP2207" s="582" t="s">
        <v>1224</v>
      </c>
      <c r="VUQ2207" s="582" t="s">
        <v>1224</v>
      </c>
      <c r="VUR2207" s="582" t="s">
        <v>1224</v>
      </c>
      <c r="VUS2207" s="582" t="s">
        <v>1224</v>
      </c>
      <c r="VUT2207" s="582" t="s">
        <v>1224</v>
      </c>
      <c r="VUU2207" s="582" t="s">
        <v>1224</v>
      </c>
      <c r="VUV2207" s="582" t="s">
        <v>1224</v>
      </c>
      <c r="VUW2207" s="582" t="s">
        <v>1224</v>
      </c>
      <c r="VUX2207" s="582" t="s">
        <v>1224</v>
      </c>
      <c r="VUY2207" s="582" t="s">
        <v>1224</v>
      </c>
      <c r="VUZ2207" s="582" t="s">
        <v>1224</v>
      </c>
      <c r="VVA2207" s="582" t="s">
        <v>1224</v>
      </c>
      <c r="VVB2207" s="582" t="s">
        <v>1224</v>
      </c>
      <c r="VVC2207" s="582" t="s">
        <v>1224</v>
      </c>
      <c r="VVD2207" s="582" t="s">
        <v>1224</v>
      </c>
      <c r="VVE2207" s="582" t="s">
        <v>1224</v>
      </c>
      <c r="VVF2207" s="582" t="s">
        <v>1224</v>
      </c>
      <c r="VVG2207" s="582" t="s">
        <v>1224</v>
      </c>
      <c r="VVH2207" s="582" t="s">
        <v>1224</v>
      </c>
      <c r="VVI2207" s="582" t="s">
        <v>1224</v>
      </c>
      <c r="VVJ2207" s="582" t="s">
        <v>1224</v>
      </c>
      <c r="VVK2207" s="582" t="s">
        <v>1224</v>
      </c>
      <c r="VVL2207" s="582" t="s">
        <v>1224</v>
      </c>
      <c r="VVM2207" s="582" t="s">
        <v>1224</v>
      </c>
      <c r="VVN2207" s="582" t="s">
        <v>1224</v>
      </c>
      <c r="VVO2207" s="582" t="s">
        <v>1224</v>
      </c>
      <c r="VVP2207" s="582" t="s">
        <v>1224</v>
      </c>
      <c r="VVQ2207" s="582" t="s">
        <v>1224</v>
      </c>
      <c r="VVR2207" s="582" t="s">
        <v>1224</v>
      </c>
      <c r="VVS2207" s="582" t="s">
        <v>1224</v>
      </c>
      <c r="VVT2207" s="582" t="s">
        <v>1224</v>
      </c>
      <c r="VVU2207" s="582" t="s">
        <v>1224</v>
      </c>
      <c r="VVV2207" s="582" t="s">
        <v>1224</v>
      </c>
      <c r="VVW2207" s="582" t="s">
        <v>1224</v>
      </c>
      <c r="VVX2207" s="582" t="s">
        <v>1224</v>
      </c>
      <c r="VVY2207" s="582" t="s">
        <v>1224</v>
      </c>
      <c r="VVZ2207" s="582" t="s">
        <v>1224</v>
      </c>
      <c r="VWA2207" s="582" t="s">
        <v>1224</v>
      </c>
      <c r="VWB2207" s="582" t="s">
        <v>1224</v>
      </c>
      <c r="VWC2207" s="582" t="s">
        <v>1224</v>
      </c>
      <c r="VWD2207" s="582" t="s">
        <v>1224</v>
      </c>
      <c r="VWE2207" s="582" t="s">
        <v>1224</v>
      </c>
      <c r="VWF2207" s="582" t="s">
        <v>1224</v>
      </c>
      <c r="VWG2207" s="582" t="s">
        <v>1224</v>
      </c>
      <c r="VWH2207" s="582" t="s">
        <v>1224</v>
      </c>
      <c r="VWI2207" s="582" t="s">
        <v>1224</v>
      </c>
      <c r="VWJ2207" s="582" t="s">
        <v>1224</v>
      </c>
      <c r="VWK2207" s="582" t="s">
        <v>1224</v>
      </c>
      <c r="VWL2207" s="582" t="s">
        <v>1224</v>
      </c>
      <c r="VWM2207" s="582" t="s">
        <v>1224</v>
      </c>
      <c r="VWN2207" s="582" t="s">
        <v>1224</v>
      </c>
      <c r="VWO2207" s="582" t="s">
        <v>1224</v>
      </c>
      <c r="VWP2207" s="582" t="s">
        <v>1224</v>
      </c>
      <c r="VWQ2207" s="582" t="s">
        <v>1224</v>
      </c>
      <c r="VWR2207" s="582" t="s">
        <v>1224</v>
      </c>
      <c r="VWS2207" s="582" t="s">
        <v>1224</v>
      </c>
      <c r="VWT2207" s="582" t="s">
        <v>1224</v>
      </c>
      <c r="VWU2207" s="582" t="s">
        <v>1224</v>
      </c>
      <c r="VWV2207" s="582" t="s">
        <v>1224</v>
      </c>
      <c r="VWW2207" s="582" t="s">
        <v>1224</v>
      </c>
      <c r="VWX2207" s="582" t="s">
        <v>1224</v>
      </c>
      <c r="VWY2207" s="582" t="s">
        <v>1224</v>
      </c>
      <c r="VWZ2207" s="582" t="s">
        <v>1224</v>
      </c>
      <c r="VXA2207" s="582" t="s">
        <v>1224</v>
      </c>
      <c r="VXB2207" s="582" t="s">
        <v>1224</v>
      </c>
      <c r="VXC2207" s="582" t="s">
        <v>1224</v>
      </c>
      <c r="VXD2207" s="582" t="s">
        <v>1224</v>
      </c>
      <c r="VXE2207" s="582" t="s">
        <v>1224</v>
      </c>
      <c r="VXF2207" s="582" t="s">
        <v>1224</v>
      </c>
      <c r="VXG2207" s="582" t="s">
        <v>1224</v>
      </c>
      <c r="VXH2207" s="582" t="s">
        <v>1224</v>
      </c>
      <c r="VXI2207" s="582" t="s">
        <v>1224</v>
      </c>
      <c r="VXJ2207" s="582" t="s">
        <v>1224</v>
      </c>
      <c r="VXK2207" s="582" t="s">
        <v>1224</v>
      </c>
      <c r="VXL2207" s="582" t="s">
        <v>1224</v>
      </c>
      <c r="VXM2207" s="582" t="s">
        <v>1224</v>
      </c>
      <c r="VXN2207" s="582" t="s">
        <v>1224</v>
      </c>
      <c r="VXO2207" s="582" t="s">
        <v>1224</v>
      </c>
      <c r="VXP2207" s="582" t="s">
        <v>1224</v>
      </c>
      <c r="VXQ2207" s="582" t="s">
        <v>1224</v>
      </c>
      <c r="VXR2207" s="582" t="s">
        <v>1224</v>
      </c>
      <c r="VXS2207" s="582" t="s">
        <v>1224</v>
      </c>
      <c r="VXT2207" s="582" t="s">
        <v>1224</v>
      </c>
      <c r="VXU2207" s="582" t="s">
        <v>1224</v>
      </c>
      <c r="VXV2207" s="582" t="s">
        <v>1224</v>
      </c>
      <c r="VXW2207" s="582" t="s">
        <v>1224</v>
      </c>
      <c r="VXX2207" s="582" t="s">
        <v>1224</v>
      </c>
      <c r="VXY2207" s="582" t="s">
        <v>1224</v>
      </c>
      <c r="VXZ2207" s="582" t="s">
        <v>1224</v>
      </c>
      <c r="VYA2207" s="582" t="s">
        <v>1224</v>
      </c>
      <c r="VYB2207" s="582" t="s">
        <v>1224</v>
      </c>
      <c r="VYC2207" s="582" t="s">
        <v>1224</v>
      </c>
      <c r="VYD2207" s="582" t="s">
        <v>1224</v>
      </c>
      <c r="VYE2207" s="582" t="s">
        <v>1224</v>
      </c>
      <c r="VYF2207" s="582" t="s">
        <v>1224</v>
      </c>
      <c r="VYG2207" s="582" t="s">
        <v>1224</v>
      </c>
      <c r="VYH2207" s="582" t="s">
        <v>1224</v>
      </c>
      <c r="VYI2207" s="582" t="s">
        <v>1224</v>
      </c>
      <c r="VYJ2207" s="582" t="s">
        <v>1224</v>
      </c>
      <c r="VYK2207" s="582" t="s">
        <v>1224</v>
      </c>
      <c r="VYL2207" s="582" t="s">
        <v>1224</v>
      </c>
      <c r="VYM2207" s="582" t="s">
        <v>1224</v>
      </c>
      <c r="VYN2207" s="582" t="s">
        <v>1224</v>
      </c>
      <c r="VYO2207" s="582" t="s">
        <v>1224</v>
      </c>
      <c r="VYP2207" s="582" t="s">
        <v>1224</v>
      </c>
      <c r="VYQ2207" s="582" t="s">
        <v>1224</v>
      </c>
      <c r="VYR2207" s="582" t="s">
        <v>1224</v>
      </c>
      <c r="VYS2207" s="582" t="s">
        <v>1224</v>
      </c>
      <c r="VYT2207" s="582" t="s">
        <v>1224</v>
      </c>
      <c r="VYU2207" s="582" t="s">
        <v>1224</v>
      </c>
      <c r="VYV2207" s="582" t="s">
        <v>1224</v>
      </c>
      <c r="VYW2207" s="582" t="s">
        <v>1224</v>
      </c>
      <c r="VYX2207" s="582" t="s">
        <v>1224</v>
      </c>
      <c r="VYY2207" s="582" t="s">
        <v>1224</v>
      </c>
      <c r="VYZ2207" s="582" t="s">
        <v>1224</v>
      </c>
      <c r="VZA2207" s="582" t="s">
        <v>1224</v>
      </c>
      <c r="VZB2207" s="582" t="s">
        <v>1224</v>
      </c>
      <c r="VZC2207" s="582" t="s">
        <v>1224</v>
      </c>
      <c r="VZD2207" s="582" t="s">
        <v>1224</v>
      </c>
      <c r="VZE2207" s="582" t="s">
        <v>1224</v>
      </c>
      <c r="VZF2207" s="582" t="s">
        <v>1224</v>
      </c>
      <c r="VZG2207" s="582" t="s">
        <v>1224</v>
      </c>
      <c r="VZH2207" s="582" t="s">
        <v>1224</v>
      </c>
      <c r="VZI2207" s="582" t="s">
        <v>1224</v>
      </c>
      <c r="VZJ2207" s="582" t="s">
        <v>1224</v>
      </c>
      <c r="VZK2207" s="582" t="s">
        <v>1224</v>
      </c>
      <c r="VZL2207" s="582" t="s">
        <v>1224</v>
      </c>
      <c r="VZM2207" s="582" t="s">
        <v>1224</v>
      </c>
      <c r="VZN2207" s="582" t="s">
        <v>1224</v>
      </c>
      <c r="VZO2207" s="582" t="s">
        <v>1224</v>
      </c>
      <c r="VZP2207" s="582" t="s">
        <v>1224</v>
      </c>
      <c r="VZQ2207" s="582" t="s">
        <v>1224</v>
      </c>
      <c r="VZR2207" s="582" t="s">
        <v>1224</v>
      </c>
      <c r="VZS2207" s="582" t="s">
        <v>1224</v>
      </c>
      <c r="VZT2207" s="582" t="s">
        <v>1224</v>
      </c>
      <c r="VZU2207" s="582" t="s">
        <v>1224</v>
      </c>
      <c r="VZV2207" s="582" t="s">
        <v>1224</v>
      </c>
      <c r="VZW2207" s="582" t="s">
        <v>1224</v>
      </c>
      <c r="VZX2207" s="582" t="s">
        <v>1224</v>
      </c>
      <c r="VZY2207" s="582" t="s">
        <v>1224</v>
      </c>
      <c r="VZZ2207" s="582" t="s">
        <v>1224</v>
      </c>
      <c r="WAA2207" s="582" t="s">
        <v>1224</v>
      </c>
      <c r="WAB2207" s="582" t="s">
        <v>1224</v>
      </c>
      <c r="WAC2207" s="582" t="s">
        <v>1224</v>
      </c>
      <c r="WAD2207" s="582" t="s">
        <v>1224</v>
      </c>
      <c r="WAE2207" s="582" t="s">
        <v>1224</v>
      </c>
      <c r="WAF2207" s="582" t="s">
        <v>1224</v>
      </c>
      <c r="WAG2207" s="582" t="s">
        <v>1224</v>
      </c>
      <c r="WAH2207" s="582" t="s">
        <v>1224</v>
      </c>
      <c r="WAI2207" s="582" t="s">
        <v>1224</v>
      </c>
      <c r="WAJ2207" s="582" t="s">
        <v>1224</v>
      </c>
      <c r="WAK2207" s="582" t="s">
        <v>1224</v>
      </c>
      <c r="WAL2207" s="582" t="s">
        <v>1224</v>
      </c>
      <c r="WAM2207" s="582" t="s">
        <v>1224</v>
      </c>
      <c r="WAN2207" s="582" t="s">
        <v>1224</v>
      </c>
      <c r="WAO2207" s="582" t="s">
        <v>1224</v>
      </c>
      <c r="WAP2207" s="582" t="s">
        <v>1224</v>
      </c>
      <c r="WAQ2207" s="582" t="s">
        <v>1224</v>
      </c>
      <c r="WAR2207" s="582" t="s">
        <v>1224</v>
      </c>
      <c r="WAS2207" s="582" t="s">
        <v>1224</v>
      </c>
      <c r="WAT2207" s="582" t="s">
        <v>1224</v>
      </c>
      <c r="WAU2207" s="582" t="s">
        <v>1224</v>
      </c>
      <c r="WAV2207" s="582" t="s">
        <v>1224</v>
      </c>
      <c r="WAW2207" s="582" t="s">
        <v>1224</v>
      </c>
      <c r="WAX2207" s="582" t="s">
        <v>1224</v>
      </c>
      <c r="WAY2207" s="582" t="s">
        <v>1224</v>
      </c>
      <c r="WAZ2207" s="582" t="s">
        <v>1224</v>
      </c>
      <c r="WBA2207" s="582" t="s">
        <v>1224</v>
      </c>
      <c r="WBB2207" s="582" t="s">
        <v>1224</v>
      </c>
      <c r="WBC2207" s="582" t="s">
        <v>1224</v>
      </c>
      <c r="WBD2207" s="582" t="s">
        <v>1224</v>
      </c>
      <c r="WBE2207" s="582" t="s">
        <v>1224</v>
      </c>
      <c r="WBF2207" s="582" t="s">
        <v>1224</v>
      </c>
      <c r="WBG2207" s="582" t="s">
        <v>1224</v>
      </c>
      <c r="WBH2207" s="582" t="s">
        <v>1224</v>
      </c>
      <c r="WBI2207" s="582" t="s">
        <v>1224</v>
      </c>
      <c r="WBJ2207" s="582" t="s">
        <v>1224</v>
      </c>
      <c r="WBK2207" s="582" t="s">
        <v>1224</v>
      </c>
      <c r="WBL2207" s="582" t="s">
        <v>1224</v>
      </c>
      <c r="WBM2207" s="582" t="s">
        <v>1224</v>
      </c>
      <c r="WBN2207" s="582" t="s">
        <v>1224</v>
      </c>
      <c r="WBO2207" s="582" t="s">
        <v>1224</v>
      </c>
      <c r="WBP2207" s="582" t="s">
        <v>1224</v>
      </c>
      <c r="WBQ2207" s="582" t="s">
        <v>1224</v>
      </c>
      <c r="WBR2207" s="582" t="s">
        <v>1224</v>
      </c>
      <c r="WBS2207" s="582" t="s">
        <v>1224</v>
      </c>
      <c r="WBT2207" s="582" t="s">
        <v>1224</v>
      </c>
      <c r="WBU2207" s="582" t="s">
        <v>1224</v>
      </c>
      <c r="WBV2207" s="582" t="s">
        <v>1224</v>
      </c>
      <c r="WBW2207" s="582" t="s">
        <v>1224</v>
      </c>
      <c r="WBX2207" s="582" t="s">
        <v>1224</v>
      </c>
      <c r="WBY2207" s="582" t="s">
        <v>1224</v>
      </c>
      <c r="WBZ2207" s="582" t="s">
        <v>1224</v>
      </c>
      <c r="WCA2207" s="582" t="s">
        <v>1224</v>
      </c>
      <c r="WCB2207" s="582" t="s">
        <v>1224</v>
      </c>
      <c r="WCC2207" s="582" t="s">
        <v>1224</v>
      </c>
      <c r="WCD2207" s="582" t="s">
        <v>1224</v>
      </c>
      <c r="WCE2207" s="582" t="s">
        <v>1224</v>
      </c>
      <c r="WCF2207" s="582" t="s">
        <v>1224</v>
      </c>
      <c r="WCG2207" s="582" t="s">
        <v>1224</v>
      </c>
      <c r="WCH2207" s="582" t="s">
        <v>1224</v>
      </c>
      <c r="WCI2207" s="582" t="s">
        <v>1224</v>
      </c>
      <c r="WCJ2207" s="582" t="s">
        <v>1224</v>
      </c>
      <c r="WCK2207" s="582" t="s">
        <v>1224</v>
      </c>
      <c r="WCL2207" s="582" t="s">
        <v>1224</v>
      </c>
      <c r="WCM2207" s="582" t="s">
        <v>1224</v>
      </c>
      <c r="WCN2207" s="582" t="s">
        <v>1224</v>
      </c>
      <c r="WCO2207" s="582" t="s">
        <v>1224</v>
      </c>
      <c r="WCP2207" s="582" t="s">
        <v>1224</v>
      </c>
      <c r="WCQ2207" s="582" t="s">
        <v>1224</v>
      </c>
      <c r="WCR2207" s="582" t="s">
        <v>1224</v>
      </c>
      <c r="WCS2207" s="582" t="s">
        <v>1224</v>
      </c>
      <c r="WCT2207" s="582" t="s">
        <v>1224</v>
      </c>
      <c r="WCU2207" s="582" t="s">
        <v>1224</v>
      </c>
      <c r="WCV2207" s="582" t="s">
        <v>1224</v>
      </c>
      <c r="WCW2207" s="582" t="s">
        <v>1224</v>
      </c>
      <c r="WCX2207" s="582" t="s">
        <v>1224</v>
      </c>
      <c r="WCY2207" s="582" t="s">
        <v>1224</v>
      </c>
      <c r="WCZ2207" s="582" t="s">
        <v>1224</v>
      </c>
      <c r="WDA2207" s="582" t="s">
        <v>1224</v>
      </c>
      <c r="WDB2207" s="582" t="s">
        <v>1224</v>
      </c>
      <c r="WDC2207" s="582" t="s">
        <v>1224</v>
      </c>
      <c r="WDD2207" s="582" t="s">
        <v>1224</v>
      </c>
      <c r="WDE2207" s="582" t="s">
        <v>1224</v>
      </c>
      <c r="WDF2207" s="582" t="s">
        <v>1224</v>
      </c>
      <c r="WDG2207" s="582" t="s">
        <v>1224</v>
      </c>
      <c r="WDH2207" s="582" t="s">
        <v>1224</v>
      </c>
      <c r="WDI2207" s="582" t="s">
        <v>1224</v>
      </c>
      <c r="WDJ2207" s="582" t="s">
        <v>1224</v>
      </c>
      <c r="WDK2207" s="582" t="s">
        <v>1224</v>
      </c>
      <c r="WDL2207" s="582" t="s">
        <v>1224</v>
      </c>
      <c r="WDM2207" s="582" t="s">
        <v>1224</v>
      </c>
      <c r="WDN2207" s="582" t="s">
        <v>1224</v>
      </c>
      <c r="WDO2207" s="582" t="s">
        <v>1224</v>
      </c>
      <c r="WDP2207" s="582" t="s">
        <v>1224</v>
      </c>
      <c r="WDQ2207" s="582" t="s">
        <v>1224</v>
      </c>
      <c r="WDR2207" s="582" t="s">
        <v>1224</v>
      </c>
      <c r="WDS2207" s="582" t="s">
        <v>1224</v>
      </c>
      <c r="WDT2207" s="582" t="s">
        <v>1224</v>
      </c>
      <c r="WDU2207" s="582" t="s">
        <v>1224</v>
      </c>
      <c r="WDV2207" s="582" t="s">
        <v>1224</v>
      </c>
      <c r="WDW2207" s="582" t="s">
        <v>1224</v>
      </c>
      <c r="WDX2207" s="582" t="s">
        <v>1224</v>
      </c>
      <c r="WDY2207" s="582" t="s">
        <v>1224</v>
      </c>
      <c r="WDZ2207" s="582" t="s">
        <v>1224</v>
      </c>
      <c r="WEA2207" s="582" t="s">
        <v>1224</v>
      </c>
      <c r="WEB2207" s="582" t="s">
        <v>1224</v>
      </c>
      <c r="WEC2207" s="582" t="s">
        <v>1224</v>
      </c>
      <c r="WED2207" s="582" t="s">
        <v>1224</v>
      </c>
      <c r="WEE2207" s="582" t="s">
        <v>1224</v>
      </c>
      <c r="WEF2207" s="582" t="s">
        <v>1224</v>
      </c>
      <c r="WEG2207" s="582" t="s">
        <v>1224</v>
      </c>
      <c r="WEH2207" s="582" t="s">
        <v>1224</v>
      </c>
      <c r="WEI2207" s="582" t="s">
        <v>1224</v>
      </c>
      <c r="WEJ2207" s="582" t="s">
        <v>1224</v>
      </c>
      <c r="WEK2207" s="582" t="s">
        <v>1224</v>
      </c>
      <c r="WEL2207" s="582" t="s">
        <v>1224</v>
      </c>
      <c r="WEM2207" s="582" t="s">
        <v>1224</v>
      </c>
      <c r="WEN2207" s="582" t="s">
        <v>1224</v>
      </c>
      <c r="WEO2207" s="582" t="s">
        <v>1224</v>
      </c>
      <c r="WEP2207" s="582" t="s">
        <v>1224</v>
      </c>
      <c r="WEQ2207" s="582" t="s">
        <v>1224</v>
      </c>
      <c r="WER2207" s="582" t="s">
        <v>1224</v>
      </c>
      <c r="WES2207" s="582" t="s">
        <v>1224</v>
      </c>
      <c r="WET2207" s="582" t="s">
        <v>1224</v>
      </c>
      <c r="WEU2207" s="582" t="s">
        <v>1224</v>
      </c>
      <c r="WEV2207" s="582" t="s">
        <v>1224</v>
      </c>
      <c r="WEW2207" s="582" t="s">
        <v>1224</v>
      </c>
      <c r="WEX2207" s="582" t="s">
        <v>1224</v>
      </c>
      <c r="WEY2207" s="582" t="s">
        <v>1224</v>
      </c>
      <c r="WEZ2207" s="582" t="s">
        <v>1224</v>
      </c>
      <c r="WFA2207" s="582" t="s">
        <v>1224</v>
      </c>
      <c r="WFB2207" s="582" t="s">
        <v>1224</v>
      </c>
      <c r="WFC2207" s="582" t="s">
        <v>1224</v>
      </c>
      <c r="WFD2207" s="582" t="s">
        <v>1224</v>
      </c>
      <c r="WFE2207" s="582" t="s">
        <v>1224</v>
      </c>
      <c r="WFF2207" s="582" t="s">
        <v>1224</v>
      </c>
      <c r="WFG2207" s="582" t="s">
        <v>1224</v>
      </c>
      <c r="WFH2207" s="582" t="s">
        <v>1224</v>
      </c>
      <c r="WFI2207" s="582" t="s">
        <v>1224</v>
      </c>
      <c r="WFJ2207" s="582" t="s">
        <v>1224</v>
      </c>
      <c r="WFK2207" s="582" t="s">
        <v>1224</v>
      </c>
      <c r="WFL2207" s="582" t="s">
        <v>1224</v>
      </c>
      <c r="WFM2207" s="582" t="s">
        <v>1224</v>
      </c>
      <c r="WFN2207" s="582" t="s">
        <v>1224</v>
      </c>
      <c r="WFO2207" s="582" t="s">
        <v>1224</v>
      </c>
      <c r="WFP2207" s="582" t="s">
        <v>1224</v>
      </c>
      <c r="WFQ2207" s="582" t="s">
        <v>1224</v>
      </c>
      <c r="WFR2207" s="582" t="s">
        <v>1224</v>
      </c>
      <c r="WFS2207" s="582" t="s">
        <v>1224</v>
      </c>
      <c r="WFT2207" s="582" t="s">
        <v>1224</v>
      </c>
      <c r="WFU2207" s="582" t="s">
        <v>1224</v>
      </c>
      <c r="WFV2207" s="582" t="s">
        <v>1224</v>
      </c>
      <c r="WFW2207" s="582" t="s">
        <v>1224</v>
      </c>
      <c r="WFX2207" s="582" t="s">
        <v>1224</v>
      </c>
      <c r="WFY2207" s="582" t="s">
        <v>1224</v>
      </c>
      <c r="WFZ2207" s="582" t="s">
        <v>1224</v>
      </c>
      <c r="WGA2207" s="582" t="s">
        <v>1224</v>
      </c>
      <c r="WGB2207" s="582" t="s">
        <v>1224</v>
      </c>
      <c r="WGC2207" s="582" t="s">
        <v>1224</v>
      </c>
      <c r="WGD2207" s="582" t="s">
        <v>1224</v>
      </c>
      <c r="WGE2207" s="582" t="s">
        <v>1224</v>
      </c>
      <c r="WGF2207" s="582" t="s">
        <v>1224</v>
      </c>
      <c r="WGG2207" s="582" t="s">
        <v>1224</v>
      </c>
      <c r="WGH2207" s="582" t="s">
        <v>1224</v>
      </c>
      <c r="WGI2207" s="582" t="s">
        <v>1224</v>
      </c>
      <c r="WGJ2207" s="582" t="s">
        <v>1224</v>
      </c>
      <c r="WGK2207" s="582" t="s">
        <v>1224</v>
      </c>
      <c r="WGL2207" s="582" t="s">
        <v>1224</v>
      </c>
      <c r="WGM2207" s="582" t="s">
        <v>1224</v>
      </c>
      <c r="WGN2207" s="582" t="s">
        <v>1224</v>
      </c>
      <c r="WGO2207" s="582" t="s">
        <v>1224</v>
      </c>
      <c r="WGP2207" s="582" t="s">
        <v>1224</v>
      </c>
      <c r="WGQ2207" s="582" t="s">
        <v>1224</v>
      </c>
      <c r="WGR2207" s="582" t="s">
        <v>1224</v>
      </c>
      <c r="WGS2207" s="582" t="s">
        <v>1224</v>
      </c>
      <c r="WGT2207" s="582" t="s">
        <v>1224</v>
      </c>
      <c r="WGU2207" s="582" t="s">
        <v>1224</v>
      </c>
      <c r="WGV2207" s="582" t="s">
        <v>1224</v>
      </c>
      <c r="WGW2207" s="582" t="s">
        <v>1224</v>
      </c>
      <c r="WGX2207" s="582" t="s">
        <v>1224</v>
      </c>
      <c r="WGY2207" s="582" t="s">
        <v>1224</v>
      </c>
      <c r="WGZ2207" s="582" t="s">
        <v>1224</v>
      </c>
      <c r="WHA2207" s="582" t="s">
        <v>1224</v>
      </c>
      <c r="WHB2207" s="582" t="s">
        <v>1224</v>
      </c>
      <c r="WHC2207" s="582" t="s">
        <v>1224</v>
      </c>
      <c r="WHD2207" s="582" t="s">
        <v>1224</v>
      </c>
      <c r="WHE2207" s="582" t="s">
        <v>1224</v>
      </c>
      <c r="WHF2207" s="582" t="s">
        <v>1224</v>
      </c>
      <c r="WHG2207" s="582" t="s">
        <v>1224</v>
      </c>
      <c r="WHH2207" s="582" t="s">
        <v>1224</v>
      </c>
      <c r="WHI2207" s="582" t="s">
        <v>1224</v>
      </c>
      <c r="WHJ2207" s="582" t="s">
        <v>1224</v>
      </c>
      <c r="WHK2207" s="582" t="s">
        <v>1224</v>
      </c>
      <c r="WHL2207" s="582" t="s">
        <v>1224</v>
      </c>
      <c r="WHM2207" s="582" t="s">
        <v>1224</v>
      </c>
      <c r="WHN2207" s="582" t="s">
        <v>1224</v>
      </c>
      <c r="WHO2207" s="582" t="s">
        <v>1224</v>
      </c>
      <c r="WHP2207" s="582" t="s">
        <v>1224</v>
      </c>
      <c r="WHQ2207" s="582" t="s">
        <v>1224</v>
      </c>
      <c r="WHR2207" s="582" t="s">
        <v>1224</v>
      </c>
      <c r="WHS2207" s="582" t="s">
        <v>1224</v>
      </c>
      <c r="WHT2207" s="582" t="s">
        <v>1224</v>
      </c>
      <c r="WHU2207" s="582" t="s">
        <v>1224</v>
      </c>
      <c r="WHV2207" s="582" t="s">
        <v>1224</v>
      </c>
      <c r="WHW2207" s="582" t="s">
        <v>1224</v>
      </c>
      <c r="WHX2207" s="582" t="s">
        <v>1224</v>
      </c>
      <c r="WHY2207" s="582" t="s">
        <v>1224</v>
      </c>
      <c r="WHZ2207" s="582" t="s">
        <v>1224</v>
      </c>
      <c r="WIA2207" s="582" t="s">
        <v>1224</v>
      </c>
      <c r="WIB2207" s="582" t="s">
        <v>1224</v>
      </c>
      <c r="WIC2207" s="582" t="s">
        <v>1224</v>
      </c>
      <c r="WID2207" s="582" t="s">
        <v>1224</v>
      </c>
      <c r="WIE2207" s="582" t="s">
        <v>1224</v>
      </c>
      <c r="WIF2207" s="582" t="s">
        <v>1224</v>
      </c>
      <c r="WIG2207" s="582" t="s">
        <v>1224</v>
      </c>
      <c r="WIH2207" s="582" t="s">
        <v>1224</v>
      </c>
      <c r="WII2207" s="582" t="s">
        <v>1224</v>
      </c>
      <c r="WIJ2207" s="582" t="s">
        <v>1224</v>
      </c>
      <c r="WIK2207" s="582" t="s">
        <v>1224</v>
      </c>
      <c r="WIL2207" s="582" t="s">
        <v>1224</v>
      </c>
      <c r="WIM2207" s="582" t="s">
        <v>1224</v>
      </c>
      <c r="WIN2207" s="582" t="s">
        <v>1224</v>
      </c>
      <c r="WIO2207" s="582" t="s">
        <v>1224</v>
      </c>
      <c r="WIP2207" s="582" t="s">
        <v>1224</v>
      </c>
      <c r="WIQ2207" s="582" t="s">
        <v>1224</v>
      </c>
      <c r="WIR2207" s="582" t="s">
        <v>1224</v>
      </c>
      <c r="WIS2207" s="582" t="s">
        <v>1224</v>
      </c>
      <c r="WIT2207" s="582" t="s">
        <v>1224</v>
      </c>
      <c r="WIU2207" s="582" t="s">
        <v>1224</v>
      </c>
      <c r="WIV2207" s="582" t="s">
        <v>1224</v>
      </c>
      <c r="WIW2207" s="582" t="s">
        <v>1224</v>
      </c>
      <c r="WIX2207" s="582" t="s">
        <v>1224</v>
      </c>
      <c r="WIY2207" s="582" t="s">
        <v>1224</v>
      </c>
      <c r="WIZ2207" s="582" t="s">
        <v>1224</v>
      </c>
      <c r="WJA2207" s="582" t="s">
        <v>1224</v>
      </c>
      <c r="WJB2207" s="582" t="s">
        <v>1224</v>
      </c>
      <c r="WJC2207" s="582" t="s">
        <v>1224</v>
      </c>
      <c r="WJD2207" s="582" t="s">
        <v>1224</v>
      </c>
      <c r="WJE2207" s="582" t="s">
        <v>1224</v>
      </c>
      <c r="WJF2207" s="582" t="s">
        <v>1224</v>
      </c>
      <c r="WJG2207" s="582" t="s">
        <v>1224</v>
      </c>
      <c r="WJH2207" s="582" t="s">
        <v>1224</v>
      </c>
      <c r="WJI2207" s="582" t="s">
        <v>1224</v>
      </c>
      <c r="WJJ2207" s="582" t="s">
        <v>1224</v>
      </c>
      <c r="WJK2207" s="582" t="s">
        <v>1224</v>
      </c>
      <c r="WJL2207" s="582" t="s">
        <v>1224</v>
      </c>
      <c r="WJM2207" s="582" t="s">
        <v>1224</v>
      </c>
      <c r="WJN2207" s="582" t="s">
        <v>1224</v>
      </c>
      <c r="WJO2207" s="582" t="s">
        <v>1224</v>
      </c>
      <c r="WJP2207" s="582" t="s">
        <v>1224</v>
      </c>
      <c r="WJQ2207" s="582" t="s">
        <v>1224</v>
      </c>
      <c r="WJR2207" s="582" t="s">
        <v>1224</v>
      </c>
      <c r="WJS2207" s="582" t="s">
        <v>1224</v>
      </c>
      <c r="WJT2207" s="582" t="s">
        <v>1224</v>
      </c>
      <c r="WJU2207" s="582" t="s">
        <v>1224</v>
      </c>
      <c r="WJV2207" s="582" t="s">
        <v>1224</v>
      </c>
      <c r="WJW2207" s="582" t="s">
        <v>1224</v>
      </c>
      <c r="WJX2207" s="582" t="s">
        <v>1224</v>
      </c>
      <c r="WJY2207" s="582" t="s">
        <v>1224</v>
      </c>
      <c r="WJZ2207" s="582" t="s">
        <v>1224</v>
      </c>
      <c r="WKA2207" s="582" t="s">
        <v>1224</v>
      </c>
      <c r="WKB2207" s="582" t="s">
        <v>1224</v>
      </c>
      <c r="WKC2207" s="582" t="s">
        <v>1224</v>
      </c>
      <c r="WKD2207" s="582" t="s">
        <v>1224</v>
      </c>
      <c r="WKE2207" s="582" t="s">
        <v>1224</v>
      </c>
      <c r="WKF2207" s="582" t="s">
        <v>1224</v>
      </c>
      <c r="WKG2207" s="582" t="s">
        <v>1224</v>
      </c>
      <c r="WKH2207" s="582" t="s">
        <v>1224</v>
      </c>
      <c r="WKI2207" s="582" t="s">
        <v>1224</v>
      </c>
      <c r="WKJ2207" s="582" t="s">
        <v>1224</v>
      </c>
      <c r="WKK2207" s="582" t="s">
        <v>1224</v>
      </c>
      <c r="WKL2207" s="582" t="s">
        <v>1224</v>
      </c>
      <c r="WKM2207" s="582" t="s">
        <v>1224</v>
      </c>
      <c r="WKN2207" s="582" t="s">
        <v>1224</v>
      </c>
      <c r="WKO2207" s="582" t="s">
        <v>1224</v>
      </c>
      <c r="WKP2207" s="582" t="s">
        <v>1224</v>
      </c>
      <c r="WKQ2207" s="582" t="s">
        <v>1224</v>
      </c>
      <c r="WKR2207" s="582" t="s">
        <v>1224</v>
      </c>
      <c r="WKS2207" s="582" t="s">
        <v>1224</v>
      </c>
      <c r="WKT2207" s="582" t="s">
        <v>1224</v>
      </c>
      <c r="WKU2207" s="582" t="s">
        <v>1224</v>
      </c>
      <c r="WKV2207" s="582" t="s">
        <v>1224</v>
      </c>
      <c r="WKW2207" s="582" t="s">
        <v>1224</v>
      </c>
      <c r="WKX2207" s="582" t="s">
        <v>1224</v>
      </c>
      <c r="WKY2207" s="582" t="s">
        <v>1224</v>
      </c>
      <c r="WKZ2207" s="582" t="s">
        <v>1224</v>
      </c>
      <c r="WLA2207" s="582" t="s">
        <v>1224</v>
      </c>
      <c r="WLB2207" s="582" t="s">
        <v>1224</v>
      </c>
      <c r="WLC2207" s="582" t="s">
        <v>1224</v>
      </c>
      <c r="WLD2207" s="582" t="s">
        <v>1224</v>
      </c>
      <c r="WLE2207" s="582" t="s">
        <v>1224</v>
      </c>
      <c r="WLF2207" s="582" t="s">
        <v>1224</v>
      </c>
      <c r="WLG2207" s="582" t="s">
        <v>1224</v>
      </c>
      <c r="WLH2207" s="582" t="s">
        <v>1224</v>
      </c>
      <c r="WLI2207" s="582" t="s">
        <v>1224</v>
      </c>
      <c r="WLJ2207" s="582" t="s">
        <v>1224</v>
      </c>
      <c r="WLK2207" s="582" t="s">
        <v>1224</v>
      </c>
      <c r="WLL2207" s="582" t="s">
        <v>1224</v>
      </c>
      <c r="WLM2207" s="582" t="s">
        <v>1224</v>
      </c>
      <c r="WLN2207" s="582" t="s">
        <v>1224</v>
      </c>
      <c r="WLO2207" s="582" t="s">
        <v>1224</v>
      </c>
      <c r="WLP2207" s="582" t="s">
        <v>1224</v>
      </c>
      <c r="WLQ2207" s="582" t="s">
        <v>1224</v>
      </c>
      <c r="WLR2207" s="582" t="s">
        <v>1224</v>
      </c>
      <c r="WLS2207" s="582" t="s">
        <v>1224</v>
      </c>
      <c r="WLT2207" s="582" t="s">
        <v>1224</v>
      </c>
      <c r="WLU2207" s="582" t="s">
        <v>1224</v>
      </c>
      <c r="WLV2207" s="582" t="s">
        <v>1224</v>
      </c>
      <c r="WLW2207" s="582" t="s">
        <v>1224</v>
      </c>
      <c r="WLX2207" s="582" t="s">
        <v>1224</v>
      </c>
      <c r="WLY2207" s="582" t="s">
        <v>1224</v>
      </c>
      <c r="WLZ2207" s="582" t="s">
        <v>1224</v>
      </c>
      <c r="WMA2207" s="582" t="s">
        <v>1224</v>
      </c>
      <c r="WMB2207" s="582" t="s">
        <v>1224</v>
      </c>
      <c r="WMC2207" s="582" t="s">
        <v>1224</v>
      </c>
      <c r="WMD2207" s="582" t="s">
        <v>1224</v>
      </c>
      <c r="WME2207" s="582" t="s">
        <v>1224</v>
      </c>
      <c r="WMF2207" s="582" t="s">
        <v>1224</v>
      </c>
      <c r="WMG2207" s="582" t="s">
        <v>1224</v>
      </c>
      <c r="WMH2207" s="582" t="s">
        <v>1224</v>
      </c>
      <c r="WMI2207" s="582" t="s">
        <v>1224</v>
      </c>
      <c r="WMJ2207" s="582" t="s">
        <v>1224</v>
      </c>
      <c r="WMK2207" s="582" t="s">
        <v>1224</v>
      </c>
      <c r="WML2207" s="582" t="s">
        <v>1224</v>
      </c>
      <c r="WMM2207" s="582" t="s">
        <v>1224</v>
      </c>
      <c r="WMN2207" s="582" t="s">
        <v>1224</v>
      </c>
      <c r="WMO2207" s="582" t="s">
        <v>1224</v>
      </c>
      <c r="WMP2207" s="582" t="s">
        <v>1224</v>
      </c>
      <c r="WMQ2207" s="582" t="s">
        <v>1224</v>
      </c>
      <c r="WMR2207" s="582" t="s">
        <v>1224</v>
      </c>
      <c r="WMS2207" s="582" t="s">
        <v>1224</v>
      </c>
      <c r="WMT2207" s="582" t="s">
        <v>1224</v>
      </c>
      <c r="WMU2207" s="582" t="s">
        <v>1224</v>
      </c>
      <c r="WMV2207" s="582" t="s">
        <v>1224</v>
      </c>
      <c r="WMW2207" s="582" t="s">
        <v>1224</v>
      </c>
      <c r="WMX2207" s="582" t="s">
        <v>1224</v>
      </c>
      <c r="WMY2207" s="582" t="s">
        <v>1224</v>
      </c>
      <c r="WMZ2207" s="582" t="s">
        <v>1224</v>
      </c>
      <c r="WNA2207" s="582" t="s">
        <v>1224</v>
      </c>
      <c r="WNB2207" s="582" t="s">
        <v>1224</v>
      </c>
      <c r="WNC2207" s="582" t="s">
        <v>1224</v>
      </c>
      <c r="WND2207" s="582" t="s">
        <v>1224</v>
      </c>
      <c r="WNE2207" s="582" t="s">
        <v>1224</v>
      </c>
      <c r="WNF2207" s="582" t="s">
        <v>1224</v>
      </c>
      <c r="WNG2207" s="582" t="s">
        <v>1224</v>
      </c>
      <c r="WNH2207" s="582" t="s">
        <v>1224</v>
      </c>
      <c r="WNI2207" s="582" t="s">
        <v>1224</v>
      </c>
      <c r="WNJ2207" s="582" t="s">
        <v>1224</v>
      </c>
      <c r="WNK2207" s="582" t="s">
        <v>1224</v>
      </c>
      <c r="WNL2207" s="582" t="s">
        <v>1224</v>
      </c>
      <c r="WNM2207" s="582" t="s">
        <v>1224</v>
      </c>
      <c r="WNN2207" s="582" t="s">
        <v>1224</v>
      </c>
      <c r="WNO2207" s="582" t="s">
        <v>1224</v>
      </c>
      <c r="WNP2207" s="582" t="s">
        <v>1224</v>
      </c>
      <c r="WNQ2207" s="582" t="s">
        <v>1224</v>
      </c>
      <c r="WNR2207" s="582" t="s">
        <v>1224</v>
      </c>
      <c r="WNS2207" s="582" t="s">
        <v>1224</v>
      </c>
      <c r="WNT2207" s="582" t="s">
        <v>1224</v>
      </c>
      <c r="WNU2207" s="582" t="s">
        <v>1224</v>
      </c>
      <c r="WNV2207" s="582" t="s">
        <v>1224</v>
      </c>
      <c r="WNW2207" s="582" t="s">
        <v>1224</v>
      </c>
      <c r="WNX2207" s="582" t="s">
        <v>1224</v>
      </c>
      <c r="WNY2207" s="582" t="s">
        <v>1224</v>
      </c>
      <c r="WNZ2207" s="582" t="s">
        <v>1224</v>
      </c>
      <c r="WOA2207" s="582" t="s">
        <v>1224</v>
      </c>
      <c r="WOB2207" s="582" t="s">
        <v>1224</v>
      </c>
      <c r="WOC2207" s="582" t="s">
        <v>1224</v>
      </c>
      <c r="WOD2207" s="582" t="s">
        <v>1224</v>
      </c>
      <c r="WOE2207" s="582" t="s">
        <v>1224</v>
      </c>
      <c r="WOF2207" s="582" t="s">
        <v>1224</v>
      </c>
      <c r="WOG2207" s="582" t="s">
        <v>1224</v>
      </c>
      <c r="WOH2207" s="582" t="s">
        <v>1224</v>
      </c>
      <c r="WOI2207" s="582" t="s">
        <v>1224</v>
      </c>
      <c r="WOJ2207" s="582" t="s">
        <v>1224</v>
      </c>
      <c r="WOK2207" s="582" t="s">
        <v>1224</v>
      </c>
      <c r="WOL2207" s="582" t="s">
        <v>1224</v>
      </c>
      <c r="WOM2207" s="582" t="s">
        <v>1224</v>
      </c>
      <c r="WON2207" s="582" t="s">
        <v>1224</v>
      </c>
      <c r="WOO2207" s="582" t="s">
        <v>1224</v>
      </c>
      <c r="WOP2207" s="582" t="s">
        <v>1224</v>
      </c>
      <c r="WOQ2207" s="582" t="s">
        <v>1224</v>
      </c>
      <c r="WOR2207" s="582" t="s">
        <v>1224</v>
      </c>
      <c r="WOS2207" s="582" t="s">
        <v>1224</v>
      </c>
      <c r="WOT2207" s="582" t="s">
        <v>1224</v>
      </c>
      <c r="WOU2207" s="582" t="s">
        <v>1224</v>
      </c>
      <c r="WOV2207" s="582" t="s">
        <v>1224</v>
      </c>
      <c r="WOW2207" s="582" t="s">
        <v>1224</v>
      </c>
      <c r="WOX2207" s="582" t="s">
        <v>1224</v>
      </c>
      <c r="WOY2207" s="582" t="s">
        <v>1224</v>
      </c>
      <c r="WOZ2207" s="582" t="s">
        <v>1224</v>
      </c>
      <c r="WPA2207" s="582" t="s">
        <v>1224</v>
      </c>
      <c r="WPB2207" s="582" t="s">
        <v>1224</v>
      </c>
      <c r="WPC2207" s="582" t="s">
        <v>1224</v>
      </c>
      <c r="WPD2207" s="582" t="s">
        <v>1224</v>
      </c>
      <c r="WPE2207" s="582" t="s">
        <v>1224</v>
      </c>
      <c r="WPF2207" s="582" t="s">
        <v>1224</v>
      </c>
      <c r="WPG2207" s="582" t="s">
        <v>1224</v>
      </c>
      <c r="WPH2207" s="582" t="s">
        <v>1224</v>
      </c>
      <c r="WPI2207" s="582" t="s">
        <v>1224</v>
      </c>
      <c r="WPJ2207" s="582" t="s">
        <v>1224</v>
      </c>
      <c r="WPK2207" s="582" t="s">
        <v>1224</v>
      </c>
      <c r="WPL2207" s="582" t="s">
        <v>1224</v>
      </c>
      <c r="WPM2207" s="582" t="s">
        <v>1224</v>
      </c>
      <c r="WPN2207" s="582" t="s">
        <v>1224</v>
      </c>
      <c r="WPO2207" s="582" t="s">
        <v>1224</v>
      </c>
      <c r="WPP2207" s="582" t="s">
        <v>1224</v>
      </c>
      <c r="WPQ2207" s="582" t="s">
        <v>1224</v>
      </c>
      <c r="WPR2207" s="582" t="s">
        <v>1224</v>
      </c>
      <c r="WPS2207" s="582" t="s">
        <v>1224</v>
      </c>
      <c r="WPT2207" s="582" t="s">
        <v>1224</v>
      </c>
      <c r="WPU2207" s="582" t="s">
        <v>1224</v>
      </c>
      <c r="WPV2207" s="582" t="s">
        <v>1224</v>
      </c>
      <c r="WPW2207" s="582" t="s">
        <v>1224</v>
      </c>
      <c r="WPX2207" s="582" t="s">
        <v>1224</v>
      </c>
      <c r="WPY2207" s="582" t="s">
        <v>1224</v>
      </c>
      <c r="WPZ2207" s="582" t="s">
        <v>1224</v>
      </c>
      <c r="WQA2207" s="582" t="s">
        <v>1224</v>
      </c>
      <c r="WQB2207" s="582" t="s">
        <v>1224</v>
      </c>
      <c r="WQC2207" s="582" t="s">
        <v>1224</v>
      </c>
      <c r="WQD2207" s="582" t="s">
        <v>1224</v>
      </c>
      <c r="WQE2207" s="582" t="s">
        <v>1224</v>
      </c>
      <c r="WQF2207" s="582" t="s">
        <v>1224</v>
      </c>
      <c r="WQG2207" s="582" t="s">
        <v>1224</v>
      </c>
      <c r="WQH2207" s="582" t="s">
        <v>1224</v>
      </c>
      <c r="WQI2207" s="582" t="s">
        <v>1224</v>
      </c>
      <c r="WQJ2207" s="582" t="s">
        <v>1224</v>
      </c>
      <c r="WQK2207" s="582" t="s">
        <v>1224</v>
      </c>
      <c r="WQL2207" s="582" t="s">
        <v>1224</v>
      </c>
      <c r="WQM2207" s="582" t="s">
        <v>1224</v>
      </c>
      <c r="WQN2207" s="582" t="s">
        <v>1224</v>
      </c>
      <c r="WQO2207" s="582" t="s">
        <v>1224</v>
      </c>
      <c r="WQP2207" s="582" t="s">
        <v>1224</v>
      </c>
      <c r="WQQ2207" s="582" t="s">
        <v>1224</v>
      </c>
      <c r="WQR2207" s="582" t="s">
        <v>1224</v>
      </c>
      <c r="WQS2207" s="582" t="s">
        <v>1224</v>
      </c>
      <c r="WQT2207" s="582" t="s">
        <v>1224</v>
      </c>
      <c r="WQU2207" s="582" t="s">
        <v>1224</v>
      </c>
      <c r="WQV2207" s="582" t="s">
        <v>1224</v>
      </c>
      <c r="WQW2207" s="582" t="s">
        <v>1224</v>
      </c>
      <c r="WQX2207" s="582" t="s">
        <v>1224</v>
      </c>
      <c r="WQY2207" s="582" t="s">
        <v>1224</v>
      </c>
      <c r="WQZ2207" s="582" t="s">
        <v>1224</v>
      </c>
      <c r="WRA2207" s="582" t="s">
        <v>1224</v>
      </c>
      <c r="WRB2207" s="582" t="s">
        <v>1224</v>
      </c>
      <c r="WRC2207" s="582" t="s">
        <v>1224</v>
      </c>
      <c r="WRD2207" s="582" t="s">
        <v>1224</v>
      </c>
      <c r="WRE2207" s="582" t="s">
        <v>1224</v>
      </c>
      <c r="WRF2207" s="582" t="s">
        <v>1224</v>
      </c>
      <c r="WRG2207" s="582" t="s">
        <v>1224</v>
      </c>
      <c r="WRH2207" s="582" t="s">
        <v>1224</v>
      </c>
      <c r="WRI2207" s="582" t="s">
        <v>1224</v>
      </c>
      <c r="WRJ2207" s="582" t="s">
        <v>1224</v>
      </c>
      <c r="WRK2207" s="582" t="s">
        <v>1224</v>
      </c>
      <c r="WRL2207" s="582" t="s">
        <v>1224</v>
      </c>
      <c r="WRM2207" s="582" t="s">
        <v>1224</v>
      </c>
      <c r="WRN2207" s="582" t="s">
        <v>1224</v>
      </c>
      <c r="WRO2207" s="582" t="s">
        <v>1224</v>
      </c>
      <c r="WRP2207" s="582" t="s">
        <v>1224</v>
      </c>
      <c r="WRQ2207" s="582" t="s">
        <v>1224</v>
      </c>
      <c r="WRR2207" s="582" t="s">
        <v>1224</v>
      </c>
      <c r="WRS2207" s="582" t="s">
        <v>1224</v>
      </c>
      <c r="WRT2207" s="582" t="s">
        <v>1224</v>
      </c>
      <c r="WRU2207" s="582" t="s">
        <v>1224</v>
      </c>
      <c r="WRV2207" s="582" t="s">
        <v>1224</v>
      </c>
      <c r="WRW2207" s="582" t="s">
        <v>1224</v>
      </c>
      <c r="WRX2207" s="582" t="s">
        <v>1224</v>
      </c>
      <c r="WRY2207" s="582" t="s">
        <v>1224</v>
      </c>
      <c r="WRZ2207" s="582" t="s">
        <v>1224</v>
      </c>
      <c r="WSA2207" s="582" t="s">
        <v>1224</v>
      </c>
      <c r="WSB2207" s="582" t="s">
        <v>1224</v>
      </c>
      <c r="WSC2207" s="582" t="s">
        <v>1224</v>
      </c>
      <c r="WSD2207" s="582" t="s">
        <v>1224</v>
      </c>
      <c r="WSE2207" s="582" t="s">
        <v>1224</v>
      </c>
      <c r="WSF2207" s="582" t="s">
        <v>1224</v>
      </c>
      <c r="WSG2207" s="582" t="s">
        <v>1224</v>
      </c>
      <c r="WSH2207" s="582" t="s">
        <v>1224</v>
      </c>
      <c r="WSI2207" s="582" t="s">
        <v>1224</v>
      </c>
      <c r="WSJ2207" s="582" t="s">
        <v>1224</v>
      </c>
      <c r="WSK2207" s="582" t="s">
        <v>1224</v>
      </c>
      <c r="WSL2207" s="582" t="s">
        <v>1224</v>
      </c>
      <c r="WSM2207" s="582" t="s">
        <v>1224</v>
      </c>
      <c r="WSN2207" s="582" t="s">
        <v>1224</v>
      </c>
      <c r="WSO2207" s="582" t="s">
        <v>1224</v>
      </c>
      <c r="WSP2207" s="582" t="s">
        <v>1224</v>
      </c>
      <c r="WSQ2207" s="582" t="s">
        <v>1224</v>
      </c>
      <c r="WSR2207" s="582" t="s">
        <v>1224</v>
      </c>
      <c r="WSS2207" s="582" t="s">
        <v>1224</v>
      </c>
      <c r="WST2207" s="582" t="s">
        <v>1224</v>
      </c>
      <c r="WSU2207" s="582" t="s">
        <v>1224</v>
      </c>
      <c r="WSV2207" s="582" t="s">
        <v>1224</v>
      </c>
      <c r="WSW2207" s="582" t="s">
        <v>1224</v>
      </c>
      <c r="WSX2207" s="582" t="s">
        <v>1224</v>
      </c>
      <c r="WSY2207" s="582" t="s">
        <v>1224</v>
      </c>
      <c r="WSZ2207" s="582" t="s">
        <v>1224</v>
      </c>
      <c r="WTA2207" s="582" t="s">
        <v>1224</v>
      </c>
      <c r="WTB2207" s="582" t="s">
        <v>1224</v>
      </c>
      <c r="WTC2207" s="582" t="s">
        <v>1224</v>
      </c>
      <c r="WTD2207" s="582" t="s">
        <v>1224</v>
      </c>
      <c r="WTE2207" s="582" t="s">
        <v>1224</v>
      </c>
      <c r="WTF2207" s="582" t="s">
        <v>1224</v>
      </c>
      <c r="WTG2207" s="582" t="s">
        <v>1224</v>
      </c>
      <c r="WTH2207" s="582" t="s">
        <v>1224</v>
      </c>
      <c r="WTI2207" s="582" t="s">
        <v>1224</v>
      </c>
      <c r="WTJ2207" s="582" t="s">
        <v>1224</v>
      </c>
      <c r="WTK2207" s="582" t="s">
        <v>1224</v>
      </c>
      <c r="WTL2207" s="582" t="s">
        <v>1224</v>
      </c>
      <c r="WTM2207" s="582" t="s">
        <v>1224</v>
      </c>
      <c r="WTN2207" s="582" t="s">
        <v>1224</v>
      </c>
      <c r="WTO2207" s="582" t="s">
        <v>1224</v>
      </c>
      <c r="WTP2207" s="582" t="s">
        <v>1224</v>
      </c>
      <c r="WTQ2207" s="582" t="s">
        <v>1224</v>
      </c>
      <c r="WTR2207" s="582" t="s">
        <v>1224</v>
      </c>
      <c r="WTS2207" s="582" t="s">
        <v>1224</v>
      </c>
      <c r="WTT2207" s="582" t="s">
        <v>1224</v>
      </c>
      <c r="WTU2207" s="582" t="s">
        <v>1224</v>
      </c>
      <c r="WTV2207" s="582" t="s">
        <v>1224</v>
      </c>
      <c r="WTW2207" s="582" t="s">
        <v>1224</v>
      </c>
      <c r="WTX2207" s="582" t="s">
        <v>1224</v>
      </c>
      <c r="WTY2207" s="582" t="s">
        <v>1224</v>
      </c>
      <c r="WTZ2207" s="582" t="s">
        <v>1224</v>
      </c>
      <c r="WUA2207" s="582" t="s">
        <v>1224</v>
      </c>
      <c r="WUB2207" s="582" t="s">
        <v>1224</v>
      </c>
      <c r="WUC2207" s="582" t="s">
        <v>1224</v>
      </c>
      <c r="WUD2207" s="582" t="s">
        <v>1224</v>
      </c>
      <c r="WUE2207" s="582" t="s">
        <v>1224</v>
      </c>
      <c r="WUF2207" s="582" t="s">
        <v>1224</v>
      </c>
      <c r="WUG2207" s="582" t="s">
        <v>1224</v>
      </c>
      <c r="WUH2207" s="582" t="s">
        <v>1224</v>
      </c>
      <c r="WUI2207" s="582" t="s">
        <v>1224</v>
      </c>
      <c r="WUJ2207" s="582" t="s">
        <v>1224</v>
      </c>
      <c r="WUK2207" s="582" t="s">
        <v>1224</v>
      </c>
      <c r="WUL2207" s="582" t="s">
        <v>1224</v>
      </c>
      <c r="WUM2207" s="582" t="s">
        <v>1224</v>
      </c>
      <c r="WUN2207" s="582" t="s">
        <v>1224</v>
      </c>
      <c r="WUO2207" s="582" t="s">
        <v>1224</v>
      </c>
      <c r="WUP2207" s="582" t="s">
        <v>1224</v>
      </c>
      <c r="WUQ2207" s="582" t="s">
        <v>1224</v>
      </c>
      <c r="WUR2207" s="582" t="s">
        <v>1224</v>
      </c>
      <c r="WUS2207" s="582" t="s">
        <v>1224</v>
      </c>
      <c r="WUT2207" s="582" t="s">
        <v>1224</v>
      </c>
      <c r="WUU2207" s="582" t="s">
        <v>1224</v>
      </c>
      <c r="WUV2207" s="582" t="s">
        <v>1224</v>
      </c>
      <c r="WUW2207" s="582" t="s">
        <v>1224</v>
      </c>
      <c r="WUX2207" s="582" t="s">
        <v>1224</v>
      </c>
      <c r="WUY2207" s="582" t="s">
        <v>1224</v>
      </c>
      <c r="WUZ2207" s="582" t="s">
        <v>1224</v>
      </c>
      <c r="WVA2207" s="582" t="s">
        <v>1224</v>
      </c>
      <c r="WVB2207" s="582" t="s">
        <v>1224</v>
      </c>
      <c r="WVC2207" s="582" t="s">
        <v>1224</v>
      </c>
      <c r="WVD2207" s="582" t="s">
        <v>1224</v>
      </c>
      <c r="WVE2207" s="582" t="s">
        <v>1224</v>
      </c>
      <c r="WVF2207" s="582" t="s">
        <v>1224</v>
      </c>
      <c r="WVG2207" s="582" t="s">
        <v>1224</v>
      </c>
      <c r="WVH2207" s="582" t="s">
        <v>1224</v>
      </c>
      <c r="WVI2207" s="582" t="s">
        <v>1224</v>
      </c>
      <c r="WVJ2207" s="582" t="s">
        <v>1224</v>
      </c>
      <c r="WVK2207" s="582" t="s">
        <v>1224</v>
      </c>
      <c r="WVL2207" s="582" t="s">
        <v>1224</v>
      </c>
      <c r="WVM2207" s="582" t="s">
        <v>1224</v>
      </c>
      <c r="WVN2207" s="582" t="s">
        <v>1224</v>
      </c>
      <c r="WVO2207" s="582" t="s">
        <v>1224</v>
      </c>
      <c r="WVP2207" s="582" t="s">
        <v>1224</v>
      </c>
      <c r="WVQ2207" s="582" t="s">
        <v>1224</v>
      </c>
      <c r="WVR2207" s="582" t="s">
        <v>1224</v>
      </c>
      <c r="WVS2207" s="582" t="s">
        <v>1224</v>
      </c>
      <c r="WVT2207" s="582" t="s">
        <v>1224</v>
      </c>
      <c r="WVU2207" s="582" t="s">
        <v>1224</v>
      </c>
      <c r="WVV2207" s="582" t="s">
        <v>1224</v>
      </c>
      <c r="WVW2207" s="582" t="s">
        <v>1224</v>
      </c>
      <c r="WVX2207" s="582" t="s">
        <v>1224</v>
      </c>
      <c r="WVY2207" s="582" t="s">
        <v>1224</v>
      </c>
      <c r="WVZ2207" s="582" t="s">
        <v>1224</v>
      </c>
      <c r="WWA2207" s="582" t="s">
        <v>1224</v>
      </c>
      <c r="WWB2207" s="582" t="s">
        <v>1224</v>
      </c>
      <c r="WWC2207" s="582" t="s">
        <v>1224</v>
      </c>
      <c r="WWD2207" s="582" t="s">
        <v>1224</v>
      </c>
      <c r="WWE2207" s="582" t="s">
        <v>1224</v>
      </c>
      <c r="WWF2207" s="582" t="s">
        <v>1224</v>
      </c>
      <c r="WWG2207" s="582" t="s">
        <v>1224</v>
      </c>
      <c r="WWH2207" s="582" t="s">
        <v>1224</v>
      </c>
      <c r="WWI2207" s="582" t="s">
        <v>1224</v>
      </c>
      <c r="WWJ2207" s="582" t="s">
        <v>1224</v>
      </c>
      <c r="WWK2207" s="582" t="s">
        <v>1224</v>
      </c>
      <c r="WWL2207" s="582" t="s">
        <v>1224</v>
      </c>
      <c r="WWM2207" s="582" t="s">
        <v>1224</v>
      </c>
      <c r="WWN2207" s="582" t="s">
        <v>1224</v>
      </c>
      <c r="WWO2207" s="582" t="s">
        <v>1224</v>
      </c>
      <c r="WWP2207" s="582" t="s">
        <v>1224</v>
      </c>
      <c r="WWQ2207" s="582" t="s">
        <v>1224</v>
      </c>
      <c r="WWR2207" s="582" t="s">
        <v>1224</v>
      </c>
      <c r="WWS2207" s="582" t="s">
        <v>1224</v>
      </c>
      <c r="WWT2207" s="582" t="s">
        <v>1224</v>
      </c>
      <c r="WWU2207" s="582" t="s">
        <v>1224</v>
      </c>
      <c r="WWV2207" s="582" t="s">
        <v>1224</v>
      </c>
      <c r="WWW2207" s="582" t="s">
        <v>1224</v>
      </c>
      <c r="WWX2207" s="582" t="s">
        <v>1224</v>
      </c>
      <c r="WWY2207" s="582" t="s">
        <v>1224</v>
      </c>
      <c r="WWZ2207" s="582" t="s">
        <v>1224</v>
      </c>
      <c r="WXA2207" s="582" t="s">
        <v>1224</v>
      </c>
      <c r="WXB2207" s="582" t="s">
        <v>1224</v>
      </c>
      <c r="WXC2207" s="582" t="s">
        <v>1224</v>
      </c>
      <c r="WXD2207" s="582" t="s">
        <v>1224</v>
      </c>
      <c r="WXE2207" s="582" t="s">
        <v>1224</v>
      </c>
      <c r="WXF2207" s="582" t="s">
        <v>1224</v>
      </c>
      <c r="WXG2207" s="582" t="s">
        <v>1224</v>
      </c>
      <c r="WXH2207" s="582" t="s">
        <v>1224</v>
      </c>
      <c r="WXI2207" s="582" t="s">
        <v>1224</v>
      </c>
      <c r="WXJ2207" s="582" t="s">
        <v>1224</v>
      </c>
      <c r="WXK2207" s="582" t="s">
        <v>1224</v>
      </c>
      <c r="WXL2207" s="582" t="s">
        <v>1224</v>
      </c>
      <c r="WXM2207" s="582" t="s">
        <v>1224</v>
      </c>
      <c r="WXN2207" s="582" t="s">
        <v>1224</v>
      </c>
      <c r="WXO2207" s="582" t="s">
        <v>1224</v>
      </c>
      <c r="WXP2207" s="582" t="s">
        <v>1224</v>
      </c>
      <c r="WXQ2207" s="582" t="s">
        <v>1224</v>
      </c>
      <c r="WXR2207" s="582" t="s">
        <v>1224</v>
      </c>
      <c r="WXS2207" s="582" t="s">
        <v>1224</v>
      </c>
      <c r="WXT2207" s="582" t="s">
        <v>1224</v>
      </c>
      <c r="WXU2207" s="582" t="s">
        <v>1224</v>
      </c>
      <c r="WXV2207" s="582" t="s">
        <v>1224</v>
      </c>
      <c r="WXW2207" s="582" t="s">
        <v>1224</v>
      </c>
      <c r="WXX2207" s="582" t="s">
        <v>1224</v>
      </c>
      <c r="WXY2207" s="582" t="s">
        <v>1224</v>
      </c>
      <c r="WXZ2207" s="582" t="s">
        <v>1224</v>
      </c>
      <c r="WYA2207" s="582" t="s">
        <v>1224</v>
      </c>
      <c r="WYB2207" s="582" t="s">
        <v>1224</v>
      </c>
      <c r="WYC2207" s="582" t="s">
        <v>1224</v>
      </c>
      <c r="WYD2207" s="582" t="s">
        <v>1224</v>
      </c>
      <c r="WYE2207" s="582" t="s">
        <v>1224</v>
      </c>
      <c r="WYF2207" s="582" t="s">
        <v>1224</v>
      </c>
      <c r="WYG2207" s="582" t="s">
        <v>1224</v>
      </c>
      <c r="WYH2207" s="582" t="s">
        <v>1224</v>
      </c>
      <c r="WYI2207" s="582" t="s">
        <v>1224</v>
      </c>
      <c r="WYJ2207" s="582" t="s">
        <v>1224</v>
      </c>
      <c r="WYK2207" s="582" t="s">
        <v>1224</v>
      </c>
      <c r="WYL2207" s="582" t="s">
        <v>1224</v>
      </c>
      <c r="WYM2207" s="582" t="s">
        <v>1224</v>
      </c>
      <c r="WYN2207" s="582" t="s">
        <v>1224</v>
      </c>
      <c r="WYO2207" s="582" t="s">
        <v>1224</v>
      </c>
      <c r="WYP2207" s="582" t="s">
        <v>1224</v>
      </c>
      <c r="WYQ2207" s="582" t="s">
        <v>1224</v>
      </c>
      <c r="WYR2207" s="582" t="s">
        <v>1224</v>
      </c>
      <c r="WYS2207" s="582" t="s">
        <v>1224</v>
      </c>
      <c r="WYT2207" s="582" t="s">
        <v>1224</v>
      </c>
      <c r="WYU2207" s="582" t="s">
        <v>1224</v>
      </c>
      <c r="WYV2207" s="582" t="s">
        <v>1224</v>
      </c>
      <c r="WYW2207" s="582" t="s">
        <v>1224</v>
      </c>
      <c r="WYX2207" s="582" t="s">
        <v>1224</v>
      </c>
      <c r="WYY2207" s="582" t="s">
        <v>1224</v>
      </c>
      <c r="WYZ2207" s="582" t="s">
        <v>1224</v>
      </c>
      <c r="WZA2207" s="582" t="s">
        <v>1224</v>
      </c>
      <c r="WZB2207" s="582" t="s">
        <v>1224</v>
      </c>
      <c r="WZC2207" s="582" t="s">
        <v>1224</v>
      </c>
      <c r="WZD2207" s="582" t="s">
        <v>1224</v>
      </c>
      <c r="WZE2207" s="582" t="s">
        <v>1224</v>
      </c>
      <c r="WZF2207" s="582" t="s">
        <v>1224</v>
      </c>
      <c r="WZG2207" s="582" t="s">
        <v>1224</v>
      </c>
      <c r="WZH2207" s="582" t="s">
        <v>1224</v>
      </c>
      <c r="WZI2207" s="582" t="s">
        <v>1224</v>
      </c>
      <c r="WZJ2207" s="582" t="s">
        <v>1224</v>
      </c>
      <c r="WZK2207" s="582" t="s">
        <v>1224</v>
      </c>
      <c r="WZL2207" s="582" t="s">
        <v>1224</v>
      </c>
      <c r="WZM2207" s="582" t="s">
        <v>1224</v>
      </c>
      <c r="WZN2207" s="582" t="s">
        <v>1224</v>
      </c>
      <c r="WZO2207" s="582" t="s">
        <v>1224</v>
      </c>
      <c r="WZP2207" s="582" t="s">
        <v>1224</v>
      </c>
      <c r="WZQ2207" s="582" t="s">
        <v>1224</v>
      </c>
      <c r="WZR2207" s="582" t="s">
        <v>1224</v>
      </c>
      <c r="WZS2207" s="582" t="s">
        <v>1224</v>
      </c>
      <c r="WZT2207" s="582" t="s">
        <v>1224</v>
      </c>
      <c r="WZU2207" s="582" t="s">
        <v>1224</v>
      </c>
      <c r="WZV2207" s="582" t="s">
        <v>1224</v>
      </c>
      <c r="WZW2207" s="582" t="s">
        <v>1224</v>
      </c>
      <c r="WZX2207" s="582" t="s">
        <v>1224</v>
      </c>
      <c r="WZY2207" s="582" t="s">
        <v>1224</v>
      </c>
      <c r="WZZ2207" s="582" t="s">
        <v>1224</v>
      </c>
      <c r="XAA2207" s="582" t="s">
        <v>1224</v>
      </c>
      <c r="XAB2207" s="582" t="s">
        <v>1224</v>
      </c>
      <c r="XAC2207" s="582" t="s">
        <v>1224</v>
      </c>
      <c r="XAD2207" s="582" t="s">
        <v>1224</v>
      </c>
      <c r="XAE2207" s="582" t="s">
        <v>1224</v>
      </c>
      <c r="XAF2207" s="582" t="s">
        <v>1224</v>
      </c>
      <c r="XAG2207" s="582" t="s">
        <v>1224</v>
      </c>
      <c r="XAH2207" s="582" t="s">
        <v>1224</v>
      </c>
      <c r="XAI2207" s="582" t="s">
        <v>1224</v>
      </c>
      <c r="XAJ2207" s="582" t="s">
        <v>1224</v>
      </c>
      <c r="XAK2207" s="582" t="s">
        <v>1224</v>
      </c>
      <c r="XAL2207" s="582" t="s">
        <v>1224</v>
      </c>
      <c r="XAM2207" s="582" t="s">
        <v>1224</v>
      </c>
      <c r="XAN2207" s="582" t="s">
        <v>1224</v>
      </c>
      <c r="XAO2207" s="582" t="s">
        <v>1224</v>
      </c>
      <c r="XAP2207" s="582" t="s">
        <v>1224</v>
      </c>
      <c r="XAQ2207" s="582" t="s">
        <v>1224</v>
      </c>
      <c r="XAR2207" s="582" t="s">
        <v>1224</v>
      </c>
      <c r="XAS2207" s="582" t="s">
        <v>1224</v>
      </c>
      <c r="XAT2207" s="582" t="s">
        <v>1224</v>
      </c>
      <c r="XAU2207" s="582" t="s">
        <v>1224</v>
      </c>
      <c r="XAV2207" s="582" t="s">
        <v>1224</v>
      </c>
      <c r="XAW2207" s="582" t="s">
        <v>1224</v>
      </c>
      <c r="XAX2207" s="582" t="s">
        <v>1224</v>
      </c>
      <c r="XAY2207" s="582" t="s">
        <v>1224</v>
      </c>
      <c r="XAZ2207" s="582" t="s">
        <v>1224</v>
      </c>
      <c r="XBA2207" s="582" t="s">
        <v>1224</v>
      </c>
      <c r="XBB2207" s="582" t="s">
        <v>1224</v>
      </c>
      <c r="XBC2207" s="582" t="s">
        <v>1224</v>
      </c>
      <c r="XBD2207" s="582" t="s">
        <v>1224</v>
      </c>
      <c r="XBE2207" s="582" t="s">
        <v>1224</v>
      </c>
      <c r="XBF2207" s="582" t="s">
        <v>1224</v>
      </c>
      <c r="XBG2207" s="582" t="s">
        <v>1224</v>
      </c>
      <c r="XBH2207" s="582" t="s">
        <v>1224</v>
      </c>
      <c r="XBI2207" s="582" t="s">
        <v>1224</v>
      </c>
      <c r="XBJ2207" s="582" t="s">
        <v>1224</v>
      </c>
      <c r="XBK2207" s="582" t="s">
        <v>1224</v>
      </c>
      <c r="XBL2207" s="582" t="s">
        <v>1224</v>
      </c>
      <c r="XBM2207" s="582" t="s">
        <v>1224</v>
      </c>
      <c r="XBN2207" s="582" t="s">
        <v>1224</v>
      </c>
      <c r="XBO2207" s="582" t="s">
        <v>1224</v>
      </c>
      <c r="XBP2207" s="582" t="s">
        <v>1224</v>
      </c>
      <c r="XBQ2207" s="582" t="s">
        <v>1224</v>
      </c>
      <c r="XBR2207" s="582" t="s">
        <v>1224</v>
      </c>
      <c r="XBS2207" s="582" t="s">
        <v>1224</v>
      </c>
      <c r="XBT2207" s="582" t="s">
        <v>1224</v>
      </c>
      <c r="XBU2207" s="582" t="s">
        <v>1224</v>
      </c>
      <c r="XBV2207" s="582" t="s">
        <v>1224</v>
      </c>
      <c r="XBW2207" s="582" t="s">
        <v>1224</v>
      </c>
      <c r="XBX2207" s="582" t="s">
        <v>1224</v>
      </c>
      <c r="XBY2207" s="582" t="s">
        <v>1224</v>
      </c>
      <c r="XBZ2207" s="582" t="s">
        <v>1224</v>
      </c>
      <c r="XCA2207" s="582" t="s">
        <v>1224</v>
      </c>
      <c r="XCB2207" s="582" t="s">
        <v>1224</v>
      </c>
      <c r="XCC2207" s="582" t="s">
        <v>1224</v>
      </c>
      <c r="XCD2207" s="582" t="s">
        <v>1224</v>
      </c>
      <c r="XCE2207" s="582" t="s">
        <v>1224</v>
      </c>
      <c r="XCF2207" s="582" t="s">
        <v>1224</v>
      </c>
      <c r="XCG2207" s="582" t="s">
        <v>1224</v>
      </c>
      <c r="XCH2207" s="582" t="s">
        <v>1224</v>
      </c>
      <c r="XCI2207" s="582" t="s">
        <v>1224</v>
      </c>
      <c r="XCJ2207" s="582" t="s">
        <v>1224</v>
      </c>
      <c r="XCK2207" s="582" t="s">
        <v>1224</v>
      </c>
      <c r="XCL2207" s="582" t="s">
        <v>1224</v>
      </c>
      <c r="XCM2207" s="582" t="s">
        <v>1224</v>
      </c>
      <c r="XCN2207" s="582" t="s">
        <v>1224</v>
      </c>
      <c r="XCO2207" s="582" t="s">
        <v>1224</v>
      </c>
      <c r="XCP2207" s="582" t="s">
        <v>1224</v>
      </c>
      <c r="XCQ2207" s="582" t="s">
        <v>1224</v>
      </c>
      <c r="XCR2207" s="582" t="s">
        <v>1224</v>
      </c>
      <c r="XCS2207" s="582" t="s">
        <v>1224</v>
      </c>
      <c r="XCT2207" s="582" t="s">
        <v>1224</v>
      </c>
      <c r="XCU2207" s="582" t="s">
        <v>1224</v>
      </c>
      <c r="XCV2207" s="582" t="s">
        <v>1224</v>
      </c>
      <c r="XCW2207" s="582" t="s">
        <v>1224</v>
      </c>
      <c r="XCX2207" s="582" t="s">
        <v>1224</v>
      </c>
      <c r="XCY2207" s="582" t="s">
        <v>1224</v>
      </c>
      <c r="XCZ2207" s="582" t="s">
        <v>1224</v>
      </c>
      <c r="XDA2207" s="582" t="s">
        <v>1224</v>
      </c>
      <c r="XDB2207" s="582" t="s">
        <v>1224</v>
      </c>
      <c r="XDC2207" s="582" t="s">
        <v>1224</v>
      </c>
      <c r="XDD2207" s="582" t="s">
        <v>1224</v>
      </c>
      <c r="XDE2207" s="582" t="s">
        <v>1224</v>
      </c>
      <c r="XDF2207" s="582" t="s">
        <v>1224</v>
      </c>
      <c r="XDG2207" s="582" t="s">
        <v>1224</v>
      </c>
      <c r="XDH2207" s="582" t="s">
        <v>1224</v>
      </c>
      <c r="XDI2207" s="582" t="s">
        <v>1224</v>
      </c>
      <c r="XDJ2207" s="582" t="s">
        <v>1224</v>
      </c>
      <c r="XDK2207" s="582" t="s">
        <v>1224</v>
      </c>
      <c r="XDL2207" s="582" t="s">
        <v>1224</v>
      </c>
      <c r="XDM2207" s="582" t="s">
        <v>1224</v>
      </c>
      <c r="XDN2207" s="582" t="s">
        <v>1224</v>
      </c>
      <c r="XDO2207" s="582" t="s">
        <v>1224</v>
      </c>
      <c r="XDP2207" s="582" t="s">
        <v>1224</v>
      </c>
      <c r="XDQ2207" s="582" t="s">
        <v>1224</v>
      </c>
      <c r="XDR2207" s="582" t="s">
        <v>1224</v>
      </c>
      <c r="XDS2207" s="582" t="s">
        <v>1224</v>
      </c>
      <c r="XDT2207" s="582" t="s">
        <v>1224</v>
      </c>
      <c r="XDU2207" s="582" t="s">
        <v>1224</v>
      </c>
      <c r="XDV2207" s="582" t="s">
        <v>1224</v>
      </c>
      <c r="XDW2207" s="582" t="s">
        <v>1224</v>
      </c>
      <c r="XDX2207" s="582" t="s">
        <v>1224</v>
      </c>
      <c r="XDY2207" s="582" t="s">
        <v>1224</v>
      </c>
      <c r="XDZ2207" s="582" t="s">
        <v>1224</v>
      </c>
      <c r="XEA2207" s="582" t="s">
        <v>1224</v>
      </c>
      <c r="XEB2207" s="582" t="s">
        <v>1224</v>
      </c>
      <c r="XEC2207" s="582" t="s">
        <v>1224</v>
      </c>
      <c r="XED2207" s="582" t="s">
        <v>1224</v>
      </c>
      <c r="XEE2207" s="582" t="s">
        <v>1224</v>
      </c>
      <c r="XEF2207" s="582" t="s">
        <v>1224</v>
      </c>
      <c r="XEG2207" s="582" t="s">
        <v>1224</v>
      </c>
      <c r="XEH2207" s="582" t="s">
        <v>1224</v>
      </c>
      <c r="XEI2207" s="582" t="s">
        <v>1224</v>
      </c>
      <c r="XEJ2207" s="582" t="s">
        <v>1224</v>
      </c>
      <c r="XEK2207" s="582" t="s">
        <v>1224</v>
      </c>
      <c r="XEL2207" s="582" t="s">
        <v>1224</v>
      </c>
      <c r="XEM2207" s="582" t="s">
        <v>1224</v>
      </c>
      <c r="XEN2207" s="582" t="s">
        <v>1224</v>
      </c>
      <c r="XEO2207" s="582" t="s">
        <v>1224</v>
      </c>
      <c r="XEP2207" s="582" t="s">
        <v>1224</v>
      </c>
      <c r="XEQ2207" s="582" t="s">
        <v>1224</v>
      </c>
      <c r="XER2207" s="582" t="s">
        <v>1224</v>
      </c>
      <c r="XES2207" s="582" t="s">
        <v>1224</v>
      </c>
      <c r="XET2207" s="582" t="s">
        <v>1224</v>
      </c>
      <c r="XEU2207" s="582" t="s">
        <v>1224</v>
      </c>
      <c r="XEV2207" s="582" t="s">
        <v>1224</v>
      </c>
      <c r="XEW2207" s="582" t="s">
        <v>1224</v>
      </c>
      <c r="XEX2207" s="582" t="s">
        <v>1224</v>
      </c>
      <c r="XEY2207" s="582" t="s">
        <v>1224</v>
      </c>
      <c r="XEZ2207" s="582" t="s">
        <v>1224</v>
      </c>
      <c r="XFA2207" s="582" t="s">
        <v>1224</v>
      </c>
      <c r="XFB2207" s="582" t="s">
        <v>1224</v>
      </c>
      <c r="XFC2207" s="582" t="s">
        <v>1224</v>
      </c>
      <c r="XFD2207" s="582" t="s">
        <v>1224</v>
      </c>
    </row>
    <row r="2208" spans="1:16384" x14ac:dyDescent="0.25">
      <c r="A2208" s="39" t="s">
        <v>539</v>
      </c>
      <c r="L2208" s="64"/>
    </row>
    <row r="2209" spans="1:26" x14ac:dyDescent="0.25">
      <c r="A2209" s="39" t="s">
        <v>669</v>
      </c>
      <c r="L2209" s="64"/>
    </row>
    <row r="2210" spans="1:26" s="50" customFormat="1" ht="12.75" customHeight="1" x14ac:dyDescent="0.3">
      <c r="A2210" s="39" t="s">
        <v>1025</v>
      </c>
      <c r="B2210" s="3"/>
      <c r="C2210" s="3"/>
      <c r="D2210" s="3"/>
      <c r="E2210" s="3"/>
      <c r="F2210" s="3"/>
      <c r="G2210" s="3"/>
      <c r="H2210" s="3"/>
      <c r="I2210" s="3"/>
      <c r="J2210" s="3"/>
      <c r="K2210" s="3"/>
      <c r="L2210" s="64"/>
      <c r="M2210" s="3"/>
      <c r="N2210" s="3"/>
      <c r="O2210" s="3"/>
      <c r="P2210" s="3"/>
      <c r="Q2210" s="3"/>
      <c r="R2210" s="3"/>
      <c r="S2210" s="3"/>
      <c r="T2210" s="3"/>
      <c r="U2210" s="3"/>
      <c r="V2210" s="3"/>
      <c r="W2210" s="3"/>
      <c r="X2210" s="3"/>
      <c r="Y2210" s="3"/>
      <c r="Z2210" s="3"/>
    </row>
    <row r="2211" spans="1:26" x14ac:dyDescent="0.25">
      <c r="A2211" s="41" t="s">
        <v>869</v>
      </c>
      <c r="B2211" s="34"/>
      <c r="C2211" s="34"/>
      <c r="D2211" s="34"/>
      <c r="E2211" s="34"/>
      <c r="F2211" s="34"/>
      <c r="G2211" s="34"/>
      <c r="H2211" s="34"/>
      <c r="I2211" s="34"/>
      <c r="J2211" s="34"/>
      <c r="K2211" s="34"/>
      <c r="L2211" s="48"/>
    </row>
    <row r="2214" spans="1:26" x14ac:dyDescent="0.25">
      <c r="A2214" s="6" t="s">
        <v>24</v>
      </c>
      <c r="B2214" s="7" t="s">
        <v>540</v>
      </c>
    </row>
    <row r="2215" spans="1:26" x14ac:dyDescent="0.25">
      <c r="A2215" s="151" t="s">
        <v>14</v>
      </c>
      <c r="B2215" s="24" t="s">
        <v>624</v>
      </c>
      <c r="C2215" s="473" t="s">
        <v>26</v>
      </c>
    </row>
    <row r="2216" spans="1:26" x14ac:dyDescent="0.25">
      <c r="A2216" s="170" t="s">
        <v>27</v>
      </c>
      <c r="B2216" s="274">
        <v>2016</v>
      </c>
      <c r="C2216" s="154">
        <v>2017</v>
      </c>
      <c r="D2216" s="474">
        <v>2018</v>
      </c>
      <c r="E2216" s="154">
        <v>2019</v>
      </c>
      <c r="F2216" s="154">
        <v>2020</v>
      </c>
      <c r="G2216" s="154">
        <v>2021</v>
      </c>
      <c r="H2216" s="154">
        <v>2022</v>
      </c>
      <c r="I2216" s="154">
        <v>2023</v>
      </c>
      <c r="J2216" s="154">
        <v>2024</v>
      </c>
      <c r="K2216" s="154">
        <v>2025</v>
      </c>
    </row>
    <row r="2217" spans="1:26" x14ac:dyDescent="0.25">
      <c r="A2217" s="11" t="s">
        <v>28</v>
      </c>
      <c r="B2217" s="72">
        <v>250</v>
      </c>
      <c r="C2217" s="72">
        <v>250</v>
      </c>
      <c r="D2217" s="72">
        <v>300</v>
      </c>
      <c r="E2217" s="72">
        <v>300</v>
      </c>
      <c r="F2217" s="12">
        <v>300</v>
      </c>
      <c r="G2217" s="12">
        <v>337.5</v>
      </c>
      <c r="H2217" s="12">
        <v>337.5</v>
      </c>
      <c r="I2217" s="12">
        <v>337.5</v>
      </c>
      <c r="J2217" s="12">
        <v>421.9</v>
      </c>
      <c r="K2217" s="12">
        <v>421.9</v>
      </c>
    </row>
    <row r="2218" spans="1:26" x14ac:dyDescent="0.25">
      <c r="A2218" s="11" t="s">
        <v>29</v>
      </c>
      <c r="B2218" s="72">
        <v>-415.21000000000004</v>
      </c>
      <c r="C2218" s="72">
        <f>B2221+C2217+60+150+114</f>
        <v>-128.19000000000005</v>
      </c>
      <c r="D2218" s="72">
        <f>C2221+D2217</f>
        <v>-129.54000000000008</v>
      </c>
      <c r="E2218" s="72">
        <f>E2217+D2221</f>
        <v>5.0099999999999341</v>
      </c>
      <c r="F2218" s="72">
        <f>E2221+F2217</f>
        <v>84.089999999999947</v>
      </c>
      <c r="G2218" s="72">
        <f>G2217+F2221</f>
        <v>175.66999999999996</v>
      </c>
      <c r="H2218" s="72">
        <f>H2217+G2221</f>
        <v>214.65699999999998</v>
      </c>
      <c r="I2218" s="72">
        <f>I2217+H2221</f>
        <v>234.81599999999997</v>
      </c>
      <c r="J2218" s="72">
        <f>J2217+I2221</f>
        <v>443.82599999999996</v>
      </c>
      <c r="K2218" s="72">
        <f>K2217+0.25*J2217</f>
        <v>527.375</v>
      </c>
    </row>
    <row r="2219" spans="1:26" x14ac:dyDescent="0.25">
      <c r="A2219" s="11" t="s">
        <v>30</v>
      </c>
      <c r="B2219" s="486"/>
      <c r="C2219" s="583" t="s">
        <v>543</v>
      </c>
      <c r="D2219" s="486" t="s">
        <v>544</v>
      </c>
      <c r="E2219" s="486" t="s">
        <v>545</v>
      </c>
      <c r="F2219" s="486" t="s">
        <v>548</v>
      </c>
      <c r="G2219" s="486" t="s">
        <v>550</v>
      </c>
      <c r="H2219" s="486" t="s">
        <v>692</v>
      </c>
      <c r="I2219" s="486" t="s">
        <v>849</v>
      </c>
      <c r="J2219" s="486" t="s">
        <v>1017</v>
      </c>
      <c r="K2219" s="486" t="s">
        <v>1122</v>
      </c>
    </row>
    <row r="2220" spans="1:26" x14ac:dyDescent="0.25">
      <c r="A2220" s="11" t="s">
        <v>31</v>
      </c>
      <c r="B2220" s="72">
        <v>286.98</v>
      </c>
      <c r="C2220" s="72">
        <v>301.35000000000002</v>
      </c>
      <c r="D2220" s="72">
        <v>165.45</v>
      </c>
      <c r="E2220" s="72">
        <v>220.92</v>
      </c>
      <c r="F2220" s="12">
        <v>245.92</v>
      </c>
      <c r="G2220" s="12">
        <v>298.51299999999998</v>
      </c>
      <c r="H2220" s="12">
        <v>317.34100000000001</v>
      </c>
      <c r="I2220" s="12">
        <v>212.89</v>
      </c>
      <c r="J2220" s="11">
        <v>179.49600000000001</v>
      </c>
      <c r="K2220" s="11"/>
    </row>
    <row r="2221" spans="1:26" x14ac:dyDescent="0.25">
      <c r="A2221" s="11" t="s">
        <v>32</v>
      </c>
      <c r="B2221" s="72">
        <f t="shared" ref="B2221:J2221" si="89">B2218-B2220</f>
        <v>-702.19</v>
      </c>
      <c r="C2221" s="72">
        <f t="shared" si="89"/>
        <v>-429.54000000000008</v>
      </c>
      <c r="D2221" s="72">
        <f t="shared" si="89"/>
        <v>-294.99000000000007</v>
      </c>
      <c r="E2221" s="72">
        <f t="shared" si="89"/>
        <v>-215.91000000000005</v>
      </c>
      <c r="F2221" s="72">
        <f t="shared" si="89"/>
        <v>-161.83000000000004</v>
      </c>
      <c r="G2221" s="12">
        <f t="shared" si="89"/>
        <v>-122.84300000000002</v>
      </c>
      <c r="H2221" s="12">
        <f t="shared" si="89"/>
        <v>-102.68400000000003</v>
      </c>
      <c r="I2221" s="12">
        <f t="shared" si="89"/>
        <v>21.925999999999988</v>
      </c>
      <c r="J2221" s="12">
        <f t="shared" si="89"/>
        <v>264.32999999999993</v>
      </c>
      <c r="K2221" s="11"/>
    </row>
    <row r="2222" spans="1:26" x14ac:dyDescent="0.25">
      <c r="A2222" s="16" t="s">
        <v>33</v>
      </c>
      <c r="B2222" s="159">
        <v>2018</v>
      </c>
      <c r="C2222" s="159">
        <v>2018</v>
      </c>
      <c r="D2222" s="159">
        <v>2019</v>
      </c>
      <c r="E2222" s="159">
        <v>2020</v>
      </c>
      <c r="F2222" s="159">
        <v>2021</v>
      </c>
      <c r="G2222" s="159">
        <v>2022</v>
      </c>
      <c r="H2222" s="159">
        <v>2023</v>
      </c>
      <c r="I2222" s="159">
        <v>2024</v>
      </c>
      <c r="J2222" s="159">
        <v>2025</v>
      </c>
      <c r="K2222" s="197">
        <v>2026</v>
      </c>
    </row>
    <row r="2223" spans="1:26" x14ac:dyDescent="0.25">
      <c r="A2223" s="18" t="s">
        <v>542</v>
      </c>
      <c r="B2223" s="439"/>
      <c r="C2223" s="439"/>
      <c r="D2223" s="439"/>
      <c r="E2223" s="439"/>
      <c r="F2223" s="439"/>
      <c r="G2223" s="19"/>
      <c r="H2223" s="19"/>
      <c r="I2223" s="19"/>
      <c r="J2223" s="19"/>
      <c r="K2223" s="63"/>
    </row>
    <row r="2224" spans="1:26" x14ac:dyDescent="0.25">
      <c r="A2224" s="39" t="s">
        <v>546</v>
      </c>
      <c r="B2224" s="446"/>
      <c r="C2224" s="446"/>
      <c r="D2224" s="446"/>
      <c r="E2224" s="446"/>
      <c r="F2224" s="446"/>
      <c r="K2224" s="64"/>
    </row>
    <row r="2225" spans="1:11" x14ac:dyDescent="0.25">
      <c r="A2225" s="39" t="s">
        <v>547</v>
      </c>
      <c r="B2225" s="446"/>
      <c r="C2225" s="446"/>
      <c r="D2225" s="446"/>
      <c r="E2225" s="446"/>
      <c r="F2225" s="446"/>
      <c r="K2225" s="64"/>
    </row>
    <row r="2226" spans="1:11" x14ac:dyDescent="0.25">
      <c r="A2226" s="39" t="s">
        <v>549</v>
      </c>
      <c r="B2226" s="446"/>
      <c r="C2226" s="446"/>
      <c r="D2226" s="446"/>
      <c r="E2226" s="446"/>
      <c r="F2226" s="446"/>
      <c r="K2226" s="64"/>
    </row>
    <row r="2227" spans="1:11" x14ac:dyDescent="0.25">
      <c r="A2227" s="39" t="s">
        <v>551</v>
      </c>
      <c r="B2227" s="446"/>
      <c r="C2227" s="446"/>
      <c r="D2227" s="446"/>
      <c r="E2227" s="446"/>
      <c r="F2227" s="446"/>
      <c r="K2227" s="64"/>
    </row>
    <row r="2228" spans="1:11" x14ac:dyDescent="0.25">
      <c r="A2228" s="39" t="s">
        <v>693</v>
      </c>
      <c r="B2228" s="446"/>
      <c r="C2228" s="446"/>
      <c r="D2228" s="446"/>
      <c r="E2228" s="446"/>
      <c r="F2228" s="446"/>
      <c r="K2228" s="64"/>
    </row>
    <row r="2229" spans="1:11" x14ac:dyDescent="0.25">
      <c r="A2229" s="39" t="s">
        <v>850</v>
      </c>
      <c r="B2229" s="446"/>
      <c r="C2229" s="446"/>
      <c r="D2229" s="446"/>
      <c r="E2229" s="446"/>
      <c r="F2229" s="446"/>
      <c r="K2229" s="64"/>
    </row>
    <row r="2230" spans="1:11" x14ac:dyDescent="0.25">
      <c r="A2230" s="39" t="s">
        <v>1018</v>
      </c>
      <c r="B2230" s="446"/>
      <c r="C2230" s="446"/>
      <c r="D2230" s="446"/>
      <c r="E2230" s="446"/>
      <c r="F2230" s="446"/>
      <c r="K2230" s="64"/>
    </row>
    <row r="2231" spans="1:11" x14ac:dyDescent="0.25">
      <c r="A2231" s="39" t="s">
        <v>1125</v>
      </c>
      <c r="B2231" s="446"/>
      <c r="C2231" s="446"/>
      <c r="D2231" s="446"/>
      <c r="E2231" s="446"/>
      <c r="F2231" s="446"/>
      <c r="K2231" s="64"/>
    </row>
    <row r="2232" spans="1:11" x14ac:dyDescent="0.25">
      <c r="A2232" s="41" t="s">
        <v>541</v>
      </c>
      <c r="B2232" s="487"/>
      <c r="C2232" s="487"/>
      <c r="D2232" s="487"/>
      <c r="E2232" s="487"/>
      <c r="F2232" s="487"/>
      <c r="G2232" s="34"/>
      <c r="H2232" s="34"/>
      <c r="I2232" s="34"/>
      <c r="J2232" s="34"/>
      <c r="K2232" s="48"/>
    </row>
    <row r="2233" spans="1:11" x14ac:dyDescent="0.25">
      <c r="A2233" s="2"/>
      <c r="B2233" s="2"/>
    </row>
    <row r="2234" spans="1:11" x14ac:dyDescent="0.25">
      <c r="A2234" s="6" t="s">
        <v>14</v>
      </c>
      <c r="B2234" s="7" t="s">
        <v>623</v>
      </c>
      <c r="C2234" s="473" t="s">
        <v>26</v>
      </c>
    </row>
    <row r="2235" spans="1:11" x14ac:dyDescent="0.25">
      <c r="A2235" s="170" t="s">
        <v>27</v>
      </c>
      <c r="B2235" s="154">
        <v>2016</v>
      </c>
      <c r="C2235" s="154">
        <v>2017</v>
      </c>
      <c r="D2235" s="474">
        <v>2018</v>
      </c>
      <c r="E2235" s="154">
        <v>2019</v>
      </c>
      <c r="F2235" s="154">
        <v>2020</v>
      </c>
      <c r="G2235" s="154">
        <v>2021</v>
      </c>
      <c r="H2235" s="154">
        <v>2022</v>
      </c>
      <c r="I2235" s="154">
        <v>2023</v>
      </c>
      <c r="J2235" s="154">
        <v>2024</v>
      </c>
      <c r="K2235" s="154">
        <v>2025</v>
      </c>
    </row>
    <row r="2236" spans="1:11" x14ac:dyDescent="0.25">
      <c r="A2236" s="11" t="s">
        <v>28</v>
      </c>
      <c r="B2236" s="72">
        <v>85</v>
      </c>
      <c r="C2236" s="72">
        <v>85</v>
      </c>
      <c r="D2236" s="72">
        <v>85</v>
      </c>
      <c r="E2236" s="72">
        <v>85</v>
      </c>
      <c r="F2236" s="12">
        <v>85</v>
      </c>
      <c r="G2236" s="12">
        <v>85</v>
      </c>
      <c r="H2236" s="12">
        <v>85</v>
      </c>
      <c r="I2236" s="12">
        <v>85</v>
      </c>
      <c r="J2236" s="12">
        <v>85</v>
      </c>
      <c r="K2236" s="12">
        <v>85</v>
      </c>
    </row>
    <row r="2237" spans="1:11" x14ac:dyDescent="0.25">
      <c r="A2237" s="11" t="s">
        <v>29</v>
      </c>
      <c r="B2237" s="72">
        <f>B2236*1.5</f>
        <v>127.5</v>
      </c>
      <c r="C2237" s="72">
        <f>C2236+0.5*B2236-12.75</f>
        <v>114.75</v>
      </c>
      <c r="D2237" s="72">
        <f>D2236+0.4*B2236-12.75</f>
        <v>106.25</v>
      </c>
      <c r="E2237" s="72">
        <f t="shared" ref="E2237:K2237" si="90">E2236+0.4*C2236</f>
        <v>119</v>
      </c>
      <c r="F2237" s="72">
        <f t="shared" si="90"/>
        <v>119</v>
      </c>
      <c r="G2237" s="72">
        <f t="shared" si="90"/>
        <v>119</v>
      </c>
      <c r="H2237" s="72">
        <f t="shared" si="90"/>
        <v>119</v>
      </c>
      <c r="I2237" s="72">
        <f t="shared" si="90"/>
        <v>119</v>
      </c>
      <c r="J2237" s="72">
        <f t="shared" si="90"/>
        <v>119</v>
      </c>
      <c r="K2237" s="72">
        <f t="shared" si="90"/>
        <v>119</v>
      </c>
    </row>
    <row r="2238" spans="1:11" x14ac:dyDescent="0.25">
      <c r="A2238" s="11" t="s">
        <v>30</v>
      </c>
      <c r="B2238" s="252" t="s">
        <v>552</v>
      </c>
      <c r="C2238" s="252" t="s">
        <v>555</v>
      </c>
      <c r="D2238" s="252" t="s">
        <v>556</v>
      </c>
      <c r="E2238" s="252" t="s">
        <v>557</v>
      </c>
      <c r="F2238" s="252" t="s">
        <v>557</v>
      </c>
      <c r="G2238" s="252" t="s">
        <v>557</v>
      </c>
      <c r="H2238" s="252" t="s">
        <v>557</v>
      </c>
      <c r="I2238" s="252" t="s">
        <v>557</v>
      </c>
      <c r="J2238" s="252" t="s">
        <v>557</v>
      </c>
      <c r="K2238" s="252" t="s">
        <v>557</v>
      </c>
    </row>
    <row r="2239" spans="1:11" x14ac:dyDescent="0.25">
      <c r="A2239" s="11" t="s">
        <v>31</v>
      </c>
      <c r="B2239" s="72">
        <v>52.75</v>
      </c>
      <c r="C2239" s="72">
        <v>52.26</v>
      </c>
      <c r="D2239" s="72">
        <v>30.79</v>
      </c>
      <c r="E2239" s="72">
        <v>31.39</v>
      </c>
      <c r="F2239" s="12">
        <v>14.36</v>
      </c>
      <c r="G2239" s="12">
        <v>13.391</v>
      </c>
      <c r="H2239" s="12">
        <v>16.809999999999999</v>
      </c>
      <c r="I2239" s="12">
        <v>31.181000000000001</v>
      </c>
      <c r="J2239" s="12">
        <v>38.901000000000003</v>
      </c>
      <c r="K2239" s="112"/>
    </row>
    <row r="2240" spans="1:11" x14ac:dyDescent="0.25">
      <c r="A2240" s="11" t="s">
        <v>32</v>
      </c>
      <c r="B2240" s="72">
        <f t="shared" ref="B2240:J2240" si="91">B2237-B2239</f>
        <v>74.75</v>
      </c>
      <c r="C2240" s="72">
        <f t="shared" si="91"/>
        <v>62.49</v>
      </c>
      <c r="D2240" s="72">
        <f t="shared" si="91"/>
        <v>75.460000000000008</v>
      </c>
      <c r="E2240" s="72">
        <f t="shared" si="91"/>
        <v>87.61</v>
      </c>
      <c r="F2240" s="72">
        <f t="shared" si="91"/>
        <v>104.64</v>
      </c>
      <c r="G2240" s="12">
        <f t="shared" si="91"/>
        <v>105.60899999999999</v>
      </c>
      <c r="H2240" s="12">
        <f t="shared" si="91"/>
        <v>102.19</v>
      </c>
      <c r="I2240" s="12">
        <f t="shared" si="91"/>
        <v>87.819000000000003</v>
      </c>
      <c r="J2240" s="12">
        <f t="shared" si="91"/>
        <v>80.09899999999999</v>
      </c>
      <c r="K2240" s="113"/>
    </row>
    <row r="2241" spans="1:11" x14ac:dyDescent="0.25">
      <c r="A2241" s="16" t="s">
        <v>33</v>
      </c>
      <c r="B2241" s="159">
        <v>2018</v>
      </c>
      <c r="C2241" s="159">
        <v>2019</v>
      </c>
      <c r="D2241" s="475">
        <v>2020</v>
      </c>
      <c r="E2241" s="159">
        <v>2021</v>
      </c>
      <c r="F2241" s="159">
        <v>2022</v>
      </c>
      <c r="G2241" s="159">
        <v>2023</v>
      </c>
      <c r="H2241" s="159">
        <v>2024</v>
      </c>
      <c r="I2241" s="159">
        <v>2025</v>
      </c>
      <c r="J2241" s="159">
        <v>2025</v>
      </c>
      <c r="K2241" s="584">
        <v>2027</v>
      </c>
    </row>
    <row r="2242" spans="1:11" ht="13.2" customHeight="1" x14ac:dyDescent="0.25">
      <c r="A2242" s="18" t="s">
        <v>502</v>
      </c>
      <c r="B2242" s="585"/>
      <c r="C2242" s="585"/>
      <c r="D2242" s="585"/>
      <c r="E2242" s="585"/>
      <c r="F2242" s="585"/>
      <c r="G2242" s="585"/>
      <c r="H2242" s="585"/>
      <c r="I2242" s="585"/>
      <c r="J2242" s="585"/>
      <c r="K2242" s="63"/>
    </row>
    <row r="2243" spans="1:11" x14ac:dyDescent="0.25">
      <c r="A2243" s="161" t="s">
        <v>503</v>
      </c>
      <c r="B2243" s="32"/>
      <c r="C2243" s="32"/>
      <c r="D2243" s="32"/>
      <c r="E2243" s="32"/>
      <c r="F2243" s="32"/>
      <c r="G2243" s="32"/>
      <c r="H2243" s="32"/>
      <c r="I2243" s="32"/>
      <c r="J2243" s="32"/>
      <c r="K2243" s="64"/>
    </row>
    <row r="2244" spans="1:11" x14ac:dyDescent="0.25">
      <c r="A2244" s="39" t="s">
        <v>553</v>
      </c>
      <c r="K2244" s="64"/>
    </row>
    <row r="2245" spans="1:11" x14ac:dyDescent="0.25">
      <c r="A2245" s="41" t="s">
        <v>554</v>
      </c>
      <c r="B2245" s="34"/>
      <c r="C2245" s="34"/>
      <c r="D2245" s="34"/>
      <c r="E2245" s="34"/>
      <c r="F2245" s="34"/>
      <c r="G2245" s="34"/>
      <c r="H2245" s="34"/>
      <c r="I2245" s="34"/>
      <c r="J2245" s="34"/>
      <c r="K2245" s="48"/>
    </row>
    <row r="2247" spans="1:11" x14ac:dyDescent="0.25">
      <c r="A2247" s="6" t="s">
        <v>14</v>
      </c>
      <c r="B2247" s="7" t="s">
        <v>74</v>
      </c>
      <c r="C2247" s="473" t="s">
        <v>26</v>
      </c>
    </row>
    <row r="2248" spans="1:11" x14ac:dyDescent="0.25">
      <c r="A2248" s="170" t="s">
        <v>27</v>
      </c>
      <c r="B2248" s="154">
        <v>2016</v>
      </c>
      <c r="C2248" s="154">
        <v>2017</v>
      </c>
      <c r="D2248" s="474">
        <v>2018</v>
      </c>
      <c r="E2248" s="154">
        <v>2019</v>
      </c>
      <c r="F2248" s="154">
        <v>2020</v>
      </c>
      <c r="G2248" s="154">
        <v>2021</v>
      </c>
      <c r="H2248" s="154">
        <v>2022</v>
      </c>
      <c r="I2248" s="154">
        <v>2023</v>
      </c>
      <c r="J2248" s="154">
        <v>2024</v>
      </c>
      <c r="K2248" s="154">
        <v>2025</v>
      </c>
    </row>
    <row r="2249" spans="1:11" x14ac:dyDescent="0.25">
      <c r="A2249" s="11" t="s">
        <v>28</v>
      </c>
      <c r="B2249" s="72">
        <v>100</v>
      </c>
      <c r="C2249" s="72">
        <v>100</v>
      </c>
      <c r="D2249" s="72">
        <v>100</v>
      </c>
      <c r="E2249" s="72">
        <v>100</v>
      </c>
      <c r="F2249" s="12">
        <v>84.1</v>
      </c>
      <c r="G2249" s="12">
        <v>84.1</v>
      </c>
      <c r="H2249" s="12">
        <v>84.1</v>
      </c>
      <c r="I2249" s="12">
        <v>84.1</v>
      </c>
      <c r="J2249" s="12">
        <v>84.1</v>
      </c>
      <c r="K2249" s="12">
        <v>84.1</v>
      </c>
    </row>
    <row r="2250" spans="1:11" x14ac:dyDescent="0.25">
      <c r="A2250" s="11" t="s">
        <v>29</v>
      </c>
      <c r="B2250" s="72">
        <f>B2249*1.1</f>
        <v>110.00000000000001</v>
      </c>
      <c r="C2250" s="72">
        <f>C2249*1.1-30</f>
        <v>80.000000000000014</v>
      </c>
      <c r="D2250" s="72">
        <f>D2249+C2253+0.1*B2249</f>
        <v>92.590000000000018</v>
      </c>
      <c r="E2250" s="72">
        <v>100</v>
      </c>
      <c r="F2250" s="72">
        <f>F2249+0.1*D2249</f>
        <v>94.1</v>
      </c>
      <c r="G2250" s="72">
        <f>G2249+0.1*E2249</f>
        <v>94.1</v>
      </c>
      <c r="H2250" s="72"/>
      <c r="I2250" s="72"/>
      <c r="J2250" s="72">
        <f>J2249+I2253</f>
        <v>82.440999999999988</v>
      </c>
      <c r="K2250" s="72">
        <f>K2249+1.25*J2253</f>
        <v>60.978749999999977</v>
      </c>
    </row>
    <row r="2251" spans="1:11" x14ac:dyDescent="0.25">
      <c r="A2251" s="11" t="s">
        <v>30</v>
      </c>
      <c r="B2251" s="252" t="s">
        <v>559</v>
      </c>
      <c r="C2251" s="252" t="s">
        <v>560</v>
      </c>
      <c r="D2251" s="586" t="s">
        <v>543</v>
      </c>
      <c r="E2251" s="252"/>
      <c r="F2251" s="252" t="s">
        <v>562</v>
      </c>
      <c r="G2251" s="252" t="s">
        <v>562</v>
      </c>
      <c r="H2251" s="252"/>
      <c r="I2251" s="252"/>
      <c r="J2251" s="252"/>
      <c r="K2251" s="252" t="s">
        <v>400</v>
      </c>
    </row>
    <row r="2252" spans="1:11" x14ac:dyDescent="0.25">
      <c r="A2252" s="11" t="s">
        <v>31</v>
      </c>
      <c r="B2252" s="72">
        <v>82.51</v>
      </c>
      <c r="C2252" s="72">
        <v>97.41</v>
      </c>
      <c r="D2252" s="72">
        <v>61.54</v>
      </c>
      <c r="E2252" s="72">
        <v>60.49</v>
      </c>
      <c r="F2252" s="12">
        <v>42.46</v>
      </c>
      <c r="G2252" s="12">
        <v>42.97</v>
      </c>
      <c r="H2252" s="12">
        <v>71.760000000000005</v>
      </c>
      <c r="I2252" s="12">
        <v>85.759</v>
      </c>
      <c r="J2252" s="12">
        <v>100.938</v>
      </c>
      <c r="K2252" s="12"/>
    </row>
    <row r="2253" spans="1:11" x14ac:dyDescent="0.25">
      <c r="A2253" s="11" t="s">
        <v>32</v>
      </c>
      <c r="B2253" s="72">
        <f t="shared" ref="B2253:G2253" si="92">B2250-B2252</f>
        <v>27.490000000000009</v>
      </c>
      <c r="C2253" s="72">
        <f t="shared" si="92"/>
        <v>-17.409999999999982</v>
      </c>
      <c r="D2253" s="72">
        <f t="shared" si="92"/>
        <v>31.050000000000018</v>
      </c>
      <c r="E2253" s="72">
        <f t="shared" si="92"/>
        <v>39.51</v>
      </c>
      <c r="F2253" s="72">
        <f t="shared" si="92"/>
        <v>51.639999999999993</v>
      </c>
      <c r="G2253" s="12">
        <f t="shared" si="92"/>
        <v>51.129999999999995</v>
      </c>
      <c r="H2253" s="12">
        <f>H2249-H2252</f>
        <v>12.339999999999989</v>
      </c>
      <c r="I2253" s="12">
        <f>I2249-I2252</f>
        <v>-1.659000000000006</v>
      </c>
      <c r="J2253" s="12">
        <f>J2250-J2252</f>
        <v>-18.497000000000014</v>
      </c>
      <c r="K2253" s="12"/>
    </row>
    <row r="2254" spans="1:11" x14ac:dyDescent="0.25">
      <c r="A2254" s="16" t="s">
        <v>33</v>
      </c>
      <c r="B2254" s="159">
        <v>2018</v>
      </c>
      <c r="C2254" s="159">
        <v>2018</v>
      </c>
      <c r="D2254" s="475">
        <v>2020</v>
      </c>
      <c r="E2254" s="159">
        <v>2021</v>
      </c>
      <c r="F2254" s="159"/>
      <c r="G2254" s="159"/>
      <c r="H2254" s="159"/>
      <c r="I2254" s="159">
        <v>2024</v>
      </c>
      <c r="J2254" s="159">
        <v>2025</v>
      </c>
      <c r="K2254" s="159">
        <v>2026</v>
      </c>
    </row>
    <row r="2255" spans="1:11" x14ac:dyDescent="0.25">
      <c r="A2255" s="18" t="s">
        <v>558</v>
      </c>
      <c r="B2255" s="585"/>
      <c r="C2255" s="585"/>
      <c r="D2255" s="585"/>
      <c r="E2255" s="585"/>
      <c r="F2255" s="585"/>
      <c r="G2255" s="585"/>
      <c r="H2255" s="585"/>
      <c r="I2255" s="585"/>
      <c r="J2255" s="585"/>
      <c r="K2255" s="63"/>
    </row>
    <row r="2256" spans="1:11" x14ac:dyDescent="0.25">
      <c r="A2256" s="39" t="s">
        <v>563</v>
      </c>
      <c r="B2256" s="4"/>
      <c r="C2256" s="4"/>
      <c r="D2256" s="4"/>
      <c r="E2256" s="4"/>
      <c r="F2256" s="4"/>
      <c r="G2256" s="4"/>
      <c r="H2256" s="4"/>
      <c r="I2256" s="4"/>
      <c r="J2256" s="4"/>
      <c r="K2256" s="64"/>
    </row>
    <row r="2257" spans="1:11" x14ac:dyDescent="0.25">
      <c r="A2257" s="39" t="s">
        <v>561</v>
      </c>
      <c r="B2257" s="4"/>
      <c r="C2257" s="4"/>
      <c r="D2257" s="4"/>
      <c r="E2257" s="4"/>
      <c r="F2257" s="4"/>
      <c r="G2257" s="4"/>
      <c r="H2257" s="4"/>
      <c r="I2257" s="4"/>
      <c r="J2257" s="4"/>
      <c r="K2257" s="64"/>
    </row>
    <row r="2258" spans="1:11" x14ac:dyDescent="0.25">
      <c r="A2258" s="41" t="s">
        <v>1229</v>
      </c>
      <c r="B2258" s="34"/>
      <c r="C2258" s="34"/>
      <c r="D2258" s="34"/>
      <c r="E2258" s="34"/>
      <c r="F2258" s="34"/>
      <c r="G2258" s="34"/>
      <c r="H2258" s="34"/>
      <c r="I2258" s="34"/>
      <c r="J2258" s="34"/>
      <c r="K2258" s="48"/>
    </row>
    <row r="2260" spans="1:11" x14ac:dyDescent="0.25">
      <c r="A2260" s="6" t="s">
        <v>14</v>
      </c>
      <c r="B2260" s="7" t="s">
        <v>79</v>
      </c>
      <c r="C2260" s="473" t="s">
        <v>26</v>
      </c>
    </row>
    <row r="2261" spans="1:11" x14ac:dyDescent="0.25">
      <c r="A2261" s="170" t="s">
        <v>27</v>
      </c>
      <c r="B2261" s="154">
        <v>2016</v>
      </c>
      <c r="C2261" s="154">
        <v>2017</v>
      </c>
      <c r="D2261" s="474">
        <v>2018</v>
      </c>
      <c r="E2261" s="154">
        <v>2019</v>
      </c>
      <c r="F2261" s="154">
        <v>2020</v>
      </c>
      <c r="G2261" s="154">
        <v>2021</v>
      </c>
      <c r="H2261" s="154">
        <v>2022</v>
      </c>
      <c r="I2261" s="154">
        <v>2023</v>
      </c>
      <c r="J2261" s="154">
        <v>2024</v>
      </c>
      <c r="K2261" s="154">
        <v>2025</v>
      </c>
    </row>
    <row r="2262" spans="1:11" x14ac:dyDescent="0.25">
      <c r="A2262" s="11" t="s">
        <v>28</v>
      </c>
      <c r="B2262" s="72">
        <v>50</v>
      </c>
      <c r="C2262" s="72">
        <v>50</v>
      </c>
      <c r="D2262" s="72">
        <v>50</v>
      </c>
      <c r="E2262" s="72">
        <v>50</v>
      </c>
      <c r="F2262" s="72">
        <v>50</v>
      </c>
      <c r="G2262" s="72">
        <v>50</v>
      </c>
      <c r="H2262" s="72">
        <v>50</v>
      </c>
      <c r="I2262" s="72">
        <v>50</v>
      </c>
      <c r="J2262" s="72">
        <v>50</v>
      </c>
      <c r="K2262" s="12">
        <v>50</v>
      </c>
    </row>
    <row r="2263" spans="1:11" x14ac:dyDescent="0.25">
      <c r="A2263" s="11" t="s">
        <v>29</v>
      </c>
      <c r="B2263" s="72"/>
      <c r="C2263" s="72">
        <f>C2262+B2266</f>
        <v>-57.97999999999999</v>
      </c>
      <c r="D2263" s="72">
        <f>D2262+C2266</f>
        <v>-158.07</v>
      </c>
      <c r="E2263" s="72">
        <f>D2266+E2262</f>
        <v>-175.964</v>
      </c>
      <c r="F2263" s="72">
        <f>E2266+F2262</f>
        <v>-177.393</v>
      </c>
      <c r="G2263" s="72">
        <f>F2266+G2262</f>
        <v>-162.78800000000001</v>
      </c>
      <c r="H2263" s="72">
        <f>G2266*1.25+H2262</f>
        <v>-193.19875000000002</v>
      </c>
      <c r="I2263" s="72">
        <f>H2266*1.25+I2262</f>
        <v>-245.52468750000003</v>
      </c>
      <c r="J2263" s="72">
        <f>I2266*1.25+J2262</f>
        <v>-318.318359375</v>
      </c>
      <c r="K2263" s="72">
        <f>K2262+1.25*J2266</f>
        <v>-400.58919921875003</v>
      </c>
    </row>
    <row r="2264" spans="1:11" x14ac:dyDescent="0.25">
      <c r="A2264" s="11" t="s">
        <v>30</v>
      </c>
      <c r="B2264" s="252"/>
      <c r="C2264" s="486" t="s">
        <v>543</v>
      </c>
      <c r="D2264" s="486" t="s">
        <v>544</v>
      </c>
      <c r="E2264" s="486" t="s">
        <v>545</v>
      </c>
      <c r="F2264" s="486" t="s">
        <v>548</v>
      </c>
      <c r="G2264" s="486" t="s">
        <v>550</v>
      </c>
      <c r="H2264" s="486" t="s">
        <v>692</v>
      </c>
      <c r="I2264" s="486" t="s">
        <v>849</v>
      </c>
      <c r="J2264" s="486" t="s">
        <v>1017</v>
      </c>
      <c r="K2264" s="486" t="s">
        <v>1122</v>
      </c>
    </row>
    <row r="2265" spans="1:11" x14ac:dyDescent="0.25">
      <c r="A2265" s="11" t="s">
        <v>31</v>
      </c>
      <c r="B2265" s="72">
        <v>157.97999999999999</v>
      </c>
      <c r="C2265" s="72">
        <v>150.09</v>
      </c>
      <c r="D2265" s="72">
        <v>67.894000000000005</v>
      </c>
      <c r="E2265" s="72">
        <v>51.429000000000002</v>
      </c>
      <c r="F2265" s="12">
        <v>35.395000000000003</v>
      </c>
      <c r="G2265" s="12">
        <v>31.771000000000001</v>
      </c>
      <c r="H2265" s="12">
        <v>43.220999999999997</v>
      </c>
      <c r="I2265" s="12">
        <v>49.13</v>
      </c>
      <c r="J2265" s="12">
        <v>42.152999999999999</v>
      </c>
      <c r="K2265" s="12"/>
    </row>
    <row r="2266" spans="1:11" x14ac:dyDescent="0.25">
      <c r="A2266" s="11" t="s">
        <v>32</v>
      </c>
      <c r="B2266" s="72">
        <f>B2262-B2265</f>
        <v>-107.97999999999999</v>
      </c>
      <c r="C2266" s="72">
        <f t="shared" ref="C2266:J2266" si="93">C2263-C2265</f>
        <v>-208.07</v>
      </c>
      <c r="D2266" s="72">
        <f t="shared" si="93"/>
        <v>-225.964</v>
      </c>
      <c r="E2266" s="72">
        <f t="shared" si="93"/>
        <v>-227.393</v>
      </c>
      <c r="F2266" s="72">
        <f t="shared" si="93"/>
        <v>-212.78800000000001</v>
      </c>
      <c r="G2266" s="72">
        <f t="shared" si="93"/>
        <v>-194.55900000000003</v>
      </c>
      <c r="H2266" s="72">
        <f t="shared" si="93"/>
        <v>-236.41975000000002</v>
      </c>
      <c r="I2266" s="72">
        <f t="shared" si="93"/>
        <v>-294.65468750000002</v>
      </c>
      <c r="J2266" s="72">
        <f t="shared" si="93"/>
        <v>-360.47135937500002</v>
      </c>
      <c r="K2266" s="12"/>
    </row>
    <row r="2267" spans="1:11" x14ac:dyDescent="0.25">
      <c r="A2267" s="16" t="s">
        <v>33</v>
      </c>
      <c r="B2267" s="159">
        <v>2017</v>
      </c>
      <c r="C2267" s="159">
        <v>2018</v>
      </c>
      <c r="D2267" s="159">
        <v>2019</v>
      </c>
      <c r="E2267" s="159">
        <v>2020</v>
      </c>
      <c r="F2267" s="159">
        <v>2021</v>
      </c>
      <c r="G2267" s="159">
        <v>2022</v>
      </c>
      <c r="H2267" s="159">
        <v>2023</v>
      </c>
      <c r="I2267" s="159">
        <v>2024</v>
      </c>
      <c r="J2267" s="159">
        <v>2025</v>
      </c>
      <c r="K2267" s="159">
        <v>2026</v>
      </c>
    </row>
    <row r="2268" spans="1:11" x14ac:dyDescent="0.25">
      <c r="A2268" s="18" t="s">
        <v>694</v>
      </c>
      <c r="B2268" s="585"/>
      <c r="C2268" s="585"/>
      <c r="D2268" s="585"/>
      <c r="E2268" s="585"/>
      <c r="F2268" s="585"/>
      <c r="G2268" s="585"/>
      <c r="H2268" s="585"/>
      <c r="I2268" s="585"/>
      <c r="J2268" s="585"/>
      <c r="K2268" s="63"/>
    </row>
    <row r="2269" spans="1:11" x14ac:dyDescent="0.25">
      <c r="A2269" s="39" t="s">
        <v>546</v>
      </c>
      <c r="B2269" s="4"/>
      <c r="C2269" s="4"/>
      <c r="D2269" s="4"/>
      <c r="E2269" s="4"/>
      <c r="F2269" s="4"/>
      <c r="G2269" s="4"/>
      <c r="H2269" s="4"/>
      <c r="I2269" s="4"/>
      <c r="J2269" s="4"/>
      <c r="K2269" s="64"/>
    </row>
    <row r="2270" spans="1:11" x14ac:dyDescent="0.25">
      <c r="A2270" s="39" t="s">
        <v>547</v>
      </c>
      <c r="K2270" s="64"/>
    </row>
    <row r="2271" spans="1:11" x14ac:dyDescent="0.25">
      <c r="A2271" s="39" t="s">
        <v>549</v>
      </c>
      <c r="K2271" s="64"/>
    </row>
    <row r="2272" spans="1:11" x14ac:dyDescent="0.25">
      <c r="A2272" s="39" t="s">
        <v>551</v>
      </c>
      <c r="K2272" s="64"/>
    </row>
    <row r="2273" spans="1:11" x14ac:dyDescent="0.25">
      <c r="A2273" s="39" t="s">
        <v>903</v>
      </c>
      <c r="K2273" s="64"/>
    </row>
    <row r="2274" spans="1:11" x14ac:dyDescent="0.25">
      <c r="A2274" s="39" t="s">
        <v>904</v>
      </c>
      <c r="K2274" s="64"/>
    </row>
    <row r="2275" spans="1:11" x14ac:dyDescent="0.25">
      <c r="A2275" s="39" t="s">
        <v>1019</v>
      </c>
      <c r="K2275" s="64"/>
    </row>
    <row r="2276" spans="1:11" s="34" customFormat="1" x14ac:dyDescent="0.25">
      <c r="A2276" s="41" t="s">
        <v>1133</v>
      </c>
      <c r="K2276" s="48"/>
    </row>
  </sheetData>
  <mergeCells count="54">
    <mergeCell ref="A478:G478"/>
    <mergeCell ref="A491:F491"/>
    <mergeCell ref="A508:F508"/>
    <mergeCell ref="A923:G923"/>
    <mergeCell ref="A918:F918"/>
    <mergeCell ref="A814:L814"/>
    <mergeCell ref="A920:F920"/>
    <mergeCell ref="A922:G922"/>
    <mergeCell ref="A1994:G1994"/>
    <mergeCell ref="A924:G924"/>
    <mergeCell ref="A1743:G1743"/>
    <mergeCell ref="A1471:G1471"/>
    <mergeCell ref="A1472:G1472"/>
    <mergeCell ref="A1714:D1714"/>
    <mergeCell ref="A1689:H1689"/>
    <mergeCell ref="A1687:H1687"/>
    <mergeCell ref="A1688:H1688"/>
    <mergeCell ref="A925:G925"/>
    <mergeCell ref="A1078:N1078"/>
    <mergeCell ref="C1421:J1421"/>
    <mergeCell ref="A1691:H1691"/>
    <mergeCell ref="A1473:G1473"/>
    <mergeCell ref="A930:G930"/>
    <mergeCell ref="A926:G926"/>
    <mergeCell ref="A26:E26"/>
    <mergeCell ref="A280:F280"/>
    <mergeCell ref="A212:G212"/>
    <mergeCell ref="A39:D39"/>
    <mergeCell ref="E121:K121"/>
    <mergeCell ref="C142:K142"/>
    <mergeCell ref="C159:K159"/>
    <mergeCell ref="A125:F125"/>
    <mergeCell ref="A126:F126"/>
    <mergeCell ref="A230:G230"/>
    <mergeCell ref="A244:G244"/>
    <mergeCell ref="A232:G232"/>
    <mergeCell ref="A40:D40"/>
    <mergeCell ref="A270:L270"/>
    <mergeCell ref="A281:L281"/>
    <mergeCell ref="B490:M490"/>
    <mergeCell ref="A1690:H1690"/>
    <mergeCell ref="A344:O344"/>
    <mergeCell ref="A763:E763"/>
    <mergeCell ref="A921:F921"/>
    <mergeCell ref="A829:J829"/>
    <mergeCell ref="A714:H714"/>
    <mergeCell ref="A383:M383"/>
    <mergeCell ref="A472:G472"/>
    <mergeCell ref="A598:F598"/>
    <mergeCell ref="A529:F529"/>
    <mergeCell ref="A583:F583"/>
    <mergeCell ref="A1625:E1625"/>
    <mergeCell ref="A1636:E1636"/>
    <mergeCell ref="A1470:G1470"/>
  </mergeCells>
  <phoneticPr fontId="10" type="noConversion"/>
  <pageMargins left="0.7" right="0.7" top="0.75" bottom="0.75" header="0.3" footer="0.3"/>
  <pageSetup paperSize="9" scale="10" orientation="landscape" r:id="rId1"/>
  <ignoredErrors>
    <ignoredError sqref="F1601 K1089 E2218:F2218 H175 I485 J1883" formula="1"/>
    <ignoredError sqref="H1968 I786:K786 I821:J821 H852 H802 H1949 C835 I802:J802 E835" unlockedFormula="1"/>
    <ignoredError sqref="C1708 H2264 E722"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Adjustement data</vt:lpstr>
      <vt:lpstr>'Adjustement data'!Print_Area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Carmen Ochoa</dc:creator>
  <cp:lastModifiedBy>Valerie Samedy</cp:lastModifiedBy>
  <cp:lastPrinted>2021-10-08T09:47:24Z</cp:lastPrinted>
  <dcterms:created xsi:type="dcterms:W3CDTF">2018-06-01T11:58:01Z</dcterms:created>
  <dcterms:modified xsi:type="dcterms:W3CDTF">2025-11-20T08:58:41Z</dcterms:modified>
</cp:coreProperties>
</file>